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王曦\☆报告☆\2018\2018-1-0596诺德中心一期\"/>
    </mc:Choice>
  </mc:AlternateContent>
  <bookViews>
    <workbookView xWindow="60" yWindow="12" windowWidth="12120" windowHeight="7620" tabRatio="936" firstSheet="9" activeTab="20"/>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r:id="rId21"/>
    <sheet name="比较法-住宅" sheetId="21" state="hidden" r:id="rId22"/>
    <sheet name="比较法-商业" sheetId="33" state="hidden" r:id="rId23"/>
    <sheet name="比较法-办公" sheetId="34" r:id="rId24"/>
    <sheet name="实际成交" sheetId="63" r:id="rId25"/>
    <sheet name="案例" sheetId="64"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3"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2" hidden="1">'比较法-商业'!$A$1:$L$49</definedName>
    <definedName name="_xlnm._FilterDatabase" localSheetId="21"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E20" i="1" l="1"/>
  <c r="T8" i="31" l="1"/>
  <c r="D8" i="31"/>
  <c r="E8" i="31"/>
  <c r="F8" i="31"/>
  <c r="C8" i="31"/>
  <c r="B8" i="31"/>
  <c r="C21" i="31"/>
  <c r="D20" i="31"/>
  <c r="E20" i="31"/>
  <c r="C20" i="31"/>
  <c r="D7" i="31"/>
  <c r="E7" i="31"/>
  <c r="F7" i="31"/>
  <c r="G7" i="31"/>
  <c r="H7" i="31"/>
  <c r="I7" i="31"/>
  <c r="C7" i="31"/>
  <c r="D6" i="31"/>
  <c r="E6" i="31"/>
  <c r="F6" i="31"/>
  <c r="G6" i="31"/>
  <c r="H6" i="31"/>
  <c r="I6" i="31"/>
  <c r="C6" i="31"/>
  <c r="C37" i="34"/>
  <c r="G37" i="34" s="1"/>
  <c r="D7" i="4"/>
  <c r="D2" i="4"/>
  <c r="B2" i="1" s="1"/>
  <c r="N6" i="59"/>
  <c r="N7" i="59"/>
  <c r="B7" i="59" s="1"/>
  <c r="B6" i="59" s="1"/>
  <c r="B5" i="59" s="1"/>
  <c r="N5" i="59"/>
  <c r="O6" i="59"/>
  <c r="O7" i="59"/>
  <c r="C7" i="59" s="1"/>
  <c r="O5" i="59"/>
  <c r="P6" i="59"/>
  <c r="P7" i="59"/>
  <c r="E7" i="59"/>
  <c r="E6" i="59" s="1"/>
  <c r="E5" i="59" s="1"/>
  <c r="P5" i="59"/>
  <c r="AA5" i="59" s="1"/>
  <c r="Q6" i="59"/>
  <c r="Q7" i="59"/>
  <c r="F7" i="59"/>
  <c r="F6" i="59" s="1"/>
  <c r="F5" i="59" s="1"/>
  <c r="Q5" i="59"/>
  <c r="AB5" i="59" s="1"/>
  <c r="AD5" i="59"/>
  <c r="AE5" i="59"/>
  <c r="AF5" i="59"/>
  <c r="AG5" i="59"/>
  <c r="AH5" i="59"/>
  <c r="N8" i="59"/>
  <c r="N9" i="59"/>
  <c r="N10" i="59"/>
  <c r="N11" i="59"/>
  <c r="B11" i="59" s="1"/>
  <c r="B10" i="59" s="1"/>
  <c r="B9" i="59" s="1"/>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s="1"/>
  <c r="P8" i="59"/>
  <c r="P9" i="59"/>
  <c r="P10" i="59"/>
  <c r="P11" i="59"/>
  <c r="P12" i="59"/>
  <c r="P13" i="59"/>
  <c r="P14" i="59"/>
  <c r="P15" i="59"/>
  <c r="P16" i="59"/>
  <c r="P17" i="59"/>
  <c r="P18" i="59"/>
  <c r="P19" i="59"/>
  <c r="P20" i="59"/>
  <c r="P21" i="59"/>
  <c r="P22" i="59"/>
  <c r="Q8" i="59"/>
  <c r="Q9" i="59"/>
  <c r="Q10" i="59"/>
  <c r="Q11" i="59"/>
  <c r="Q12" i="59"/>
  <c r="F13" i="59" s="1"/>
  <c r="F14" i="59" s="1"/>
  <c r="F15" i="59" s="1"/>
  <c r="Q13" i="59"/>
  <c r="Q14" i="59"/>
  <c r="Q15" i="59"/>
  <c r="Q16" i="59"/>
  <c r="F17" i="59" s="1"/>
  <c r="F18" i="59" s="1"/>
  <c r="F19" i="59" s="1"/>
  <c r="Q17" i="59"/>
  <c r="Q18" i="59"/>
  <c r="Q19" i="59"/>
  <c r="Q20" i="59"/>
  <c r="F21" i="59" s="1"/>
  <c r="F22" i="59" s="1"/>
  <c r="F23" i="59" s="1"/>
  <c r="Q21" i="59"/>
  <c r="Q22" i="59"/>
  <c r="D8" i="59"/>
  <c r="C11" i="59"/>
  <c r="C10" i="59" s="1"/>
  <c r="E11" i="59"/>
  <c r="E10" i="59" s="1"/>
  <c r="E9" i="59" s="1"/>
  <c r="F11" i="59"/>
  <c r="F10" i="59"/>
  <c r="F9" i="59" s="1"/>
  <c r="D12" i="59"/>
  <c r="B13" i="59"/>
  <c r="C13" i="59"/>
  <c r="D13" i="59" s="1"/>
  <c r="E13" i="59"/>
  <c r="E14" i="59" s="1"/>
  <c r="E15" i="59" s="1"/>
  <c r="B14" i="59"/>
  <c r="B15" i="59" s="1"/>
  <c r="D16" i="59"/>
  <c r="B17" i="59"/>
  <c r="C17" i="59"/>
  <c r="D17" i="59" s="1"/>
  <c r="E17" i="59"/>
  <c r="E18" i="59" s="1"/>
  <c r="E19" i="59" s="1"/>
  <c r="B18" i="59"/>
  <c r="B19" i="59" s="1"/>
  <c r="D20" i="59"/>
  <c r="B21" i="59"/>
  <c r="C21" i="59"/>
  <c r="D21" i="59" s="1"/>
  <c r="E21" i="59"/>
  <c r="E22" i="59" s="1"/>
  <c r="E23" i="59" s="1"/>
  <c r="B22" i="59"/>
  <c r="B23" i="59" s="1"/>
  <c r="M19" i="43"/>
  <c r="G2" i="43"/>
  <c r="C6" i="43"/>
  <c r="C5" i="43" s="1"/>
  <c r="G17" i="43"/>
  <c r="H17" i="43"/>
  <c r="I17" i="43"/>
  <c r="J17" i="43"/>
  <c r="C17" i="43"/>
  <c r="C16" i="43"/>
  <c r="G20" i="43"/>
  <c r="J20" i="43"/>
  <c r="B23" i="1"/>
  <c r="C24" i="43"/>
  <c r="F39" i="43"/>
  <c r="F38" i="43"/>
  <c r="F37" i="43"/>
  <c r="D5" i="43"/>
  <c r="F36" i="43"/>
  <c r="F35" i="43"/>
  <c r="F34" i="43"/>
  <c r="M48" i="15"/>
  <c r="J50" i="15"/>
  <c r="J51" i="15"/>
  <c r="J52" i="15"/>
  <c r="B25" i="1"/>
  <c r="AH6" i="59"/>
  <c r="AG6" i="59"/>
  <c r="AE6" i="59"/>
  <c r="AF6" i="59"/>
  <c r="AD6" i="59"/>
  <c r="B5" i="1"/>
  <c r="F7" i="15"/>
  <c r="F6" i="15"/>
  <c r="F8" i="15"/>
  <c r="F9" i="15"/>
  <c r="F113" i="57"/>
  <c r="C23" i="31"/>
  <c r="B27" i="31"/>
  <c r="G28" i="31"/>
  <c r="I28" i="31"/>
  <c r="K28" i="31"/>
  <c r="M28" i="31"/>
  <c r="O28" i="31"/>
  <c r="G29" i="31"/>
  <c r="I29" i="31"/>
  <c r="K29" i="31"/>
  <c r="M29" i="31"/>
  <c r="O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F112" i="9"/>
  <c r="L3" i="59"/>
  <c r="K3" i="59"/>
  <c r="J3" i="59"/>
  <c r="AE3" i="59" s="1"/>
  <c r="I3" i="59"/>
  <c r="AH7" i="59"/>
  <c r="AG7" i="59"/>
  <c r="AE7" i="59"/>
  <c r="AF7" i="59" s="1"/>
  <c r="AD7" i="59"/>
  <c r="AB6" i="59"/>
  <c r="Y6" i="59"/>
  <c r="Z6" i="59" s="1"/>
  <c r="X6" i="59"/>
  <c r="AA6" i="59"/>
  <c r="U7" i="59"/>
  <c r="AB7" i="59"/>
  <c r="AA7" i="59"/>
  <c r="Y7" i="59"/>
  <c r="Z7" i="59" s="1"/>
  <c r="S7" i="59"/>
  <c r="X7" i="59"/>
  <c r="A2" i="50"/>
  <c r="V7" i="59"/>
  <c r="K60" i="15"/>
  <c r="F115" i="57"/>
  <c r="A132" i="57"/>
  <c r="A117" i="57"/>
  <c r="A130" i="57"/>
  <c r="A115" i="57"/>
  <c r="A128" i="57"/>
  <c r="A126" i="57"/>
  <c r="F114" i="9"/>
  <c r="A129" i="9" s="1"/>
  <c r="A114" i="9"/>
  <c r="A127" i="9" s="1"/>
  <c r="A112" i="9"/>
  <c r="A125" i="9" s="1"/>
  <c r="A123" i="9"/>
  <c r="A16" i="54"/>
  <c r="A14" i="54"/>
  <c r="A19" i="55"/>
  <c r="A13" i="55"/>
  <c r="A1" i="52"/>
  <c r="A4" i="50"/>
  <c r="C76" i="9"/>
  <c r="C77" i="57"/>
  <c r="J56" i="57"/>
  <c r="K55" i="9"/>
  <c r="J55" i="9"/>
  <c r="I6" i="4"/>
  <c r="K56" i="9"/>
  <c r="J57" i="57"/>
  <c r="J58" i="57"/>
  <c r="J60" i="57" s="1"/>
  <c r="J62" i="57"/>
  <c r="N57" i="57"/>
  <c r="K57" i="57"/>
  <c r="N56" i="9"/>
  <c r="J56" i="9"/>
  <c r="E15" i="62"/>
  <c r="F15" i="62"/>
  <c r="E16" i="62"/>
  <c r="F16" i="62"/>
  <c r="E17" i="62"/>
  <c r="F17" i="62"/>
  <c r="E18" i="62"/>
  <c r="F18" i="62"/>
  <c r="E19" i="62"/>
  <c r="F19" i="62"/>
  <c r="E20" i="62"/>
  <c r="F20" i="62"/>
  <c r="E21" i="62"/>
  <c r="F21" i="62"/>
  <c r="E22" i="62"/>
  <c r="F22" i="62"/>
  <c r="E23" i="62"/>
  <c r="F23" i="62"/>
  <c r="C14" i="62"/>
  <c r="B2" i="62" s="1"/>
  <c r="B14" i="62"/>
  <c r="B1" i="62" s="1"/>
  <c r="B3" i="62"/>
  <c r="X12" i="59"/>
  <c r="Y12" i="59"/>
  <c r="Z12" i="59" s="1"/>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X20" i="59"/>
  <c r="Y20" i="59"/>
  <c r="Z20" i="59" s="1"/>
  <c r="AA20" i="59"/>
  <c r="AB20" i="59"/>
  <c r="AB21" i="59"/>
  <c r="AA21" i="59"/>
  <c r="Y21" i="59"/>
  <c r="X21" i="59"/>
  <c r="AD3" i="59"/>
  <c r="AF3" i="59"/>
  <c r="AG3" i="59"/>
  <c r="AH3" i="59"/>
  <c r="AD8" i="59"/>
  <c r="AE8" i="59"/>
  <c r="AF8" i="59" s="1"/>
  <c r="AG8" i="59"/>
  <c r="AH8" i="59"/>
  <c r="AD9" i="59"/>
  <c r="AE9" i="59"/>
  <c r="AF9" i="59"/>
  <c r="AG9" i="59"/>
  <c r="AH9"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s="1"/>
  <c r="J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s="1"/>
  <c r="D2" i="52"/>
  <c r="B60" i="60" s="1"/>
  <c r="A8" i="52"/>
  <c r="B65" i="60" s="1"/>
  <c r="B18" i="50"/>
  <c r="B39" i="50" s="1"/>
  <c r="B15" i="50"/>
  <c r="B36" i="50" s="1"/>
  <c r="B10" i="50"/>
  <c r="B31" i="50" s="1"/>
  <c r="C6" i="50"/>
  <c r="B18" i="60" s="1"/>
  <c r="A13" i="54"/>
  <c r="B51" i="60"/>
  <c r="B50" i="60"/>
  <c r="B47" i="60"/>
  <c r="B16" i="60"/>
  <c r="B51" i="10"/>
  <c r="B49" i="60"/>
  <c r="A15" i="55"/>
  <c r="B45" i="60" s="1"/>
  <c r="A14" i="55"/>
  <c r="B44" i="60" s="1"/>
  <c r="B43" i="60"/>
  <c r="C10" i="50"/>
  <c r="C7" i="50"/>
  <c r="B20" i="60"/>
  <c r="C35" i="50"/>
  <c r="B24" i="60"/>
  <c r="C34" i="50"/>
  <c r="C33" i="50"/>
  <c r="C12" i="50"/>
  <c r="C14" i="50"/>
  <c r="C13" i="50"/>
  <c r="B13" i="60"/>
  <c r="C42" i="50"/>
  <c r="C36" i="50"/>
  <c r="C39" i="50"/>
  <c r="I19" i="43"/>
  <c r="A135" i="57"/>
  <c r="F118" i="57"/>
  <c r="D72" i="59"/>
  <c r="F71" i="59"/>
  <c r="E71" i="59"/>
  <c r="E70" i="59" s="1"/>
  <c r="E69" i="59"/>
  <c r="C71" i="59"/>
  <c r="D71" i="59"/>
  <c r="B71" i="59"/>
  <c r="F70" i="59"/>
  <c r="F69" i="59" s="1"/>
  <c r="B70" i="59"/>
  <c r="B69" i="59" s="1"/>
  <c r="D68" i="59"/>
  <c r="F67" i="59"/>
  <c r="E67" i="59"/>
  <c r="E66" i="59" s="1"/>
  <c r="E65" i="59" s="1"/>
  <c r="C67" i="59"/>
  <c r="D67" i="59"/>
  <c r="B67" i="59"/>
  <c r="F66" i="59"/>
  <c r="F65" i="59" s="1"/>
  <c r="B66" i="59"/>
  <c r="B65" i="59" s="1"/>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s="1"/>
  <c r="Q59" i="59"/>
  <c r="P59" i="59"/>
  <c r="O59" i="59"/>
  <c r="N59" i="59"/>
  <c r="F59" i="59"/>
  <c r="V59" i="59" s="1"/>
  <c r="E59" i="59"/>
  <c r="U59" i="59" s="1"/>
  <c r="C59" i="59"/>
  <c r="T59" i="59" s="1"/>
  <c r="Q58" i="59"/>
  <c r="P58" i="59"/>
  <c r="O58" i="59"/>
  <c r="N58" i="59"/>
  <c r="B58" i="59"/>
  <c r="B57" i="59" s="1"/>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s="1"/>
  <c r="B51" i="59"/>
  <c r="P51" i="59"/>
  <c r="F51" i="59"/>
  <c r="E50" i="59"/>
  <c r="C51" i="59"/>
  <c r="O51" i="59" s="1"/>
  <c r="B50" i="59"/>
  <c r="N50" i="59" s="1"/>
  <c r="D48" i="59"/>
  <c r="Q47" i="59"/>
  <c r="P47" i="59"/>
  <c r="O47" i="59"/>
  <c r="N47" i="59"/>
  <c r="Q46" i="59"/>
  <c r="P46" i="59"/>
  <c r="O46" i="59"/>
  <c r="N46" i="59"/>
  <c r="Q44" i="59"/>
  <c r="F45" i="59" s="1"/>
  <c r="Q45" i="59"/>
  <c r="P45" i="59"/>
  <c r="O45" i="59"/>
  <c r="N45" i="59"/>
  <c r="P44" i="59"/>
  <c r="E45" i="59"/>
  <c r="E46" i="59" s="1"/>
  <c r="E47" i="59" s="1"/>
  <c r="U47" i="59" s="1"/>
  <c r="O44" i="59"/>
  <c r="C45" i="59"/>
  <c r="C46" i="59" s="1"/>
  <c r="N44" i="59"/>
  <c r="B45" i="59"/>
  <c r="B46" i="59" s="1"/>
  <c r="B47" i="59" s="1"/>
  <c r="S47" i="59" s="1"/>
  <c r="D44" i="59"/>
  <c r="Q43" i="59"/>
  <c r="P43" i="59"/>
  <c r="O43" i="59"/>
  <c r="N43" i="59"/>
  <c r="Q42" i="59"/>
  <c r="P42" i="59"/>
  <c r="O42" i="59"/>
  <c r="N42" i="59"/>
  <c r="Q40" i="59"/>
  <c r="F41" i="59"/>
  <c r="Q41" i="59"/>
  <c r="F42" i="59"/>
  <c r="F43" i="59" s="1"/>
  <c r="V43" i="59" s="1"/>
  <c r="P41" i="59"/>
  <c r="O41" i="59"/>
  <c r="N41" i="59"/>
  <c r="P40" i="59"/>
  <c r="E41" i="59" s="1"/>
  <c r="O40" i="59"/>
  <c r="C41" i="59" s="1"/>
  <c r="C42" i="59" s="1"/>
  <c r="N40" i="59"/>
  <c r="B41" i="59" s="1"/>
  <c r="B42" i="59"/>
  <c r="B43" i="59" s="1"/>
  <c r="S43" i="59" s="1"/>
  <c r="D40" i="59"/>
  <c r="Q39" i="59"/>
  <c r="P39" i="59"/>
  <c r="O39" i="59"/>
  <c r="N39" i="59"/>
  <c r="Q38" i="59"/>
  <c r="P38" i="59"/>
  <c r="O38" i="59"/>
  <c r="N38" i="59"/>
  <c r="Q36" i="59"/>
  <c r="F37" i="59" s="1"/>
  <c r="Q37" i="59"/>
  <c r="P37" i="59"/>
  <c r="O37" i="59"/>
  <c r="N37" i="59"/>
  <c r="P36" i="59"/>
  <c r="E37" i="59"/>
  <c r="E38" i="59" s="1"/>
  <c r="O36" i="59"/>
  <c r="C37" i="59"/>
  <c r="C38" i="59" s="1"/>
  <c r="N36" i="59"/>
  <c r="B37" i="59"/>
  <c r="B38" i="59" s="1"/>
  <c r="B39" i="59" s="1"/>
  <c r="S39" i="59" s="1"/>
  <c r="D36" i="59"/>
  <c r="Q35" i="59"/>
  <c r="P35" i="59"/>
  <c r="O35" i="59"/>
  <c r="N35" i="59"/>
  <c r="Q34" i="59"/>
  <c r="P34" i="59"/>
  <c r="O34" i="59"/>
  <c r="N34" i="59"/>
  <c r="Q33" i="59"/>
  <c r="P33" i="59"/>
  <c r="O33" i="59"/>
  <c r="N33" i="59"/>
  <c r="P32" i="59"/>
  <c r="E33" i="59"/>
  <c r="E34" i="59" s="1"/>
  <c r="E35" i="59" s="1"/>
  <c r="U35" i="59" s="1"/>
  <c r="Q32" i="59"/>
  <c r="F33" i="59" s="1"/>
  <c r="F34" i="59" s="1"/>
  <c r="F35" i="59" s="1"/>
  <c r="V35" i="59" s="1"/>
  <c r="O32" i="59"/>
  <c r="C33" i="59"/>
  <c r="C34" i="59" s="1"/>
  <c r="D34" i="59" s="1"/>
  <c r="N32" i="59"/>
  <c r="B33" i="59"/>
  <c r="B34" i="59" s="1"/>
  <c r="B35" i="59" s="1"/>
  <c r="S35" i="59" s="1"/>
  <c r="D32" i="59"/>
  <c r="T31" i="59"/>
  <c r="Q31" i="59"/>
  <c r="P31" i="59"/>
  <c r="O31" i="59"/>
  <c r="N31" i="59"/>
  <c r="D31" i="59"/>
  <c r="Q30" i="59"/>
  <c r="P30" i="59"/>
  <c r="O30" i="59"/>
  <c r="N30" i="59"/>
  <c r="Q29" i="59"/>
  <c r="P29" i="59"/>
  <c r="O29" i="59"/>
  <c r="N29" i="59"/>
  <c r="Q28" i="59"/>
  <c r="F29" i="59"/>
  <c r="F30" i="59" s="1"/>
  <c r="F31" i="59" s="1"/>
  <c r="V31" i="59" s="1"/>
  <c r="P28" i="59"/>
  <c r="E29" i="59" s="1"/>
  <c r="E30" i="59" s="1"/>
  <c r="E31" i="59" s="1"/>
  <c r="U31" i="59" s="1"/>
  <c r="O28" i="59"/>
  <c r="C29" i="59"/>
  <c r="C30" i="59" s="1"/>
  <c r="D30" i="59" s="1"/>
  <c r="N28" i="59"/>
  <c r="B29" i="59"/>
  <c r="B30" i="59" s="1"/>
  <c r="B31" i="59" s="1"/>
  <c r="S31" i="59" s="1"/>
  <c r="D28" i="59"/>
  <c r="Q27" i="59"/>
  <c r="P27" i="59"/>
  <c r="O27" i="59"/>
  <c r="N27" i="59"/>
  <c r="Q26" i="59"/>
  <c r="P26" i="59"/>
  <c r="O26" i="59"/>
  <c r="N26" i="59"/>
  <c r="Q25" i="59"/>
  <c r="P25" i="59"/>
  <c r="O25" i="59"/>
  <c r="N25" i="59"/>
  <c r="Q24" i="59"/>
  <c r="F25" i="59"/>
  <c r="F26" i="59" s="1"/>
  <c r="F27" i="59" s="1"/>
  <c r="V27" i="59" s="1"/>
  <c r="P24" i="59"/>
  <c r="E25" i="59" s="1"/>
  <c r="E26" i="59" s="1"/>
  <c r="E27" i="59" s="1"/>
  <c r="U27" i="59" s="1"/>
  <c r="O24" i="59"/>
  <c r="C25" i="59"/>
  <c r="D25" i="59" s="1"/>
  <c r="N24" i="59"/>
  <c r="B25" i="59"/>
  <c r="B26" i="59" s="1"/>
  <c r="B27" i="59" s="1"/>
  <c r="S27" i="59" s="1"/>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C27" i="59" s="1"/>
  <c r="D29" i="59"/>
  <c r="E39" i="59"/>
  <c r="U39" i="59" s="1"/>
  <c r="E42" i="59"/>
  <c r="E43" i="59" s="1"/>
  <c r="U43" i="59" s="1"/>
  <c r="U55" i="59"/>
  <c r="E54" i="59"/>
  <c r="E53" i="59"/>
  <c r="D37" i="59"/>
  <c r="D41" i="59"/>
  <c r="D45" i="59"/>
  <c r="B49" i="59"/>
  <c r="N48" i="59" s="1"/>
  <c r="T51" i="59"/>
  <c r="D51" i="59"/>
  <c r="T55" i="59"/>
  <c r="D55" i="59"/>
  <c r="C54" i="59"/>
  <c r="C53" i="59" s="1"/>
  <c r="D53" i="59" s="1"/>
  <c r="C58" i="59"/>
  <c r="C57" i="59" s="1"/>
  <c r="D57" i="59" s="1"/>
  <c r="E58" i="59"/>
  <c r="E57" i="59"/>
  <c r="C62" i="59"/>
  <c r="D62" i="59" s="1"/>
  <c r="E62" i="59"/>
  <c r="E61" i="59"/>
  <c r="D63" i="59"/>
  <c r="C66" i="59"/>
  <c r="D66" i="59" s="1"/>
  <c r="C70" i="59"/>
  <c r="S11" i="59"/>
  <c r="AB3" i="59"/>
  <c r="AB8" i="59"/>
  <c r="AB9" i="59"/>
  <c r="AB10" i="59"/>
  <c r="AB11" i="59"/>
  <c r="AA9" i="59"/>
  <c r="AA10" i="59"/>
  <c r="AA11" i="59"/>
  <c r="AA3" i="59"/>
  <c r="AA8" i="59"/>
  <c r="C65" i="59"/>
  <c r="D65" i="59" s="1"/>
  <c r="D58" i="59"/>
  <c r="C35" i="59"/>
  <c r="D35" i="59" s="1"/>
  <c r="D70" i="59"/>
  <c r="C69" i="59"/>
  <c r="D69" i="59"/>
  <c r="C61" i="59"/>
  <c r="D61" i="59" s="1"/>
  <c r="N49" i="59"/>
  <c r="D26" i="59"/>
  <c r="U11" i="59"/>
  <c r="V11" i="59"/>
  <c r="T35" i="59"/>
  <c r="G20" i="20"/>
  <c r="B86" i="43"/>
  <c r="C22" i="20"/>
  <c r="B75" i="43"/>
  <c r="B66" i="43"/>
  <c r="B55" i="43"/>
  <c r="Q25" i="40"/>
  <c r="Z25" i="40"/>
  <c r="D94" i="40"/>
  <c r="E94" i="40"/>
  <c r="F94" i="40" s="1"/>
  <c r="G94" i="40" s="1"/>
  <c r="H25" i="40"/>
  <c r="U25" i="40" s="1"/>
  <c r="F25" i="40"/>
  <c r="AA25" i="40" s="1"/>
  <c r="C25" i="40"/>
  <c r="Q27" i="39"/>
  <c r="Z27" i="39"/>
  <c r="D101" i="39"/>
  <c r="E101" i="39"/>
  <c r="F101" i="39" s="1"/>
  <c r="G101" i="39" s="1"/>
  <c r="C29" i="39"/>
  <c r="C21" i="20"/>
  <c r="C27" i="39"/>
  <c r="Q18" i="36"/>
  <c r="Z18" i="36"/>
  <c r="F18" i="36"/>
  <c r="AA18" i="36"/>
  <c r="C18" i="36"/>
  <c r="D66" i="36"/>
  <c r="E66" i="36" s="1"/>
  <c r="F66" i="36" s="1"/>
  <c r="G66" i="36" s="1"/>
  <c r="Q18" i="35"/>
  <c r="Z18" i="35" s="1"/>
  <c r="D68" i="35"/>
  <c r="E68" i="35" s="1"/>
  <c r="F68" i="35" s="1"/>
  <c r="G68" i="35" s="1"/>
  <c r="J18" i="35"/>
  <c r="AC18" i="35" s="1"/>
  <c r="H18" i="35"/>
  <c r="AB18" i="35" s="1"/>
  <c r="F18" i="35"/>
  <c r="AA18" i="35" s="1"/>
  <c r="C18" i="35"/>
  <c r="Q21" i="37"/>
  <c r="Z21" i="37"/>
  <c r="D77" i="37"/>
  <c r="E77" i="37"/>
  <c r="F77" i="37" s="1"/>
  <c r="G77" i="37" s="1"/>
  <c r="H21" i="37"/>
  <c r="AB21" i="37" s="1"/>
  <c r="F21" i="37"/>
  <c r="AA21" i="37" s="1"/>
  <c r="C21" i="37"/>
  <c r="Q21" i="34"/>
  <c r="Z21" i="34"/>
  <c r="D84" i="34"/>
  <c r="E84" i="34"/>
  <c r="F84" i="34" s="1"/>
  <c r="F21" i="34"/>
  <c r="AA21" i="34"/>
  <c r="C21" i="34"/>
  <c r="Q21" i="33"/>
  <c r="Z21" i="33" s="1"/>
  <c r="D83" i="33"/>
  <c r="E83" i="33" s="1"/>
  <c r="F83" i="33" s="1"/>
  <c r="G83" i="33" s="1"/>
  <c r="H21" i="33"/>
  <c r="AB21" i="33"/>
  <c r="F21" i="33"/>
  <c r="AA21" i="33"/>
  <c r="C21" i="33"/>
  <c r="Q21" i="21"/>
  <c r="Z21" i="21" s="1"/>
  <c r="D83" i="21"/>
  <c r="E83" i="21" s="1"/>
  <c r="F83" i="21" s="1"/>
  <c r="F21" i="21"/>
  <c r="AA21" i="21" s="1"/>
  <c r="C21" i="21"/>
  <c r="AB25" i="40"/>
  <c r="S25" i="40"/>
  <c r="S18" i="36"/>
  <c r="W18" i="35"/>
  <c r="S18" i="35"/>
  <c r="S21" i="37"/>
  <c r="S21" i="34"/>
  <c r="U21" i="33"/>
  <c r="S21" i="33"/>
  <c r="S21" i="21"/>
  <c r="J25" i="40"/>
  <c r="J27" i="39"/>
  <c r="H27" i="39"/>
  <c r="F27" i="39"/>
  <c r="H18" i="36"/>
  <c r="J18" i="36"/>
  <c r="J21" i="37"/>
  <c r="H21" i="34"/>
  <c r="J21" i="33"/>
  <c r="H21" i="21"/>
  <c r="F52" i="15"/>
  <c r="F15" i="15"/>
  <c r="F16" i="15"/>
  <c r="F17" i="15"/>
  <c r="F18" i="15"/>
  <c r="F20" i="15"/>
  <c r="F23" i="15"/>
  <c r="D23" i="15"/>
  <c r="F26" i="15"/>
  <c r="F21" i="15"/>
  <c r="C21" i="15" s="1"/>
  <c r="F33" i="15"/>
  <c r="F62" i="15" s="1"/>
  <c r="F36" i="15"/>
  <c r="F65" i="15" s="1"/>
  <c r="F13" i="15"/>
  <c r="F37" i="15"/>
  <c r="F66" i="15"/>
  <c r="F38" i="15"/>
  <c r="F67" i="15"/>
  <c r="M6" i="15"/>
  <c r="M8" i="15"/>
  <c r="M9" i="15"/>
  <c r="G58" i="40"/>
  <c r="C58" i="40" s="1"/>
  <c r="M19" i="15"/>
  <c r="M24" i="15"/>
  <c r="M22" i="15"/>
  <c r="J15" i="15"/>
  <c r="M23" i="15"/>
  <c r="C2" i="11"/>
  <c r="F2" i="11"/>
  <c r="C7" i="12"/>
  <c r="C8" i="12"/>
  <c r="D20" i="12"/>
  <c r="D19" i="12"/>
  <c r="D17" i="12"/>
  <c r="D14" i="12"/>
  <c r="C2" i="12"/>
  <c r="B24" i="1"/>
  <c r="F11" i="12"/>
  <c r="F28" i="12"/>
  <c r="I1" i="4"/>
  <c r="B6" i="50"/>
  <c r="B17" i="60" s="1"/>
  <c r="B1" i="4"/>
  <c r="B9" i="49" s="1"/>
  <c r="B2" i="60" s="1"/>
  <c r="C27" i="58"/>
  <c r="C32" i="58"/>
  <c r="C31" i="58"/>
  <c r="C30" i="58"/>
  <c r="E26"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X25" i="31"/>
  <c r="Y27" i="31"/>
  <c r="V27" i="31"/>
  <c r="U27" i="31"/>
  <c r="U25" i="31"/>
  <c r="D114" i="57"/>
  <c r="D113" i="57"/>
  <c r="D112" i="57"/>
  <c r="I109" i="57"/>
  <c r="I108" i="57"/>
  <c r="I107" i="57"/>
  <c r="I106" i="57" s="1"/>
  <c r="D126" i="57" s="1"/>
  <c r="D101" i="57"/>
  <c r="C101" i="57"/>
  <c r="C92" i="57"/>
  <c r="E91" i="57"/>
  <c r="D90" i="57"/>
  <c r="C90" i="57"/>
  <c r="C88" i="57" s="1"/>
  <c r="H78" i="57"/>
  <c r="D78" i="57"/>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 i="36"/>
  <c r="F2" i="36" s="1"/>
  <c r="C2" i="35"/>
  <c r="C2" i="37"/>
  <c r="F2" i="37"/>
  <c r="C2" i="34"/>
  <c r="C2" i="33"/>
  <c r="C2" i="21"/>
  <c r="C2" i="15"/>
  <c r="P73" i="15" s="1"/>
  <c r="H19" i="9"/>
  <c r="C108" i="9" s="1"/>
  <c r="C91" i="9"/>
  <c r="I30" i="31"/>
  <c r="C145" i="21"/>
  <c r="K139" i="21" s="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c r="B12" i="49"/>
  <c r="B3" i="60"/>
  <c r="B2" i="48"/>
  <c r="B23" i="48" s="1"/>
  <c r="D23" i="48" s="1"/>
  <c r="I2" i="43"/>
  <c r="H6" i="44" s="1"/>
  <c r="E30" i="4"/>
  <c r="C7" i="4"/>
  <c r="G3" i="43"/>
  <c r="C121" i="9"/>
  <c r="C4" i="52"/>
  <c r="B36" i="60" s="1"/>
  <c r="B121" i="9"/>
  <c r="B4" i="52" s="1"/>
  <c r="A40" i="1"/>
  <c r="A39" i="1"/>
  <c r="A38" i="1"/>
  <c r="A37" i="1"/>
  <c r="A36" i="1"/>
  <c r="A29" i="1"/>
  <c r="A34" i="1"/>
  <c r="D111" i="9"/>
  <c r="I108" i="9"/>
  <c r="D110" i="9"/>
  <c r="I107" i="9"/>
  <c r="D109" i="9"/>
  <c r="I106" i="9"/>
  <c r="I105" i="9" s="1"/>
  <c r="H101" i="9"/>
  <c r="J35" i="15"/>
  <c r="Q69" i="15"/>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c r="C9" i="43"/>
  <c r="A7" i="43"/>
  <c r="E1" i="61"/>
  <c r="K1" i="61"/>
  <c r="E31" i="1"/>
  <c r="E29" i="1"/>
  <c r="G1" i="15"/>
  <c r="F35" i="11"/>
  <c r="F38" i="11"/>
  <c r="E37" i="11"/>
  <c r="F20" i="11"/>
  <c r="F21" i="11"/>
  <c r="C40" i="11" s="1"/>
  <c r="F7" i="11"/>
  <c r="C7" i="11" s="1"/>
  <c r="C5" i="11"/>
  <c r="F12" i="12"/>
  <c r="F13" i="12"/>
  <c r="F15" i="12"/>
  <c r="E14" i="12"/>
  <c r="E19" i="12"/>
  <c r="E20" i="12"/>
  <c r="E17" i="12"/>
  <c r="F22" i="12"/>
  <c r="F23" i="12"/>
  <c r="F24" i="12"/>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E90" i="9"/>
  <c r="H77" i="9"/>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30" i="31"/>
  <c r="E31" i="31"/>
  <c r="P26" i="31"/>
  <c r="N26" i="31"/>
  <c r="L26" i="31"/>
  <c r="J26" i="31"/>
  <c r="H26" i="31"/>
  <c r="F26" i="31"/>
  <c r="D26" i="31"/>
  <c r="D15"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F41" i="21"/>
  <c r="J41" i="21"/>
  <c r="AC41" i="21" s="1"/>
  <c r="H41" i="21"/>
  <c r="U41" i="21" s="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H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c r="H107" i="39" s="1"/>
  <c r="I107" i="39" s="1"/>
  <c r="J107" i="39" s="1"/>
  <c r="K107" i="39" s="1"/>
  <c r="L107" i="39" s="1"/>
  <c r="M107" i="39" s="1"/>
  <c r="D105" i="39"/>
  <c r="E105" i="39"/>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F25" i="37" s="1"/>
  <c r="B110" i="37"/>
  <c r="J39" i="37"/>
  <c r="AC39" i="37" s="1"/>
  <c r="B108" i="37"/>
  <c r="C23" i="37"/>
  <c r="C19" i="37"/>
  <c r="C17" i="37"/>
  <c r="C15" i="37"/>
  <c r="B112" i="37"/>
  <c r="H40" i="37"/>
  <c r="D107" i="37"/>
  <c r="E107" i="37"/>
  <c r="F107" i="37" s="1"/>
  <c r="G107" i="37" s="1"/>
  <c r="H107" i="37" s="1"/>
  <c r="I107" i="37"/>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c r="G79" i="37" s="1"/>
  <c r="D75" i="37"/>
  <c r="E75" i="37" s="1"/>
  <c r="F75" i="37"/>
  <c r="D73" i="37"/>
  <c r="E73" i="37"/>
  <c r="J17" i="37"/>
  <c r="D71" i="37"/>
  <c r="E71" i="37" s="1"/>
  <c r="F71" i="37" s="1"/>
  <c r="G71" i="37" s="1"/>
  <c r="B68" i="37"/>
  <c r="H14" i="37" s="1"/>
  <c r="B66" i="37"/>
  <c r="B64" i="37"/>
  <c r="H12" i="37" s="1"/>
  <c r="U12" i="37"/>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D70" i="36"/>
  <c r="H22" i="36"/>
  <c r="AB22" i="36" s="1"/>
  <c r="D68" i="36"/>
  <c r="E68" i="36" s="1"/>
  <c r="F68" i="36"/>
  <c r="G68" i="36" s="1"/>
  <c r="D64" i="36"/>
  <c r="E64" i="36" s="1"/>
  <c r="F64" i="36"/>
  <c r="G64" i="36" s="1"/>
  <c r="J16" i="36"/>
  <c r="W16" i="36" s="1"/>
  <c r="D62" i="36"/>
  <c r="E62" i="36" s="1"/>
  <c r="F62" i="36" s="1"/>
  <c r="G62" i="36" s="1"/>
  <c r="H14" i="36"/>
  <c r="AB14" i="36" s="1"/>
  <c r="B59" i="36"/>
  <c r="B57" i="36"/>
  <c r="B55" i="36"/>
  <c r="F54" i="36"/>
  <c r="G54" i="36"/>
  <c r="H54" i="36" s="1"/>
  <c r="I54" i="36"/>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48" i="35" s="1"/>
  <c r="E48" i="35" s="1"/>
  <c r="D120" i="34"/>
  <c r="E120" i="34"/>
  <c r="F120" i="34" s="1"/>
  <c r="G120" i="34" s="1"/>
  <c r="H120" i="34" s="1"/>
  <c r="I120" i="34" s="1"/>
  <c r="J120" i="34" s="1"/>
  <c r="K120" i="34" s="1"/>
  <c r="L120" i="34" s="1"/>
  <c r="M120" i="34" s="1"/>
  <c r="D90" i="34"/>
  <c r="D21" i="31" s="1"/>
  <c r="E90" i="34"/>
  <c r="J27"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D88" i="34"/>
  <c r="E88" i="34"/>
  <c r="F88" i="34" s="1"/>
  <c r="G88" i="34"/>
  <c r="H88" i="34" s="1"/>
  <c r="I88" i="34" s="1"/>
  <c r="J88" i="34" s="1"/>
  <c r="K88" i="34" s="1"/>
  <c r="L88" i="34" s="1"/>
  <c r="M88" i="34" s="1"/>
  <c r="D86" i="34"/>
  <c r="E86" i="34"/>
  <c r="D82" i="34"/>
  <c r="E82" i="34"/>
  <c r="F82" i="34" s="1"/>
  <c r="G82" i="34"/>
  <c r="F19" i="34"/>
  <c r="D80" i="34"/>
  <c r="E80" i="34" s="1"/>
  <c r="D78" i="34"/>
  <c r="E78" i="34" s="1"/>
  <c r="F78" i="34"/>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s="1"/>
  <c r="C18" i="20"/>
  <c r="B71" i="43" s="1"/>
  <c r="C17" i="20"/>
  <c r="B59" i="43" s="1"/>
  <c r="C16" i="20"/>
  <c r="B48" i="43" s="1"/>
  <c r="C15" i="20"/>
  <c r="B70" i="43" s="1"/>
  <c r="E54" i="21"/>
  <c r="F54" i="21" s="1"/>
  <c r="I54" i="21"/>
  <c r="J54" i="21" s="1"/>
  <c r="G54" i="21"/>
  <c r="H54" i="21" s="1"/>
  <c r="D125" i="21"/>
  <c r="E125" i="21" s="1"/>
  <c r="F125" i="21"/>
  <c r="G125" i="21" s="1"/>
  <c r="D123" i="21"/>
  <c r="E123" i="21" s="1"/>
  <c r="F123" i="21"/>
  <c r="G123" i="21" s="1"/>
  <c r="H123" i="21" s="1"/>
  <c r="I123" i="21" s="1"/>
  <c r="J123" i="21" s="1"/>
  <c r="K123" i="21" s="1"/>
  <c r="L123" i="21" s="1"/>
  <c r="M123" i="21" s="1"/>
  <c r="F42" i="21"/>
  <c r="AA42" i="21" s="1"/>
  <c r="D119" i="21"/>
  <c r="D117" i="21"/>
  <c r="E117" i="21"/>
  <c r="D115" i="21"/>
  <c r="E115" i="21"/>
  <c r="F115" i="21" s="1"/>
  <c r="G115" i="21"/>
  <c r="H115" i="21" s="1"/>
  <c r="I115" i="21" s="1"/>
  <c r="J115" i="21" s="1"/>
  <c r="K115" i="21" s="1"/>
  <c r="L115" i="21" s="1"/>
  <c r="M115" i="21" s="1"/>
  <c r="D113" i="21"/>
  <c r="E113" i="21"/>
  <c r="F113" i="21" s="1"/>
  <c r="G113" i="21"/>
  <c r="H113" i="21" s="1"/>
  <c r="F37" i="21"/>
  <c r="AA37" i="21" s="1"/>
  <c r="D110" i="21"/>
  <c r="E110" i="21" s="1"/>
  <c r="F110" i="21" s="1"/>
  <c r="G110" i="21" s="1"/>
  <c r="H110" i="21" s="1"/>
  <c r="I110" i="21" s="1"/>
  <c r="J110" i="21" s="1"/>
  <c r="K110" i="21" s="1"/>
  <c r="L110" i="21" s="1"/>
  <c r="M110" i="21" s="1"/>
  <c r="J36" i="21"/>
  <c r="D108" i="21"/>
  <c r="E108" i="21"/>
  <c r="F108" i="21" s="1"/>
  <c r="G108" i="21"/>
  <c r="H108" i="21" s="1"/>
  <c r="I108" i="21" s="1"/>
  <c r="J108" i="21" s="1"/>
  <c r="K108" i="21" s="1"/>
  <c r="L108" i="21" s="1"/>
  <c r="M108" i="21" s="1"/>
  <c r="D106" i="21"/>
  <c r="D101" i="21"/>
  <c r="D89" i="21"/>
  <c r="E89" i="21"/>
  <c r="F89" i="21" s="1"/>
  <c r="G89" i="21"/>
  <c r="H89" i="21" s="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66" i="21"/>
  <c r="E66" i="21" s="1"/>
  <c r="F66" i="21" s="1"/>
  <c r="G66" i="21" s="1"/>
  <c r="H66" i="21" s="1"/>
  <c r="I66" i="21" s="1"/>
  <c r="D111" i="21"/>
  <c r="E111" i="21"/>
  <c r="F111" i="21"/>
  <c r="C111" i="21"/>
  <c r="D79" i="21"/>
  <c r="E79" i="21" s="1"/>
  <c r="F79" i="21"/>
  <c r="G79" i="21" s="1"/>
  <c r="D85" i="21"/>
  <c r="E85" i="21" s="1"/>
  <c r="F85" i="21"/>
  <c r="G85" i="21" s="1"/>
  <c r="D81" i="21"/>
  <c r="E81" i="21" s="1"/>
  <c r="F81" i="21"/>
  <c r="G81" i="21" s="1"/>
  <c r="D77" i="21"/>
  <c r="E77" i="21" s="1"/>
  <c r="F77" i="2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S41" i="21"/>
  <c r="AA41" i="21"/>
  <c r="W41" i="21"/>
  <c r="F45" i="39"/>
  <c r="J45" i="39"/>
  <c r="W45" i="39" s="1"/>
  <c r="J44" i="39"/>
  <c r="F36" i="39"/>
  <c r="S36" i="39"/>
  <c r="H36" i="39"/>
  <c r="AB36" i="39"/>
  <c r="J36" i="39"/>
  <c r="AC36" i="39"/>
  <c r="S8" i="39"/>
  <c r="U38" i="39"/>
  <c r="H32" i="37"/>
  <c r="AB32" i="37"/>
  <c r="W31" i="37"/>
  <c r="F39" i="37"/>
  <c r="S39" i="37"/>
  <c r="W30" i="37"/>
  <c r="F29" i="36"/>
  <c r="AA29" i="36"/>
  <c r="F16" i="36"/>
  <c r="S16" i="36"/>
  <c r="S23" i="36"/>
  <c r="W22" i="36"/>
  <c r="AA31" i="36"/>
  <c r="AC31" i="36"/>
  <c r="W31" i="36"/>
  <c r="U31" i="36"/>
  <c r="J33" i="36"/>
  <c r="W33" i="36"/>
  <c r="AB34" i="36"/>
  <c r="H22" i="35"/>
  <c r="AB22" i="35" s="1"/>
  <c r="U31" i="35"/>
  <c r="S32" i="35"/>
  <c r="S31" i="35"/>
  <c r="W31" i="35"/>
  <c r="U32" i="35"/>
  <c r="F36" i="34"/>
  <c r="AA36" i="34" s="1"/>
  <c r="U39" i="34"/>
  <c r="H39" i="33"/>
  <c r="AB39" i="33"/>
  <c r="S40" i="33"/>
  <c r="W8" i="21"/>
  <c r="AC38" i="21"/>
  <c r="H39" i="37"/>
  <c r="AB39" i="37" s="1"/>
  <c r="S27" i="35"/>
  <c r="F11" i="40"/>
  <c r="AA11" i="40"/>
  <c r="H11" i="40"/>
  <c r="AB11" i="40" s="1"/>
  <c r="W8" i="40"/>
  <c r="S34" i="40"/>
  <c r="U34"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H11" i="39"/>
  <c r="AB11" i="39" s="1"/>
  <c r="AB39" i="39"/>
  <c r="H11" i="21"/>
  <c r="U11" i="21"/>
  <c r="J11" i="21"/>
  <c r="AC11"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U40" i="33"/>
  <c r="U8" i="33"/>
  <c r="S8" i="33"/>
  <c r="F37" i="40"/>
  <c r="AA37" i="40"/>
  <c r="F36" i="40"/>
  <c r="AA36" i="40"/>
  <c r="J27" i="40"/>
  <c r="W27" i="40"/>
  <c r="F27" i="40"/>
  <c r="S27" i="40"/>
  <c r="F23" i="40"/>
  <c r="AA23" i="40"/>
  <c r="AB30" i="36"/>
  <c r="AC30"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AA14" i="34" s="1"/>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C4" i="12"/>
  <c r="O30" i="31"/>
  <c r="O31" i="31"/>
  <c r="M30" i="31"/>
  <c r="M31" i="31"/>
  <c r="E15" i="31"/>
  <c r="F15" i="31"/>
  <c r="G15" i="31" s="1"/>
  <c r="H15" i="31" s="1"/>
  <c r="I15" i="31" s="1"/>
  <c r="J15" i="31" s="1"/>
  <c r="K15" i="31" s="1"/>
  <c r="L15" i="31" s="1"/>
  <c r="M15" i="31" s="1"/>
  <c r="N15" i="31" s="1"/>
  <c r="O15" i="31" s="1"/>
  <c r="P15" i="31" s="1"/>
  <c r="Q15" i="31" s="1"/>
  <c r="R15" i="31" s="1"/>
  <c r="S15" i="31" s="1"/>
  <c r="W43" i="2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U11" i="40"/>
  <c r="AC33" i="36"/>
  <c r="AB20" i="35"/>
  <c r="U39" i="37"/>
  <c r="AC8" i="37"/>
  <c r="AB8" i="34"/>
  <c r="AA13" i="33"/>
  <c r="AA30" i="33"/>
  <c r="S11" i="33"/>
  <c r="AC33" i="21"/>
  <c r="AB38" i="21"/>
  <c r="W10" i="36"/>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D18" i="47"/>
  <c r="D20" i="47"/>
  <c r="D22" i="47"/>
  <c r="F15" i="47"/>
  <c r="B13" i="47" s="1"/>
  <c r="D26" i="47"/>
  <c r="F26" i="47" s="1"/>
  <c r="B24" i="47" s="1"/>
  <c r="D28" i="47"/>
  <c r="D30" i="47"/>
  <c r="D32" i="47"/>
  <c r="D34" i="47"/>
  <c r="D38" i="47"/>
  <c r="D40" i="47"/>
  <c r="D42" i="47"/>
  <c r="D44" i="47"/>
  <c r="D9" i="47"/>
  <c r="D8" i="47"/>
  <c r="D6" i="47"/>
  <c r="F4" i="47"/>
  <c r="B2" i="47" s="1"/>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C21" i="11"/>
  <c r="H55" i="39"/>
  <c r="S30" i="40"/>
  <c r="G60" i="40"/>
  <c r="C60" i="40" s="1"/>
  <c r="H16" i="44"/>
  <c r="E17" i="43"/>
  <c r="D108" i="9"/>
  <c r="F22" i="43"/>
  <c r="B56" i="60"/>
  <c r="G22" i="43"/>
  <c r="E22" i="43"/>
  <c r="H14" i="44"/>
  <c r="B57" i="60"/>
  <c r="W40" i="39"/>
  <c r="AC20" i="35"/>
  <c r="S39" i="34"/>
  <c r="AC10" i="34"/>
  <c r="AB30"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S28" i="34"/>
  <c r="J33" i="34"/>
  <c r="W33" i="34" s="1"/>
  <c r="AB33" i="34"/>
  <c r="J26" i="35"/>
  <c r="W26" i="35"/>
  <c r="F26" i="35"/>
  <c r="AA26" i="35"/>
  <c r="H26" i="35"/>
  <c r="U26" i="35"/>
  <c r="U28" i="21"/>
  <c r="K145" i="21"/>
  <c r="K144" i="21"/>
  <c r="K141" i="21"/>
  <c r="K143" i="21"/>
  <c r="W25" i="21"/>
  <c r="B101" i="9"/>
  <c r="C112" i="9"/>
  <c r="H110" i="9" s="1"/>
  <c r="F23" i="21"/>
  <c r="AA23" i="21" s="1"/>
  <c r="J23" i="21"/>
  <c r="AC23" i="21" s="1"/>
  <c r="H23" i="21"/>
  <c r="U23" i="21" s="1"/>
  <c r="F17" i="21"/>
  <c r="AA17" i="21" s="1"/>
  <c r="J17" i="21"/>
  <c r="AC17" i="21" s="1"/>
  <c r="H17" i="21"/>
  <c r="AB17" i="21" s="1"/>
  <c r="J15" i="21"/>
  <c r="W15" i="21" s="1"/>
  <c r="U35" i="21"/>
  <c r="AC35" i="21"/>
  <c r="H102" i="57"/>
  <c r="A131" i="9"/>
  <c r="A134" i="57"/>
  <c r="B102" i="57"/>
  <c r="B106" i="57"/>
  <c r="C111" i="57"/>
  <c r="H106" i="57"/>
  <c r="D127" i="57"/>
  <c r="S23" i="21"/>
  <c r="AC15" i="21"/>
  <c r="C109" i="57"/>
  <c r="H103" i="57"/>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s="1"/>
  <c r="C18" i="57"/>
  <c r="D18" i="57" s="1"/>
  <c r="D47" i="15"/>
  <c r="AB12" i="37"/>
  <c r="J37" i="37"/>
  <c r="W37" i="37" s="1"/>
  <c r="AB40" i="37"/>
  <c r="U40" i="37"/>
  <c r="U15" i="21"/>
  <c r="AB15" i="21"/>
  <c r="AA16" i="35"/>
  <c r="S14" i="39"/>
  <c r="AB29" i="35"/>
  <c r="U29" i="35"/>
  <c r="AA35" i="39"/>
  <c r="AB21" i="39"/>
  <c r="U25" i="35"/>
  <c r="U36" i="37"/>
  <c r="S14" i="34"/>
  <c r="W44" i="21"/>
  <c r="AB38" i="34"/>
  <c r="U38" i="34"/>
  <c r="F40" i="34"/>
  <c r="AA40" i="34"/>
  <c r="G118" i="34"/>
  <c r="U20" i="36"/>
  <c r="AB20" i="36"/>
  <c r="AA16" i="36"/>
  <c r="AC44" i="39"/>
  <c r="W44" i="39"/>
  <c r="H13" i="21"/>
  <c r="U13" i="21"/>
  <c r="J13" i="21"/>
  <c r="F13" i="21"/>
  <c r="AA13" i="21" s="1"/>
  <c r="J45" i="21"/>
  <c r="W45" i="21" s="1"/>
  <c r="F45" i="21"/>
  <c r="AA45" i="21"/>
  <c r="S42" i="21"/>
  <c r="B41" i="47"/>
  <c r="C23" i="40"/>
  <c r="AC8" i="34"/>
  <c r="W8" i="34"/>
  <c r="W12" i="34"/>
  <c r="AC12" i="34"/>
  <c r="J9" i="34"/>
  <c r="AC9" i="34" s="1"/>
  <c r="F9" i="34"/>
  <c r="S9" i="34" s="1"/>
  <c r="AA19" i="34"/>
  <c r="S19" i="34"/>
  <c r="AA9" i="36"/>
  <c r="S9" i="36"/>
  <c r="J12" i="36"/>
  <c r="W12" i="36" s="1"/>
  <c r="H12" i="36"/>
  <c r="AB12" i="36" s="1"/>
  <c r="AA9" i="39"/>
  <c r="S9" i="39"/>
  <c r="AB12" i="39"/>
  <c r="U12" i="39"/>
  <c r="J12" i="39"/>
  <c r="AC12" i="39" s="1"/>
  <c r="F12" i="39"/>
  <c r="S12" i="39"/>
  <c r="B103" i="9"/>
  <c r="F15" i="21"/>
  <c r="S15" i="21" s="1"/>
  <c r="C106" i="9"/>
  <c r="H102" i="9" s="1"/>
  <c r="AA30" i="21"/>
  <c r="J36" i="34"/>
  <c r="W36" i="34"/>
  <c r="S8" i="34"/>
  <c r="J19" i="40"/>
  <c r="AC19" i="40" s="1"/>
  <c r="W9" i="39"/>
  <c r="H32" i="39"/>
  <c r="U32" i="39" s="1"/>
  <c r="F21" i="39"/>
  <c r="AA21" i="39" s="1"/>
  <c r="F37" i="47"/>
  <c r="B35" i="47" s="1"/>
  <c r="F31" i="37"/>
  <c r="AA31" i="37" s="1"/>
  <c r="U25" i="36"/>
  <c r="S44" i="21"/>
  <c r="AC36" i="40"/>
  <c r="F17" i="37"/>
  <c r="AA17" i="37"/>
  <c r="AA29" i="33"/>
  <c r="AB28" i="36"/>
  <c r="AB13" i="40"/>
  <c r="U33" i="40"/>
  <c r="AB13" i="37"/>
  <c r="U11" i="36"/>
  <c r="AB11" i="35"/>
  <c r="U32" i="34"/>
  <c r="AB32" i="34"/>
  <c r="AA30" i="34"/>
  <c r="H45" i="21"/>
  <c r="AB45" i="21"/>
  <c r="J14" i="36"/>
  <c r="AC14" i="36"/>
  <c r="AA30" i="35"/>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H28" i="34"/>
  <c r="U28" i="34"/>
  <c r="E116" i="34"/>
  <c r="F116" i="34"/>
  <c r="G116" i="34" s="1"/>
  <c r="H116" i="34" s="1"/>
  <c r="I116" i="34" s="1"/>
  <c r="J116" i="34" s="1"/>
  <c r="K116" i="34" s="1"/>
  <c r="L116" i="34" s="1"/>
  <c r="M116" i="34" s="1"/>
  <c r="J39" i="34"/>
  <c r="W39" i="34" s="1"/>
  <c r="J27" i="36"/>
  <c r="W27" i="36" s="1"/>
  <c r="H37" i="34"/>
  <c r="U37" i="34"/>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AC27" i="21"/>
  <c r="H27" i="36"/>
  <c r="AB27" i="36"/>
  <c r="F27" i="36"/>
  <c r="AA27" i="36"/>
  <c r="J28" i="34"/>
  <c r="W28" i="34"/>
  <c r="H11" i="34"/>
  <c r="U11" i="34" s="1"/>
  <c r="S17" i="37"/>
  <c r="J11" i="37"/>
  <c r="AC11" i="37"/>
  <c r="AC36" i="34"/>
  <c r="W12" i="39"/>
  <c r="W9" i="34"/>
  <c r="S45" i="21"/>
  <c r="AB13" i="21"/>
  <c r="U38" i="40"/>
  <c r="F23" i="39"/>
  <c r="AA23" i="39"/>
  <c r="S24" i="36"/>
  <c r="F44" i="34"/>
  <c r="F126" i="34"/>
  <c r="G126" i="34" s="1"/>
  <c r="J44" i="34"/>
  <c r="AC44" i="34" s="1"/>
  <c r="S40" i="21"/>
  <c r="W27" i="37"/>
  <c r="H60" i="37"/>
  <c r="H10" i="37"/>
  <c r="U10" i="37"/>
  <c r="AA27" i="33"/>
  <c r="S31" i="21"/>
  <c r="AB29" i="21"/>
  <c r="AC27" i="36"/>
  <c r="U9" i="34"/>
  <c r="J32" i="33"/>
  <c r="W32" i="33"/>
  <c r="H32" i="33"/>
  <c r="AB32" i="33"/>
  <c r="U45" i="21"/>
  <c r="AC45" i="21"/>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E48" i="43" s="1"/>
  <c r="M48" i="43"/>
  <c r="N48" i="43"/>
  <c r="K52" i="43"/>
  <c r="J52" i="43"/>
  <c r="D52" i="43"/>
  <c r="M52" i="43"/>
  <c r="N52" i="43" s="1"/>
  <c r="K56" i="43"/>
  <c r="J56" i="43" s="1"/>
  <c r="D56" i="43"/>
  <c r="M56" i="43"/>
  <c r="N56" i="43"/>
  <c r="C115" i="57"/>
  <c r="H111" i="57"/>
  <c r="F43" i="15"/>
  <c r="F72" i="15"/>
  <c r="D93" i="9"/>
  <c r="D37" i="11"/>
  <c r="C37" i="11" s="1"/>
  <c r="M29" i="15"/>
  <c r="P51" i="15"/>
  <c r="H56" i="43"/>
  <c r="D10" i="11"/>
  <c r="C10" i="11"/>
  <c r="C2" i="31"/>
  <c r="I23" i="31"/>
  <c r="P60" i="15"/>
  <c r="D3" i="35"/>
  <c r="D3" i="34"/>
  <c r="C34" i="34" s="1"/>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J37" i="40"/>
  <c r="W37" i="40" s="1"/>
  <c r="H35" i="40"/>
  <c r="H37" i="40"/>
  <c r="U37" i="40" s="1"/>
  <c r="H28" i="40"/>
  <c r="F28" i="40"/>
  <c r="AA28" i="40" s="1"/>
  <c r="J28" i="40"/>
  <c r="F98" i="40"/>
  <c r="G98" i="40" s="1"/>
  <c r="H98" i="40" s="1"/>
  <c r="I98" i="40" s="1"/>
  <c r="J98" i="40" s="1"/>
  <c r="K98" i="40" s="1"/>
  <c r="L98" i="40" s="1"/>
  <c r="M98" i="40" s="1"/>
  <c r="F21" i="40"/>
  <c r="S21" i="40" s="1"/>
  <c r="H21" i="40"/>
  <c r="F90" i="40"/>
  <c r="G90" i="40" s="1"/>
  <c r="J21" i="40"/>
  <c r="W21" i="40" s="1"/>
  <c r="W19" i="40"/>
  <c r="F86" i="40"/>
  <c r="G86" i="40"/>
  <c r="H17" i="40"/>
  <c r="U17" i="40"/>
  <c r="J17" i="40"/>
  <c r="F17" i="40"/>
  <c r="S17" i="40" s="1"/>
  <c r="F84" i="40"/>
  <c r="G84" i="40" s="1"/>
  <c r="F15" i="40"/>
  <c r="AA15" i="40" s="1"/>
  <c r="J15" i="40"/>
  <c r="H15" i="40"/>
  <c r="AC25" i="40"/>
  <c r="W25" i="40"/>
  <c r="U19" i="40"/>
  <c r="U14" i="40"/>
  <c r="U8" i="40"/>
  <c r="AA19" i="40"/>
  <c r="S36" i="40"/>
  <c r="AA35" i="40"/>
  <c r="AC38" i="39"/>
  <c r="AC17" i="39"/>
  <c r="AA37" i="39"/>
  <c r="AB29" i="39"/>
  <c r="AC25" i="39"/>
  <c r="S23" i="39"/>
  <c r="S21" i="39"/>
  <c r="W27" i="39"/>
  <c r="AC27" i="39"/>
  <c r="W35" i="39"/>
  <c r="AC15" i="39"/>
  <c r="U41" i="39"/>
  <c r="AB15" i="39"/>
  <c r="U42" i="39"/>
  <c r="AB13" i="39"/>
  <c r="U19" i="39"/>
  <c r="AB27" i="39"/>
  <c r="U27" i="39"/>
  <c r="AA27" i="39"/>
  <c r="S27" i="39"/>
  <c r="S40" i="39"/>
  <c r="S31"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AB28" i="37"/>
  <c r="AC12" i="37"/>
  <c r="J33" i="37"/>
  <c r="W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W17" i="37"/>
  <c r="AC17" i="37"/>
  <c r="AB17" i="37"/>
  <c r="S15" i="37"/>
  <c r="J15" i="37"/>
  <c r="W15" i="37" s="1"/>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K106" i="9" s="1"/>
  <c r="A18" i="55" s="1"/>
  <c r="B48" i="60" s="1"/>
  <c r="D6" i="52"/>
  <c r="K107" i="57"/>
  <c r="D33" i="50"/>
  <c r="D12" i="50"/>
  <c r="B26" i="60"/>
  <c r="D34" i="50"/>
  <c r="D13" i="50"/>
  <c r="B27" i="60" s="1"/>
  <c r="D31" i="50"/>
  <c r="D32" i="50" s="1"/>
  <c r="D10" i="50"/>
  <c r="D111" i="57"/>
  <c r="D35" i="50"/>
  <c r="D14" i="50"/>
  <c r="B28" i="60"/>
  <c r="C18" i="9"/>
  <c r="D18" i="9" s="1"/>
  <c r="D22" i="15"/>
  <c r="A14" i="52"/>
  <c r="B61" i="60"/>
  <c r="C29" i="11"/>
  <c r="D27" i="11"/>
  <c r="C47" i="11"/>
  <c r="D45" i="11"/>
  <c r="F124" i="57"/>
  <c r="G124" i="57" s="1"/>
  <c r="Y25" i="31"/>
  <c r="C36" i="57" s="1"/>
  <c r="D124" i="57"/>
  <c r="D125" i="57" s="1"/>
  <c r="V25" i="31"/>
  <c r="C35" i="57" s="1"/>
  <c r="A4" i="54"/>
  <c r="B6" i="60"/>
  <c r="L103" i="43"/>
  <c r="H102" i="43"/>
  <c r="D109" i="43"/>
  <c r="K107" i="43"/>
  <c r="C106" i="43"/>
  <c r="D3" i="21"/>
  <c r="N9" i="43"/>
  <c r="M6" i="43"/>
  <c r="N11" i="43"/>
  <c r="M5" i="43"/>
  <c r="N2" i="43"/>
  <c r="F81" i="43"/>
  <c r="H85" i="43"/>
  <c r="N10" i="43"/>
  <c r="H13" i="44"/>
  <c r="H5" i="44"/>
  <c r="G59" i="40"/>
  <c r="C59" i="40" s="1"/>
  <c r="H11" i="44"/>
  <c r="A6" i="54"/>
  <c r="B7" i="60"/>
  <c r="C51" i="10"/>
  <c r="A8" i="54"/>
  <c r="B8" i="60" s="1"/>
  <c r="F2" i="21"/>
  <c r="F2" i="34"/>
  <c r="F2" i="35"/>
  <c r="F2" i="33"/>
  <c r="C109" i="9"/>
  <c r="H106" i="9" s="1"/>
  <c r="C111" i="9"/>
  <c r="H108" i="9" s="1"/>
  <c r="H105" i="9"/>
  <c r="C110" i="9"/>
  <c r="H107" i="9"/>
  <c r="D35" i="57"/>
  <c r="C117" i="57"/>
  <c r="H113" i="57" s="1"/>
  <c r="C114" i="9"/>
  <c r="H112" i="9" s="1"/>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19" i="11" s="1"/>
  <c r="C20" i="11"/>
  <c r="C17" i="12"/>
  <c r="C20" i="12"/>
  <c r="C19" i="12"/>
  <c r="M18" i="15"/>
  <c r="D69" i="57"/>
  <c r="F54" i="57"/>
  <c r="F31" i="12"/>
  <c r="F52" i="9"/>
  <c r="F48" i="9"/>
  <c r="O52" i="9"/>
  <c r="F30" i="11"/>
  <c r="F32" i="15"/>
  <c r="F61" i="15" s="1"/>
  <c r="F28" i="15"/>
  <c r="F49" i="57"/>
  <c r="O53" i="57" s="1"/>
  <c r="F55" i="57"/>
  <c r="F53" i="57"/>
  <c r="F54" i="9"/>
  <c r="D68" i="9"/>
  <c r="F53" i="9"/>
  <c r="G22" i="11"/>
  <c r="G41" i="11"/>
  <c r="H113" i="43"/>
  <c r="X7" i="43"/>
  <c r="E59" i="43"/>
  <c r="B57" i="43" s="1"/>
  <c r="E70" i="43"/>
  <c r="B68" i="43" s="1"/>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C7" i="39"/>
  <c r="C68" i="39" s="1"/>
  <c r="D68" i="39" s="1"/>
  <c r="E68" i="39" s="1"/>
  <c r="E70" i="39" s="1"/>
  <c r="C70" i="39"/>
  <c r="C53" i="10"/>
  <c r="D124" i="9"/>
  <c r="D7" i="52"/>
  <c r="M48" i="57"/>
  <c r="D63" i="40"/>
  <c r="E63" i="40" s="1"/>
  <c r="E65" i="40" s="1"/>
  <c r="B58" i="60"/>
  <c r="A12" i="52"/>
  <c r="B67" i="60" s="1"/>
  <c r="C94" i="9"/>
  <c r="H49" i="43"/>
  <c r="L105" i="43"/>
  <c r="L109" i="43"/>
  <c r="H105" i="43"/>
  <c r="H107" i="43"/>
  <c r="D104" i="43"/>
  <c r="K106" i="43"/>
  <c r="K102" i="43"/>
  <c r="G105" i="43"/>
  <c r="G109" i="43"/>
  <c r="C104" i="43"/>
  <c r="C107" i="43"/>
  <c r="A4" i="52"/>
  <c r="A124" i="57"/>
  <c r="M47" i="9"/>
  <c r="N104" i="46"/>
  <c r="C7" i="21"/>
  <c r="C58" i="21"/>
  <c r="J7" i="21" s="1"/>
  <c r="C7" i="33"/>
  <c r="C58" i="33"/>
  <c r="D58" i="33" s="1"/>
  <c r="E58" i="33" s="1"/>
  <c r="F58" i="33" s="1"/>
  <c r="G58" i="33" s="1"/>
  <c r="H58" i="33" s="1"/>
  <c r="I58" i="33" s="1"/>
  <c r="J58" i="33" s="1"/>
  <c r="K58" i="33" s="1"/>
  <c r="L58" i="33" s="1"/>
  <c r="M58" i="33" s="1"/>
  <c r="N58" i="33" s="1"/>
  <c r="O58" i="33" s="1"/>
  <c r="C7" i="37"/>
  <c r="C52" i="37"/>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c r="F115" i="43" s="1"/>
  <c r="G115" i="43" s="1"/>
  <c r="H115" i="43" s="1"/>
  <c r="B117" i="43"/>
  <c r="C117" i="43" s="1"/>
  <c r="M109" i="43"/>
  <c r="I107" i="43"/>
  <c r="N106" i="43"/>
  <c r="J105" i="43"/>
  <c r="F104" i="43"/>
  <c r="G37" i="47"/>
  <c r="C23" i="43"/>
  <c r="C7" i="34"/>
  <c r="C59" i="34"/>
  <c r="C7" i="36"/>
  <c r="C46" i="36" s="1"/>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3" i="43"/>
  <c r="M7" i="43"/>
  <c r="M11" i="43"/>
  <c r="N4" i="43"/>
  <c r="N8" i="43"/>
  <c r="N12" i="43"/>
  <c r="H8" i="44"/>
  <c r="H10" i="44"/>
  <c r="D22" i="43"/>
  <c r="C21" i="43" s="1"/>
  <c r="H7" i="44"/>
  <c r="H12" i="44"/>
  <c r="H9" i="44"/>
  <c r="C63" i="39"/>
  <c r="G64" i="39"/>
  <c r="C64" i="39"/>
  <c r="M85" i="43"/>
  <c r="N85" i="43"/>
  <c r="K85" i="43"/>
  <c r="J85" i="43"/>
  <c r="D85" i="43"/>
  <c r="M82" i="43"/>
  <c r="N82" i="43" s="1"/>
  <c r="K83" i="43"/>
  <c r="J83" i="43" s="1"/>
  <c r="D83" i="43"/>
  <c r="E81" i="43" s="1"/>
  <c r="B79" i="43" s="1"/>
  <c r="H88" i="43"/>
  <c r="H84" i="43"/>
  <c r="H81" i="43"/>
  <c r="H66" i="43"/>
  <c r="H62" i="43"/>
  <c r="H67" i="43"/>
  <c r="H54" i="43"/>
  <c r="H50" i="43"/>
  <c r="H55" i="43"/>
  <c r="F51" i="15"/>
  <c r="C50" i="15" s="1"/>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c r="F35" i="15"/>
  <c r="F64" i="15"/>
  <c r="C63" i="15" s="1"/>
  <c r="E18" i="1"/>
  <c r="C17" i="15"/>
  <c r="A2" i="9"/>
  <c r="M46" i="9"/>
  <c r="F9" i="48"/>
  <c r="H9" i="48" s="1"/>
  <c r="W23" i="40"/>
  <c r="F10" i="48"/>
  <c r="H10" i="48" s="1"/>
  <c r="S23" i="40"/>
  <c r="U23" i="40"/>
  <c r="S38" i="40"/>
  <c r="U40" i="40"/>
  <c r="S33" i="40"/>
  <c r="AB31" i="40"/>
  <c r="AC14" i="40"/>
  <c r="AC13" i="40"/>
  <c r="S14" i="40"/>
  <c r="S31"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U30" i="35"/>
  <c r="S28" i="35"/>
  <c r="F22" i="48"/>
  <c r="H22" i="48" s="1"/>
  <c r="B5" i="48"/>
  <c r="D5" i="48" s="1"/>
  <c r="B4" i="48"/>
  <c r="D4" i="48" s="1"/>
  <c r="F11" i="48"/>
  <c r="H11" i="48" s="1"/>
  <c r="B9" i="48"/>
  <c r="D9" i="48" s="1"/>
  <c r="B7" i="48"/>
  <c r="D7" i="48" s="1"/>
  <c r="B8" i="48"/>
  <c r="AC34" i="37"/>
  <c r="U29" i="37"/>
  <c r="U30" i="37"/>
  <c r="S40" i="37"/>
  <c r="AC29" i="37"/>
  <c r="U26" i="37"/>
  <c r="AC13" i="37"/>
  <c r="U38" i="37"/>
  <c r="AA13" i="37"/>
  <c r="AA8" i="37"/>
  <c r="S9" i="37"/>
  <c r="G84" i="34"/>
  <c r="J21" i="34"/>
  <c r="W21" i="34" s="1"/>
  <c r="AB40" i="34"/>
  <c r="AC19" i="34"/>
  <c r="AC23" i="34"/>
  <c r="AB28" i="34"/>
  <c r="AB37" i="34"/>
  <c r="W41" i="34"/>
  <c r="AA27" i="34"/>
  <c r="AA45" i="34"/>
  <c r="AB45" i="34"/>
  <c r="AB35" i="34"/>
  <c r="AB27" i="34"/>
  <c r="W29" i="34"/>
  <c r="W43" i="34"/>
  <c r="AC25" i="34"/>
  <c r="W44" i="34"/>
  <c r="AB44" i="34"/>
  <c r="AC33" i="34"/>
  <c r="AA33" i="34"/>
  <c r="S35" i="34"/>
  <c r="AB47" i="34"/>
  <c r="U31" i="34"/>
  <c r="AB14" i="34"/>
  <c r="AC45" i="34"/>
  <c r="AA29" i="34"/>
  <c r="AC13" i="34"/>
  <c r="AB13" i="34"/>
  <c r="U10" i="34"/>
  <c r="S13" i="34"/>
  <c r="AA31" i="34"/>
  <c r="AB29" i="34"/>
  <c r="B11" i="48"/>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N60" i="15"/>
  <c r="L60" i="15"/>
  <c r="F125" i="57"/>
  <c r="F5" i="52" s="1"/>
  <c r="B42" i="60" s="1"/>
  <c r="AC21" i="40"/>
  <c r="U35" i="40"/>
  <c r="AB35" i="40"/>
  <c r="AB37" i="40"/>
  <c r="AC37" i="40"/>
  <c r="S28" i="40"/>
  <c r="AC28" i="40"/>
  <c r="W28" i="40"/>
  <c r="U28" i="40"/>
  <c r="AB28" i="40"/>
  <c r="AB21" i="40"/>
  <c r="U21" i="40"/>
  <c r="AA21" i="40"/>
  <c r="AB17" i="40"/>
  <c r="AA17" i="40"/>
  <c r="W17" i="40"/>
  <c r="AC17" i="40"/>
  <c r="S15" i="40"/>
  <c r="AC15" i="40"/>
  <c r="W15" i="40"/>
  <c r="AB33" i="37"/>
  <c r="U33" i="37"/>
  <c r="U35" i="37"/>
  <c r="S33" i="37"/>
  <c r="AA35" i="37"/>
  <c r="S35" i="37"/>
  <c r="AC33" i="37"/>
  <c r="S19" i="37"/>
  <c r="AC15" i="37"/>
  <c r="AC21" i="34"/>
  <c r="M86" i="43"/>
  <c r="N86" i="43" s="1"/>
  <c r="E124" i="57"/>
  <c r="J6" i="15"/>
  <c r="C18" i="12"/>
  <c r="F34" i="11"/>
  <c r="E19" i="1"/>
  <c r="D20" i="1"/>
  <c r="D18" i="1"/>
  <c r="F50" i="11"/>
  <c r="F19" i="1"/>
  <c r="F18" i="1"/>
  <c r="D19" i="1"/>
  <c r="K87" i="43"/>
  <c r="J87" i="43" s="1"/>
  <c r="D87" i="43"/>
  <c r="C3" i="4"/>
  <c r="B4" i="55" s="1"/>
  <c r="B53" i="60" s="1"/>
  <c r="D46" i="36"/>
  <c r="E46" i="36" s="1"/>
  <c r="F46" i="36" s="1"/>
  <c r="D8" i="48"/>
  <c r="D58" i="21"/>
  <c r="E58" i="21" s="1"/>
  <c r="F58" i="21" s="1"/>
  <c r="G58" i="21" s="1"/>
  <c r="H58" i="21" s="1"/>
  <c r="I58" i="21" s="1"/>
  <c r="J58" i="21" s="1"/>
  <c r="K58" i="21" s="1"/>
  <c r="L58" i="21" s="1"/>
  <c r="M58" i="21" s="1"/>
  <c r="N58" i="21" s="1"/>
  <c r="O58" i="21" s="1"/>
  <c r="D70" i="39"/>
  <c r="D65" i="40"/>
  <c r="C115" i="43"/>
  <c r="J22" i="43"/>
  <c r="M84" i="43"/>
  <c r="N84" i="43"/>
  <c r="K84" i="43"/>
  <c r="J84" i="43"/>
  <c r="D84" i="43"/>
  <c r="M81" i="43"/>
  <c r="N81" i="43" s="1"/>
  <c r="K81" i="43"/>
  <c r="J81" i="43" s="1"/>
  <c r="D81" i="43"/>
  <c r="M88" i="43"/>
  <c r="N88" i="43"/>
  <c r="K88" i="43"/>
  <c r="J88" i="43"/>
  <c r="D88" i="43"/>
  <c r="B40" i="1"/>
  <c r="M27" i="15"/>
  <c r="C34" i="11"/>
  <c r="C35" i="11" s="1"/>
  <c r="C33" i="11" s="1"/>
  <c r="F63" i="40"/>
  <c r="F68" i="39"/>
  <c r="F70" i="39" s="1"/>
  <c r="I111" i="57"/>
  <c r="D128" i="57"/>
  <c r="G14" i="62" s="1"/>
  <c r="B6" i="62" s="1"/>
  <c r="C13" i="12"/>
  <c r="C36" i="11"/>
  <c r="C38" i="11"/>
  <c r="G68" i="39"/>
  <c r="G70" i="39" s="1"/>
  <c r="G63" i="40"/>
  <c r="F65" i="40"/>
  <c r="D115" i="57"/>
  <c r="H68" i="39"/>
  <c r="I68" i="39" s="1"/>
  <c r="H63" i="40"/>
  <c r="I63" i="40" s="1"/>
  <c r="G65" i="40"/>
  <c r="D133" i="57"/>
  <c r="H65" i="40"/>
  <c r="H70" i="39"/>
  <c r="M57" i="57"/>
  <c r="D119" i="57"/>
  <c r="I115" i="57"/>
  <c r="D132" i="57" s="1"/>
  <c r="M56" i="9"/>
  <c r="D130" i="9"/>
  <c r="D13" i="52"/>
  <c r="I114" i="9"/>
  <c r="D116" i="9"/>
  <c r="D129" i="9"/>
  <c r="D42" i="50"/>
  <c r="D43" i="50" s="1"/>
  <c r="D112" i="9"/>
  <c r="I110" i="9"/>
  <c r="D125" i="9" s="1"/>
  <c r="D8" i="52"/>
  <c r="D15" i="50"/>
  <c r="D16" i="50"/>
  <c r="B30" i="60" s="1"/>
  <c r="B29" i="60"/>
  <c r="D36" i="50"/>
  <c r="D37" i="50"/>
  <c r="E4" i="52"/>
  <c r="B38" i="60"/>
  <c r="F4" i="52"/>
  <c r="B40" i="60"/>
  <c r="D5" i="52"/>
  <c r="B39" i="60"/>
  <c r="D4" i="52"/>
  <c r="B37" i="60"/>
  <c r="G4" i="52"/>
  <c r="B41" i="60"/>
  <c r="D7" i="61"/>
  <c r="D4" i="61"/>
  <c r="D5" i="61"/>
  <c r="F5" i="61"/>
  <c r="E2" i="35"/>
  <c r="C20" i="57"/>
  <c r="F7" i="61"/>
  <c r="E2" i="36"/>
  <c r="D19" i="57"/>
  <c r="E2" i="37"/>
  <c r="C19" i="57"/>
  <c r="F4" i="61"/>
  <c r="F6" i="61"/>
  <c r="D3" i="61"/>
  <c r="F3" i="61"/>
  <c r="E2" i="11"/>
  <c r="E2" i="21"/>
  <c r="E2" i="34"/>
  <c r="H23" i="31"/>
  <c r="D6" i="61"/>
  <c r="E2" i="33"/>
  <c r="D20" i="57"/>
  <c r="I65" i="40" l="1"/>
  <c r="J63" i="40"/>
  <c r="AC7" i="21"/>
  <c r="V48" i="21" s="1"/>
  <c r="I48" i="21" s="1"/>
  <c r="W7" i="21"/>
  <c r="I14" i="62"/>
  <c r="B8" i="62" s="1"/>
  <c r="D12" i="52"/>
  <c r="I70" i="39"/>
  <c r="J68" i="39"/>
  <c r="D6" i="62"/>
  <c r="C6" i="62"/>
  <c r="C39" i="11"/>
  <c r="C46" i="11" s="1"/>
  <c r="C45" i="11" s="1"/>
  <c r="G46" i="36"/>
  <c r="H46" i="36" s="1"/>
  <c r="I46" i="36" s="1"/>
  <c r="J46" i="36" s="1"/>
  <c r="K46" i="36" s="1"/>
  <c r="L46" i="36" s="1"/>
  <c r="M46" i="36" s="1"/>
  <c r="N46" i="36" s="1"/>
  <c r="O46" i="36" s="1"/>
  <c r="J7" i="36"/>
  <c r="Q72" i="15"/>
  <c r="Q59" i="15"/>
  <c r="D21" i="50"/>
  <c r="F7" i="33"/>
  <c r="D113" i="43"/>
  <c r="AC21" i="21"/>
  <c r="D59" i="34"/>
  <c r="E59" i="34" s="1"/>
  <c r="F59" i="34" s="1"/>
  <c r="G59" i="34" s="1"/>
  <c r="H59" i="34" s="1"/>
  <c r="I59" i="34" s="1"/>
  <c r="J59" i="34" s="1"/>
  <c r="K59" i="34" s="1"/>
  <c r="L59" i="34" s="1"/>
  <c r="M59" i="34" s="1"/>
  <c r="N59" i="34" s="1"/>
  <c r="O59" i="34" s="1"/>
  <c r="J7" i="34"/>
  <c r="C28" i="11"/>
  <c r="C27" i="11" s="1"/>
  <c r="U19" i="37"/>
  <c r="AB19" i="37"/>
  <c r="AC27" i="34"/>
  <c r="W27" i="34"/>
  <c r="F48" i="35"/>
  <c r="U39" i="40"/>
  <c r="AB39" i="40"/>
  <c r="C11" i="12"/>
  <c r="C14" i="15"/>
  <c r="F7" i="36"/>
  <c r="H7" i="36"/>
  <c r="D52" i="37"/>
  <c r="E52" i="37" s="1"/>
  <c r="F52" i="37" s="1"/>
  <c r="G52" i="37" s="1"/>
  <c r="H52" i="37" s="1"/>
  <c r="I52" i="37" s="1"/>
  <c r="J52" i="37" s="1"/>
  <c r="K52" i="37" s="1"/>
  <c r="L52" i="37" s="1"/>
  <c r="M52" i="37" s="1"/>
  <c r="N52" i="37" s="1"/>
  <c r="O52" i="37" s="1"/>
  <c r="F7" i="37"/>
  <c r="J7" i="33"/>
  <c r="H7" i="33"/>
  <c r="F7" i="21"/>
  <c r="H7" i="21"/>
  <c r="C7" i="43"/>
  <c r="D11" i="50"/>
  <c r="B25" i="60" s="1"/>
  <c r="B23" i="60"/>
  <c r="AB15" i="40"/>
  <c r="U15" i="40"/>
  <c r="AA25" i="37"/>
  <c r="S25" i="37"/>
  <c r="H73" i="43"/>
  <c r="W40" i="21"/>
  <c r="W43" i="33"/>
  <c r="U27" i="33"/>
  <c r="AB11" i="34"/>
  <c r="W26" i="37"/>
  <c r="AC24" i="36"/>
  <c r="AC23" i="39"/>
  <c r="J34" i="34"/>
  <c r="H34" i="34"/>
  <c r="F34" i="34"/>
  <c r="U12" i="36"/>
  <c r="W40" i="34"/>
  <c r="AB43" i="33"/>
  <c r="S24" i="35"/>
  <c r="AB27" i="37"/>
  <c r="U31" i="37"/>
  <c r="S26" i="37"/>
  <c r="AC37" i="37"/>
  <c r="AB34" i="21"/>
  <c r="AA12" i="37"/>
  <c r="AC36" i="37"/>
  <c r="AA32" i="37"/>
  <c r="U44" i="33"/>
  <c r="S12" i="40"/>
  <c r="U14" i="39"/>
  <c r="AB46" i="34"/>
  <c r="W44" i="33"/>
  <c r="W17" i="21"/>
  <c r="AC9" i="37"/>
  <c r="W38" i="37"/>
  <c r="AA23" i="37"/>
  <c r="AB10" i="33"/>
  <c r="AC31" i="33"/>
  <c r="W14" i="33"/>
  <c r="W47" i="34"/>
  <c r="S28" i="37"/>
  <c r="AA11" i="35"/>
  <c r="U31" i="33"/>
  <c r="U32" i="36"/>
  <c r="AC13" i="36"/>
  <c r="AC32" i="34"/>
  <c r="W30" i="33"/>
  <c r="W28" i="37"/>
  <c r="AB14" i="33"/>
  <c r="W13" i="35"/>
  <c r="S25" i="33"/>
  <c r="U15" i="34"/>
  <c r="W32" i="35"/>
  <c r="AC34" i="36"/>
  <c r="AC11" i="40"/>
  <c r="U33" i="21"/>
  <c r="C21" i="39"/>
  <c r="U9" i="40"/>
  <c r="S8" i="40"/>
  <c r="F26" i="33"/>
  <c r="U22" i="36"/>
  <c r="S30" i="37"/>
  <c r="AB41" i="21"/>
  <c r="F86" i="34"/>
  <c r="G86" i="34" s="1"/>
  <c r="F23" i="34"/>
  <c r="H12" i="34"/>
  <c r="F12" i="34"/>
  <c r="J12" i="35"/>
  <c r="H12" i="35"/>
  <c r="F12" i="35"/>
  <c r="H36" i="35"/>
  <c r="J36" i="35"/>
  <c r="AB8" i="37"/>
  <c r="U8" i="37"/>
  <c r="AB14" i="37"/>
  <c r="U14" i="37"/>
  <c r="E21" i="31"/>
  <c r="F90" i="34"/>
  <c r="G90" i="34" s="1"/>
  <c r="H90" i="34" s="1"/>
  <c r="I90" i="34" s="1"/>
  <c r="J90" i="34" s="1"/>
  <c r="K90" i="34" s="1"/>
  <c r="L90" i="34" s="1"/>
  <c r="M90" i="34" s="1"/>
  <c r="J9" i="35"/>
  <c r="H9" i="35"/>
  <c r="F9" i="35"/>
  <c r="J23" i="36"/>
  <c r="H23" i="36"/>
  <c r="H25" i="37"/>
  <c r="J25" i="37"/>
  <c r="J39" i="40"/>
  <c r="F39" i="40"/>
  <c r="Q28" i="31"/>
  <c r="Q29" i="31"/>
  <c r="Q32" i="31"/>
  <c r="Q34" i="31"/>
  <c r="Q36" i="31"/>
  <c r="Q38" i="31"/>
  <c r="Q40" i="31"/>
  <c r="Q42" i="31"/>
  <c r="Q44" i="31"/>
  <c r="Q46" i="31"/>
  <c r="Q48" i="31"/>
  <c r="Q50" i="31"/>
  <c r="Q52" i="31"/>
  <c r="Q54" i="31"/>
  <c r="Q56" i="31"/>
  <c r="Q58" i="31"/>
  <c r="Q60" i="31"/>
  <c r="Q62" i="31"/>
  <c r="Q64" i="31"/>
  <c r="Q66" i="31"/>
  <c r="Q68" i="31"/>
  <c r="Q70" i="31"/>
  <c r="Q72" i="31"/>
  <c r="Q74" i="31"/>
  <c r="Q76" i="31"/>
  <c r="Q78" i="31"/>
  <c r="Q80" i="31"/>
  <c r="Q82" i="31"/>
  <c r="Q84" i="31"/>
  <c r="Q86" i="31"/>
  <c r="Q88" i="31"/>
  <c r="Q90" i="31"/>
  <c r="Q92" i="31"/>
  <c r="Q94" i="31"/>
  <c r="Q96" i="31"/>
  <c r="Q98" i="31"/>
  <c r="Q100" i="31"/>
  <c r="Q102" i="31"/>
  <c r="Q104" i="31"/>
  <c r="Q106" i="31"/>
  <c r="Q108" i="31"/>
  <c r="Q110" i="31"/>
  <c r="Q112" i="31"/>
  <c r="Q114" i="31"/>
  <c r="Q116" i="31"/>
  <c r="Q118" i="31"/>
  <c r="Q120" i="31"/>
  <c r="Q122" i="31"/>
  <c r="Q124" i="31"/>
  <c r="Q126" i="31"/>
  <c r="Q128" i="31"/>
  <c r="Q130" i="31"/>
  <c r="Q132" i="31"/>
  <c r="Q134" i="31"/>
  <c r="Q136" i="31"/>
  <c r="Q138" i="31"/>
  <c r="Q140" i="31"/>
  <c r="Q142" i="31"/>
  <c r="Q144" i="31"/>
  <c r="Q146" i="31"/>
  <c r="Q148" i="31"/>
  <c r="Q150" i="31"/>
  <c r="Q152" i="31"/>
  <c r="Q154" i="31"/>
  <c r="Q156" i="31"/>
  <c r="Q158" i="31"/>
  <c r="Q160" i="31"/>
  <c r="Q162" i="31"/>
  <c r="Q164" i="31"/>
  <c r="Q166" i="31"/>
  <c r="Q168" i="31"/>
  <c r="Q170" i="31"/>
  <c r="Q172" i="31"/>
  <c r="Q174" i="31"/>
  <c r="Q176" i="31"/>
  <c r="Q178" i="31"/>
  <c r="Q180" i="31"/>
  <c r="Q182" i="31"/>
  <c r="Q184" i="31"/>
  <c r="Q186" i="31"/>
  <c r="Q188" i="31"/>
  <c r="Q190" i="31"/>
  <c r="Q192" i="31"/>
  <c r="Q194" i="31"/>
  <c r="Q196" i="31"/>
  <c r="Q198" i="31"/>
  <c r="Q200" i="31"/>
  <c r="Q202" i="31"/>
  <c r="Q204" i="31"/>
  <c r="Q206" i="31"/>
  <c r="Q208" i="31"/>
  <c r="Q210" i="31"/>
  <c r="Q212" i="31"/>
  <c r="Q214" i="31"/>
  <c r="Q216" i="31"/>
  <c r="Q218" i="31"/>
  <c r="Q220" i="31"/>
  <c r="Q222" i="31"/>
  <c r="Q224" i="31"/>
  <c r="Q226" i="31"/>
  <c r="Q228" i="31"/>
  <c r="Q230" i="31"/>
  <c r="Q232" i="31"/>
  <c r="Q234" i="31"/>
  <c r="Q236" i="31"/>
  <c r="Q238" i="31"/>
  <c r="Q240" i="31"/>
  <c r="Q242" i="31"/>
  <c r="Q244" i="31"/>
  <c r="Q246" i="31"/>
  <c r="Q248" i="31"/>
  <c r="Q250" i="31"/>
  <c r="Q252" i="31"/>
  <c r="Q254" i="31"/>
  <c r="Q256" i="31"/>
  <c r="Q258" i="31"/>
  <c r="Q260" i="31"/>
  <c r="Q262" i="31"/>
  <c r="Q264" i="31"/>
  <c r="Q266" i="31"/>
  <c r="Q268" i="31"/>
  <c r="Q270" i="31"/>
  <c r="Q272" i="31"/>
  <c r="Q274" i="31"/>
  <c r="Q276" i="31"/>
  <c r="Q278" i="31"/>
  <c r="Q280" i="31"/>
  <c r="Q282" i="31"/>
  <c r="Q284" i="31"/>
  <c r="Q286" i="31"/>
  <c r="Q288" i="31"/>
  <c r="Q290" i="31"/>
  <c r="Q292" i="31"/>
  <c r="Q294" i="31"/>
  <c r="Q296" i="31"/>
  <c r="Q298" i="31"/>
  <c r="Q300" i="31"/>
  <c r="Q302" i="31"/>
  <c r="Q304" i="31"/>
  <c r="Q306" i="31"/>
  <c r="Q308" i="31"/>
  <c r="Q310" i="31"/>
  <c r="Q312" i="31"/>
  <c r="Q314" i="31"/>
  <c r="Q316" i="31"/>
  <c r="Q318" i="31"/>
  <c r="Q320" i="31"/>
  <c r="Q322" i="31"/>
  <c r="Q324" i="31"/>
  <c r="Q326" i="31"/>
  <c r="Q328" i="31"/>
  <c r="Q330" i="31"/>
  <c r="Q332" i="31"/>
  <c r="Q334" i="31"/>
  <c r="Q336" i="31"/>
  <c r="Q338" i="31"/>
  <c r="Q340" i="31"/>
  <c r="Q342" i="31"/>
  <c r="Q344" i="31"/>
  <c r="Q346" i="31"/>
  <c r="Q348" i="31"/>
  <c r="Q350" i="31"/>
  <c r="Q352" i="31"/>
  <c r="Q33" i="31"/>
  <c r="Q35" i="31"/>
  <c r="Q37" i="31"/>
  <c r="Q39" i="31"/>
  <c r="Q41" i="31"/>
  <c r="Q43" i="31"/>
  <c r="Q45" i="31"/>
  <c r="Q47" i="31"/>
  <c r="Q49" i="31"/>
  <c r="Q51" i="31"/>
  <c r="Q53" i="31"/>
  <c r="Q55" i="31"/>
  <c r="Q57" i="31"/>
  <c r="Q59" i="31"/>
  <c r="Q61" i="31"/>
  <c r="Q63" i="31"/>
  <c r="Q65" i="31"/>
  <c r="Q67" i="31"/>
  <c r="Q69" i="31"/>
  <c r="Q71" i="31"/>
  <c r="Q73" i="31"/>
  <c r="Q75" i="31"/>
  <c r="Q77" i="31"/>
  <c r="Q79" i="31"/>
  <c r="Q81" i="31"/>
  <c r="Q83" i="31"/>
  <c r="Q85" i="31"/>
  <c r="Q87" i="31"/>
  <c r="Q89" i="31"/>
  <c r="Q91" i="31"/>
  <c r="Q93" i="31"/>
  <c r="Q95" i="31"/>
  <c r="Q97" i="31"/>
  <c r="Q99" i="31"/>
  <c r="Q101" i="31"/>
  <c r="Q103" i="31"/>
  <c r="Q105" i="31"/>
  <c r="Q107" i="31"/>
  <c r="Q109" i="31"/>
  <c r="Q111" i="31"/>
  <c r="Q113" i="31"/>
  <c r="Q115" i="31"/>
  <c r="Q117" i="31"/>
  <c r="Q119" i="31"/>
  <c r="Q121" i="31"/>
  <c r="Q123" i="31"/>
  <c r="Q125" i="31"/>
  <c r="Q127" i="31"/>
  <c r="Q129" i="31"/>
  <c r="Q131" i="31"/>
  <c r="Q133" i="31"/>
  <c r="Q135" i="31"/>
  <c r="Q137" i="31"/>
  <c r="Q139" i="31"/>
  <c r="Q141" i="31"/>
  <c r="Q143" i="31"/>
  <c r="Q145" i="31"/>
  <c r="Q147" i="31"/>
  <c r="Q149" i="31"/>
  <c r="Q151" i="31"/>
  <c r="Q153" i="31"/>
  <c r="Q155" i="31"/>
  <c r="Q157" i="31"/>
  <c r="Q159" i="31"/>
  <c r="Q161" i="31"/>
  <c r="Q163" i="31"/>
  <c r="Q165" i="31"/>
  <c r="Q167" i="31"/>
  <c r="Q169" i="31"/>
  <c r="Q171" i="31"/>
  <c r="Q173" i="31"/>
  <c r="Q175" i="31"/>
  <c r="Q177" i="31"/>
  <c r="Q179" i="31"/>
  <c r="Q181" i="31"/>
  <c r="Q183" i="31"/>
  <c r="Q185" i="31"/>
  <c r="Q187" i="31"/>
  <c r="Q189" i="31"/>
  <c r="Q191" i="31"/>
  <c r="Q193" i="31"/>
  <c r="Q195" i="31"/>
  <c r="Q197" i="31"/>
  <c r="Q199" i="31"/>
  <c r="Q201" i="31"/>
  <c r="Q203" i="31"/>
  <c r="Q205" i="31"/>
  <c r="Q207" i="31"/>
  <c r="Q209" i="31"/>
  <c r="Q211" i="31"/>
  <c r="Q213" i="31"/>
  <c r="Q215" i="31"/>
  <c r="Q217" i="31"/>
  <c r="Q219" i="31"/>
  <c r="Q221" i="31"/>
  <c r="Q223" i="31"/>
  <c r="Q225" i="31"/>
  <c r="Q227" i="31"/>
  <c r="Q229" i="31"/>
  <c r="Q231" i="31"/>
  <c r="Q233" i="31"/>
  <c r="Q235" i="31"/>
  <c r="Q237" i="31"/>
  <c r="Q239" i="31"/>
  <c r="Q241" i="31"/>
  <c r="Q243" i="31"/>
  <c r="Q245" i="31"/>
  <c r="Q247" i="31"/>
  <c r="Q249" i="31"/>
  <c r="Q251" i="31"/>
  <c r="Q253" i="31"/>
  <c r="Q255" i="31"/>
  <c r="Q257" i="31"/>
  <c r="Q259" i="31"/>
  <c r="Q261" i="31"/>
  <c r="Q263" i="31"/>
  <c r="Q265" i="31"/>
  <c r="Q267" i="31"/>
  <c r="Q269" i="31"/>
  <c r="Q271" i="31"/>
  <c r="Q273" i="31"/>
  <c r="Q275" i="31"/>
  <c r="Q277" i="31"/>
  <c r="Q279" i="31"/>
  <c r="Q281" i="31"/>
  <c r="Q283" i="31"/>
  <c r="Q285" i="31"/>
  <c r="Q287" i="31"/>
  <c r="Q289" i="31"/>
  <c r="Q291" i="31"/>
  <c r="Q293" i="31"/>
  <c r="Q295" i="31"/>
  <c r="Q297" i="31"/>
  <c r="Q299" i="31"/>
  <c r="Q301" i="31"/>
  <c r="Q303" i="31"/>
  <c r="Q305" i="31"/>
  <c r="Q307" i="31"/>
  <c r="Q309" i="31"/>
  <c r="Q311" i="31"/>
  <c r="Q313" i="31"/>
  <c r="Q315" i="31"/>
  <c r="Q317" i="31"/>
  <c r="Q319" i="31"/>
  <c r="Q321" i="31"/>
  <c r="Q323" i="31"/>
  <c r="Q325" i="31"/>
  <c r="Q327" i="31"/>
  <c r="Q329" i="31"/>
  <c r="Q331" i="31"/>
  <c r="Q333" i="31"/>
  <c r="Q335" i="31"/>
  <c r="Q337" i="31"/>
  <c r="Q339" i="31"/>
  <c r="Q341" i="31"/>
  <c r="Q343" i="31"/>
  <c r="Q345" i="31"/>
  <c r="Q347" i="31"/>
  <c r="Q349" i="31"/>
  <c r="Q351" i="31"/>
  <c r="Q353" i="31"/>
  <c r="Q355" i="31"/>
  <c r="Q354" i="31"/>
  <c r="Q357" i="31"/>
  <c r="Q359" i="31"/>
  <c r="Q361" i="31"/>
  <c r="Q363" i="31"/>
  <c r="Q365" i="31"/>
  <c r="Q367" i="31"/>
  <c r="Q369" i="31"/>
  <c r="Q371" i="31"/>
  <c r="Q373" i="31"/>
  <c r="Q375" i="31"/>
  <c r="Q377" i="31"/>
  <c r="Q379" i="31"/>
  <c r="Q381" i="31"/>
  <c r="Q383" i="31"/>
  <c r="Q385" i="31"/>
  <c r="Q387" i="31"/>
  <c r="Q389" i="31"/>
  <c r="Q391" i="31"/>
  <c r="Q393" i="31"/>
  <c r="Q395" i="31"/>
  <c r="Q397" i="31"/>
  <c r="Q399" i="31"/>
  <c r="Q401" i="31"/>
  <c r="Q403" i="31"/>
  <c r="Q405" i="31"/>
  <c r="Q407" i="31"/>
  <c r="Q409" i="31"/>
  <c r="Q411" i="31"/>
  <c r="Q413" i="31"/>
  <c r="Q415" i="31"/>
  <c r="Q417" i="31"/>
  <c r="Q419" i="31"/>
  <c r="Q421" i="31"/>
  <c r="Q423" i="31"/>
  <c r="Q425" i="31"/>
  <c r="Q427" i="31"/>
  <c r="Q429" i="31"/>
  <c r="Q431" i="31"/>
  <c r="Q433" i="31"/>
  <c r="Q435" i="31"/>
  <c r="Q437" i="31"/>
  <c r="Q439" i="31"/>
  <c r="Q441" i="31"/>
  <c r="Q443" i="31"/>
  <c r="Q445" i="31"/>
  <c r="Q447" i="31"/>
  <c r="Q449" i="31"/>
  <c r="Q451" i="31"/>
  <c r="Q453" i="31"/>
  <c r="Q455" i="31"/>
  <c r="Q457" i="31"/>
  <c r="Q459" i="31"/>
  <c r="Q461" i="31"/>
  <c r="Q463" i="31"/>
  <c r="Q465" i="31"/>
  <c r="Q467" i="31"/>
  <c r="Q469" i="31"/>
  <c r="Q471" i="31"/>
  <c r="Q473" i="31"/>
  <c r="Q475" i="31"/>
  <c r="Q477" i="31"/>
  <c r="Q479" i="31"/>
  <c r="Q481" i="31"/>
  <c r="Q483" i="31"/>
  <c r="Q485" i="31"/>
  <c r="Q487" i="31"/>
  <c r="Q489" i="31"/>
  <c r="Q491" i="31"/>
  <c r="Q493" i="31"/>
  <c r="Q495" i="31"/>
  <c r="Q497" i="31"/>
  <c r="Q499" i="31"/>
  <c r="Q501" i="31"/>
  <c r="Q503" i="31"/>
  <c r="Q505" i="31"/>
  <c r="Q507" i="31"/>
  <c r="Q509" i="31"/>
  <c r="Q511" i="31"/>
  <c r="Q513" i="31"/>
  <c r="Q515" i="31"/>
  <c r="Q517" i="31"/>
  <c r="Q519" i="31"/>
  <c r="Q521" i="31"/>
  <c r="Q523" i="31"/>
  <c r="Q525" i="31"/>
  <c r="Q527" i="31"/>
  <c r="Q356" i="31"/>
  <c r="Q358" i="31"/>
  <c r="Q360" i="31"/>
  <c r="Q362" i="31"/>
  <c r="Q364" i="31"/>
  <c r="Q366" i="31"/>
  <c r="Q368" i="31"/>
  <c r="Q370" i="31"/>
  <c r="Q372" i="31"/>
  <c r="Q374" i="31"/>
  <c r="Q376" i="31"/>
  <c r="Q378" i="31"/>
  <c r="Q380" i="31"/>
  <c r="Q382" i="31"/>
  <c r="Q384" i="31"/>
  <c r="Q386" i="31"/>
  <c r="Q388" i="31"/>
  <c r="Q390" i="31"/>
  <c r="Q392" i="31"/>
  <c r="Q394" i="31"/>
  <c r="Q396" i="31"/>
  <c r="Q398" i="31"/>
  <c r="Q400" i="31"/>
  <c r="Q402" i="31"/>
  <c r="Q404" i="31"/>
  <c r="Q406" i="31"/>
  <c r="Q408" i="31"/>
  <c r="Q410" i="31"/>
  <c r="Q412" i="31"/>
  <c r="Q414" i="31"/>
  <c r="Q416" i="31"/>
  <c r="Q418" i="31"/>
  <c r="Q420" i="31"/>
  <c r="Q422" i="31"/>
  <c r="Q424" i="31"/>
  <c r="Q426" i="31"/>
  <c r="Q428" i="31"/>
  <c r="Q430" i="31"/>
  <c r="Q432" i="31"/>
  <c r="Q434" i="31"/>
  <c r="Q436" i="31"/>
  <c r="Q438" i="31"/>
  <c r="Q440" i="31"/>
  <c r="Q442" i="31"/>
  <c r="Q444" i="31"/>
  <c r="Q446" i="31"/>
  <c r="Q448" i="31"/>
  <c r="Q450" i="31"/>
  <c r="Q452" i="31"/>
  <c r="Q454" i="31"/>
  <c r="Q456" i="31"/>
  <c r="Q458" i="31"/>
  <c r="Q460" i="31"/>
  <c r="Q462" i="31"/>
  <c r="Q464" i="31"/>
  <c r="Q466" i="31"/>
  <c r="Q468" i="31"/>
  <c r="Q470" i="31"/>
  <c r="Q472" i="31"/>
  <c r="Q474" i="31"/>
  <c r="Q476" i="31"/>
  <c r="Q478" i="31"/>
  <c r="Q480" i="31"/>
  <c r="Q482" i="31"/>
  <c r="Q484" i="31"/>
  <c r="Q486" i="31"/>
  <c r="Q488" i="31"/>
  <c r="Q490" i="31"/>
  <c r="Q492" i="31"/>
  <c r="Q494" i="31"/>
  <c r="Q496" i="31"/>
  <c r="Q498" i="31"/>
  <c r="Q500" i="31"/>
  <c r="Q502" i="31"/>
  <c r="Q504" i="31"/>
  <c r="Q506" i="31"/>
  <c r="Q508" i="31"/>
  <c r="Q510" i="31"/>
  <c r="Q512" i="31"/>
  <c r="Q514" i="31"/>
  <c r="Q516" i="31"/>
  <c r="Q518" i="31"/>
  <c r="Q520" i="31"/>
  <c r="Q522" i="31"/>
  <c r="Q524" i="31"/>
  <c r="Q526" i="31"/>
  <c r="T27" i="59"/>
  <c r="D27" i="59"/>
  <c r="C39" i="59"/>
  <c r="D38" i="59"/>
  <c r="C43" i="59"/>
  <c r="D42" i="59"/>
  <c r="C47" i="59"/>
  <c r="D46" i="59"/>
  <c r="V51" i="59"/>
  <c r="F50" i="59"/>
  <c r="S51" i="59"/>
  <c r="N51" i="59"/>
  <c r="C15" i="50"/>
  <c r="C21" i="50"/>
  <c r="P59" i="15"/>
  <c r="P72" i="15"/>
  <c r="E28" i="31"/>
  <c r="E29" i="31"/>
  <c r="U21" i="37"/>
  <c r="U18" i="35"/>
  <c r="D54" i="59"/>
  <c r="D59" i="59"/>
  <c r="Q51" i="59"/>
  <c r="C50" i="59"/>
  <c r="D33" i="59"/>
  <c r="F38" i="59"/>
  <c r="F39" i="59" s="1"/>
  <c r="V39" i="59" s="1"/>
  <c r="F46" i="59"/>
  <c r="F47" i="59" s="1"/>
  <c r="V47" i="59" s="1"/>
  <c r="P50" i="59"/>
  <c r="E49" i="59"/>
  <c r="F58" i="59"/>
  <c r="F57" i="59" s="1"/>
  <c r="C18" i="50"/>
  <c r="J57" i="9"/>
  <c r="J59" i="9" s="1"/>
  <c r="J61" i="9" s="1"/>
  <c r="C6" i="15"/>
  <c r="C9" i="59"/>
  <c r="D9" i="59" s="1"/>
  <c r="D10" i="59"/>
  <c r="D7" i="59"/>
  <c r="T7" i="59"/>
  <c r="C6" i="59"/>
  <c r="C28" i="31"/>
  <c r="C29" i="31"/>
  <c r="B13" i="1"/>
  <c r="F30" i="1"/>
  <c r="C28" i="15" s="1"/>
  <c r="G19" i="43"/>
  <c r="E37" i="34"/>
  <c r="F37" i="34" s="1"/>
  <c r="I37" i="34"/>
  <c r="J37" i="34" s="1"/>
  <c r="C22" i="59"/>
  <c r="C18" i="59"/>
  <c r="C14" i="59"/>
  <c r="D11" i="59"/>
  <c r="D22" i="57"/>
  <c r="G19" i="57"/>
  <c r="C102" i="57"/>
  <c r="D103" i="57"/>
  <c r="D102" i="57"/>
  <c r="G20" i="57"/>
  <c r="C103" i="57"/>
  <c r="E20" i="43"/>
  <c r="I1" i="61"/>
  <c r="B30" i="1" s="1"/>
  <c r="D11" i="48"/>
  <c r="E3" i="4"/>
  <c r="G1" i="61"/>
  <c r="E27" i="1" l="1"/>
  <c r="D18" i="59"/>
  <c r="C19" i="59"/>
  <c r="L49" i="15"/>
  <c r="I20" i="43"/>
  <c r="C20" i="43" s="1"/>
  <c r="B14" i="1"/>
  <c r="F41" i="15"/>
  <c r="F70" i="15" s="1"/>
  <c r="P48" i="59"/>
  <c r="P49" i="59"/>
  <c r="T47" i="59"/>
  <c r="D47" i="59"/>
  <c r="T43" i="59"/>
  <c r="D43" i="59"/>
  <c r="T39" i="59"/>
  <c r="D39" i="59"/>
  <c r="AA39" i="40"/>
  <c r="S39" i="40"/>
  <c r="AC25" i="37"/>
  <c r="W25" i="37"/>
  <c r="AB23" i="36"/>
  <c r="U23" i="36"/>
  <c r="AA9" i="35"/>
  <c r="S9" i="35"/>
  <c r="AC9" i="35"/>
  <c r="W9" i="35"/>
  <c r="AB36" i="35"/>
  <c r="U36" i="35"/>
  <c r="U12" i="35"/>
  <c r="AB12" i="35"/>
  <c r="AA12" i="34"/>
  <c r="S12" i="34"/>
  <c r="S23" i="34"/>
  <c r="AA23" i="34"/>
  <c r="AA34" i="34"/>
  <c r="S34" i="34"/>
  <c r="AC34" i="34"/>
  <c r="W34" i="34"/>
  <c r="AB7" i="21"/>
  <c r="T48" i="21" s="1"/>
  <c r="G48" i="21" s="1"/>
  <c r="U7" i="21"/>
  <c r="AB7" i="33"/>
  <c r="T48" i="33" s="1"/>
  <c r="G48" i="33" s="1"/>
  <c r="U7" i="33"/>
  <c r="S7" i="37"/>
  <c r="AA7" i="37"/>
  <c r="R42" i="37" s="1"/>
  <c r="AA7" i="36"/>
  <c r="R36" i="36" s="1"/>
  <c r="S7" i="36"/>
  <c r="C12" i="12"/>
  <c r="C15" i="12"/>
  <c r="C16" i="12" s="1"/>
  <c r="C21" i="12" s="1"/>
  <c r="AC7" i="34"/>
  <c r="W7" i="34"/>
  <c r="W7" i="36"/>
  <c r="AC7" i="36"/>
  <c r="V36" i="36" s="1"/>
  <c r="I36" i="36" s="1"/>
  <c r="C8" i="62"/>
  <c r="D8" i="62"/>
  <c r="I52" i="21"/>
  <c r="J52" i="21" s="1"/>
  <c r="AC37" i="34"/>
  <c r="W37" i="34"/>
  <c r="P25" i="43"/>
  <c r="P21" i="43"/>
  <c r="B71" i="39" s="1"/>
  <c r="P24" i="43"/>
  <c r="B66" i="40" s="1"/>
  <c r="P22" i="43"/>
  <c r="O19" i="43"/>
  <c r="P23" i="43"/>
  <c r="D14" i="59"/>
  <c r="C15" i="59"/>
  <c r="D22" i="59"/>
  <c r="C23" i="59"/>
  <c r="AA37" i="34"/>
  <c r="S37" i="34"/>
  <c r="C78" i="57"/>
  <c r="C75" i="57" s="1"/>
  <c r="C77" i="9"/>
  <c r="C74" i="9"/>
  <c r="C48" i="11"/>
  <c r="C30" i="11"/>
  <c r="C5" i="59"/>
  <c r="D5" i="59" s="1"/>
  <c r="D6" i="59"/>
  <c r="O50" i="59"/>
  <c r="C49" i="59"/>
  <c r="D50" i="59"/>
  <c r="F49" i="59"/>
  <c r="Q50" i="59"/>
  <c r="C24" i="12"/>
  <c r="C29" i="12" s="1"/>
  <c r="D28" i="12" s="1"/>
  <c r="AC39" i="40"/>
  <c r="W39" i="40"/>
  <c r="U25" i="37"/>
  <c r="AB25" i="37"/>
  <c r="AC23" i="36"/>
  <c r="W23" i="36"/>
  <c r="U9" i="35"/>
  <c r="AB9" i="35"/>
  <c r="AC36" i="35"/>
  <c r="W36" i="35"/>
  <c r="S12" i="35"/>
  <c r="AA12" i="35"/>
  <c r="AC12" i="35"/>
  <c r="W12" i="35"/>
  <c r="U12" i="34"/>
  <c r="AB12" i="34"/>
  <c r="AA26" i="33"/>
  <c r="S26" i="33"/>
  <c r="AB34" i="34"/>
  <c r="U34" i="34"/>
  <c r="AA7" i="21"/>
  <c r="R48" i="21" s="1"/>
  <c r="S7" i="21"/>
  <c r="W7" i="33"/>
  <c r="AC7" i="33"/>
  <c r="V48" i="33" s="1"/>
  <c r="I48" i="33" s="1"/>
  <c r="H7" i="37"/>
  <c r="U7" i="36"/>
  <c r="AB7" i="36"/>
  <c r="T36" i="36" s="1"/>
  <c r="G36" i="36" s="1"/>
  <c r="C15" i="15"/>
  <c r="C19" i="15" s="1"/>
  <c r="C16" i="15"/>
  <c r="C18" i="15"/>
  <c r="G48" i="35"/>
  <c r="C31" i="12"/>
  <c r="H7" i="34"/>
  <c r="F7" i="34"/>
  <c r="AA7" i="33"/>
  <c r="R48" i="33" s="1"/>
  <c r="S7" i="33"/>
  <c r="D22" i="50"/>
  <c r="B35" i="60" s="1"/>
  <c r="B33" i="60"/>
  <c r="J70" i="39"/>
  <c r="K68" i="39"/>
  <c r="J7" i="37"/>
  <c r="J65" i="40"/>
  <c r="K63" i="40"/>
  <c r="O17" i="43"/>
  <c r="M17" i="43"/>
  <c r="N17" i="43"/>
  <c r="P17" i="43"/>
  <c r="B5" i="55"/>
  <c r="B55" i="60" s="1"/>
  <c r="B18" i="49"/>
  <c r="B4" i="60" s="1"/>
  <c r="F11" i="15"/>
  <c r="M11" i="15"/>
  <c r="J10" i="15" s="1"/>
  <c r="J5" i="15" s="1"/>
  <c r="F24" i="15"/>
  <c r="F25" i="12"/>
  <c r="F22" i="11"/>
  <c r="C105" i="57"/>
  <c r="C104" i="57"/>
  <c r="C20" i="15" l="1"/>
  <c r="C26" i="15"/>
  <c r="C22" i="12"/>
  <c r="C30" i="12" s="1"/>
  <c r="C28" i="12" s="1"/>
  <c r="W7" i="37"/>
  <c r="AC7" i="37"/>
  <c r="V42" i="37" s="1"/>
  <c r="I42" i="37" s="1"/>
  <c r="L68" i="39"/>
  <c r="K70" i="39"/>
  <c r="S7" i="34"/>
  <c r="AA7" i="34"/>
  <c r="R49" i="34" s="1"/>
  <c r="H48" i="35"/>
  <c r="I48" i="35" s="1"/>
  <c r="J48" i="35" s="1"/>
  <c r="K48" i="35" s="1"/>
  <c r="L48" i="35" s="1"/>
  <c r="M48" i="35" s="1"/>
  <c r="N48" i="35" s="1"/>
  <c r="O48" i="35" s="1"/>
  <c r="J7" i="35"/>
  <c r="H7" i="35"/>
  <c r="I52" i="33"/>
  <c r="J52" i="33" s="1"/>
  <c r="Q49" i="59"/>
  <c r="Q48" i="59"/>
  <c r="O49" i="59"/>
  <c r="O48" i="59"/>
  <c r="D49" i="59"/>
  <c r="D23" i="59"/>
  <c r="T23" i="59"/>
  <c r="D15" i="59"/>
  <c r="T15" i="59"/>
  <c r="V49" i="34"/>
  <c r="I49" i="34" s="1"/>
  <c r="R43" i="37"/>
  <c r="E42" i="37"/>
  <c r="D19" i="59"/>
  <c r="M20" i="43" s="1"/>
  <c r="C19" i="43" s="1"/>
  <c r="T19" i="59"/>
  <c r="L63" i="40"/>
  <c r="K65" i="40"/>
  <c r="R49" i="33"/>
  <c r="E48" i="33"/>
  <c r="U7" i="34"/>
  <c r="AB7" i="34"/>
  <c r="T49" i="34" s="1"/>
  <c r="G49" i="34" s="1"/>
  <c r="F7" i="35"/>
  <c r="G41" i="36"/>
  <c r="H41" i="36" s="1"/>
  <c r="G40" i="36"/>
  <c r="H40" i="36" s="1"/>
  <c r="AB7" i="37"/>
  <c r="T42" i="37" s="1"/>
  <c r="G42" i="37" s="1"/>
  <c r="U7" i="37"/>
  <c r="E48" i="21"/>
  <c r="R49" i="21"/>
  <c r="I40" i="36"/>
  <c r="J40" i="36" s="1"/>
  <c r="I41" i="36"/>
  <c r="J41" i="36" s="1"/>
  <c r="E36" i="36"/>
  <c r="R37" i="36"/>
  <c r="G52" i="33"/>
  <c r="H52" i="33" s="1"/>
  <c r="G53" i="33"/>
  <c r="H53" i="33" s="1"/>
  <c r="G52" i="21"/>
  <c r="H52" i="21" s="1"/>
  <c r="G53" i="21"/>
  <c r="H53" i="21" s="1"/>
  <c r="H10" i="39"/>
  <c r="H10" i="40"/>
  <c r="F10" i="39"/>
  <c r="J10" i="39"/>
  <c r="F10" i="40"/>
  <c r="J10" i="40"/>
  <c r="L59" i="15"/>
  <c r="J58" i="15"/>
  <c r="J56" i="15" s="1"/>
  <c r="J59" i="15" s="1"/>
  <c r="Q48" i="15" s="1"/>
  <c r="L57" i="15"/>
  <c r="L61" i="15"/>
  <c r="I55" i="15"/>
  <c r="L58" i="15"/>
  <c r="J54" i="15"/>
  <c r="C26" i="12"/>
  <c r="D25" i="12" s="1"/>
  <c r="C27" i="12"/>
  <c r="C25" i="12" s="1"/>
  <c r="J18" i="15"/>
  <c r="J24" i="15"/>
  <c r="J26" i="15"/>
  <c r="J29" i="15" s="1"/>
  <c r="C44" i="11"/>
  <c r="D41" i="11" s="1"/>
  <c r="C25" i="11"/>
  <c r="C24" i="11"/>
  <c r="C23" i="11"/>
  <c r="C22" i="11" s="1"/>
  <c r="C31" i="11" s="1"/>
  <c r="C42" i="11"/>
  <c r="C43" i="11"/>
  <c r="C26" i="11"/>
  <c r="D22" i="11" s="1"/>
  <c r="C24" i="15"/>
  <c r="C23" i="15"/>
  <c r="C10" i="15"/>
  <c r="C5" i="15" s="1"/>
  <c r="C54" i="15"/>
  <c r="C49" i="15" s="1"/>
  <c r="C36" i="43" l="1"/>
  <c r="C34" i="43"/>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T16" i="43"/>
  <c r="V16" i="43" s="1"/>
  <c r="C33" i="43"/>
  <c r="C29" i="43"/>
  <c r="C38" i="43"/>
  <c r="C37" i="43"/>
  <c r="C35" i="43"/>
  <c r="C39" i="43"/>
  <c r="E52" i="21"/>
  <c r="F52" i="21" s="1"/>
  <c r="E53" i="21"/>
  <c r="F53" i="21" s="1"/>
  <c r="I53" i="21"/>
  <c r="J53" i="21" s="1"/>
  <c r="G46" i="37"/>
  <c r="H46" i="37" s="1"/>
  <c r="G47" i="37"/>
  <c r="H47" i="37" s="1"/>
  <c r="G53" i="34"/>
  <c r="H53" i="34" s="1"/>
  <c r="G54" i="34"/>
  <c r="H54" i="34" s="1"/>
  <c r="E52" i="33"/>
  <c r="F52" i="33" s="1"/>
  <c r="E53" i="33"/>
  <c r="F53" i="33" s="1"/>
  <c r="B33" i="1"/>
  <c r="Q50" i="15"/>
  <c r="Q58" i="15"/>
  <c r="Q71" i="15"/>
  <c r="AA10" i="40"/>
  <c r="S10" i="40"/>
  <c r="S10" i="39"/>
  <c r="AA10" i="39"/>
  <c r="AB10" i="39"/>
  <c r="U10" i="39"/>
  <c r="E40" i="36"/>
  <c r="F40" i="36" s="1"/>
  <c r="E41" i="36"/>
  <c r="F41" i="36" s="1"/>
  <c r="C48" i="21"/>
  <c r="C49" i="21"/>
  <c r="B2" i="21" s="1"/>
  <c r="B3" i="21" s="1"/>
  <c r="AA7" i="35"/>
  <c r="R38" i="35" s="1"/>
  <c r="S7" i="35"/>
  <c r="C49" i="33"/>
  <c r="B2" i="33" s="1"/>
  <c r="B3" i="33" s="1"/>
  <c r="C48" i="33"/>
  <c r="E46" i="37"/>
  <c r="F46" i="37" s="1"/>
  <c r="E47" i="37"/>
  <c r="F47" i="37" s="1"/>
  <c r="I53" i="34"/>
  <c r="J53" i="34" s="1"/>
  <c r="I53" i="33"/>
  <c r="J53" i="33" s="1"/>
  <c r="U7" i="35"/>
  <c r="AB7" i="35"/>
  <c r="T38" i="35" s="1"/>
  <c r="G38" i="35" s="1"/>
  <c r="M68" i="39"/>
  <c r="L70" i="39"/>
  <c r="Q55" i="15"/>
  <c r="Q64" i="15"/>
  <c r="AC10" i="40"/>
  <c r="W10" i="40"/>
  <c r="AC10" i="39"/>
  <c r="W10" i="39"/>
  <c r="U10" i="40"/>
  <c r="AB10" i="40"/>
  <c r="C37" i="36"/>
  <c r="B2" i="36" s="1"/>
  <c r="B3" i="36" s="1"/>
  <c r="C36" i="36"/>
  <c r="M63" i="40"/>
  <c r="L65" i="40"/>
  <c r="C42" i="37"/>
  <c r="C43" i="37"/>
  <c r="B2" i="37" s="1"/>
  <c r="B3" i="37" s="1"/>
  <c r="W7" i="35"/>
  <c r="AC7" i="35"/>
  <c r="V38" i="35" s="1"/>
  <c r="I38" i="35" s="1"/>
  <c r="R50" i="34"/>
  <c r="E49" i="34"/>
  <c r="I46" i="37"/>
  <c r="J46" i="37" s="1"/>
  <c r="I47" i="37"/>
  <c r="J47" i="37" s="1"/>
  <c r="C32" i="12"/>
  <c r="B2" i="12" s="1"/>
  <c r="C32" i="15"/>
  <c r="C33" i="15"/>
  <c r="C38" i="15"/>
  <c r="B3" i="12"/>
  <c r="C67" i="15"/>
  <c r="C61" i="15"/>
  <c r="C29" i="15"/>
  <c r="C41" i="11"/>
  <c r="C49" i="11" s="1"/>
  <c r="C51" i="11" s="1"/>
  <c r="C52" i="11" s="1"/>
  <c r="E53" i="34" l="1"/>
  <c r="F53" i="34" s="1"/>
  <c r="E54" i="34"/>
  <c r="F54" i="34" s="1"/>
  <c r="I42" i="35"/>
  <c r="J42" i="35" s="1"/>
  <c r="C49" i="34"/>
  <c r="C50" i="34"/>
  <c r="N63" i="40"/>
  <c r="M65" i="40"/>
  <c r="G42" i="35"/>
  <c r="H42" i="35" s="1"/>
  <c r="G43" i="35"/>
  <c r="H43" i="35" s="1"/>
  <c r="E38" i="35"/>
  <c r="R39" i="35"/>
  <c r="G35" i="43"/>
  <c r="I35" i="43" s="1"/>
  <c r="E35" i="43"/>
  <c r="G38" i="43"/>
  <c r="I38" i="43" s="1"/>
  <c r="E38" i="43"/>
  <c r="G33" i="43"/>
  <c r="I33" i="43" s="1"/>
  <c r="E33" i="43"/>
  <c r="G34" i="43"/>
  <c r="I34" i="43" s="1"/>
  <c r="E34" i="43"/>
  <c r="N68" i="39"/>
  <c r="M70" i="39"/>
  <c r="I54" i="34"/>
  <c r="J54" i="34" s="1"/>
  <c r="G39" i="43"/>
  <c r="I39" i="43" s="1"/>
  <c r="E39" i="43"/>
  <c r="G37" i="43"/>
  <c r="I37" i="43" s="1"/>
  <c r="E37" i="43"/>
  <c r="E29" i="43"/>
  <c r="C26" i="43" s="1"/>
  <c r="B2" i="43" s="1"/>
  <c r="B3" i="43" s="1"/>
  <c r="C30" i="43"/>
  <c r="E30" i="43" s="1"/>
  <c r="C27" i="43" s="1"/>
  <c r="G36" i="43"/>
  <c r="I36" i="43" s="1"/>
  <c r="E36" i="43"/>
  <c r="C36" i="15"/>
  <c r="C13" i="15"/>
  <c r="Q47" i="15"/>
  <c r="C58" i="15"/>
  <c r="J60" i="15"/>
  <c r="J61" i="15" s="1"/>
  <c r="J14" i="15"/>
  <c r="J19" i="15"/>
  <c r="J17" i="15" s="1"/>
  <c r="B2" i="11"/>
  <c r="B3" i="11"/>
  <c r="C31" i="15"/>
  <c r="C56" i="11"/>
  <c r="C57" i="11" s="1"/>
  <c r="O68" i="39" l="1"/>
  <c r="O70" i="39" s="1"/>
  <c r="N70" i="39"/>
  <c r="J7" i="39" s="1"/>
  <c r="E43" i="35"/>
  <c r="F43" i="35" s="1"/>
  <c r="E42" i="35"/>
  <c r="F42" i="35" s="1"/>
  <c r="O63" i="40"/>
  <c r="O65" i="40" s="1"/>
  <c r="N65" i="40"/>
  <c r="C39" i="35"/>
  <c r="C38" i="35"/>
  <c r="B3" i="34"/>
  <c r="B2" i="34"/>
  <c r="I43" i="35"/>
  <c r="J43" i="35" s="1"/>
  <c r="J13" i="15"/>
  <c r="J23" i="15" s="1"/>
  <c r="J22" i="15"/>
  <c r="J16" i="15" s="1"/>
  <c r="J25" i="15" s="1"/>
  <c r="C62" i="15"/>
  <c r="C60" i="15" s="1"/>
  <c r="C65" i="15"/>
  <c r="C37" i="15"/>
  <c r="C30" i="15" s="1"/>
  <c r="C39" i="15" s="1"/>
  <c r="Q68" i="15"/>
  <c r="J34" i="15"/>
  <c r="C57" i="15"/>
  <c r="C66" i="15" s="1"/>
  <c r="L47" i="15"/>
  <c r="Q46" i="15"/>
  <c r="D19" i="9"/>
  <c r="D20" i="9"/>
  <c r="D102" i="9" l="1"/>
  <c r="D101" i="9"/>
  <c r="AC7" i="39"/>
  <c r="V47" i="39" s="1"/>
  <c r="I47" i="39" s="1"/>
  <c r="W7" i="39"/>
  <c r="B3" i="35"/>
  <c r="B2" i="35"/>
  <c r="J7" i="40"/>
  <c r="H7" i="40"/>
  <c r="F7" i="40"/>
  <c r="H7" i="39"/>
  <c r="F7" i="39"/>
  <c r="C59" i="15"/>
  <c r="C68" i="15" s="1"/>
  <c r="C69" i="15" s="1"/>
  <c r="C40" i="15"/>
  <c r="C47" i="15" s="1"/>
  <c r="Q67" i="15"/>
  <c r="Q66" i="15" s="1"/>
  <c r="J38" i="15"/>
  <c r="J39" i="15" s="1"/>
  <c r="C72" i="15"/>
  <c r="AA7" i="40" l="1"/>
  <c r="R42" i="40" s="1"/>
  <c r="S7" i="40"/>
  <c r="U7" i="39"/>
  <c r="AB7" i="39"/>
  <c r="T47" i="39" s="1"/>
  <c r="G47" i="39" s="1"/>
  <c r="U7" i="40"/>
  <c r="AB7" i="40"/>
  <c r="T42" i="40" s="1"/>
  <c r="G42" i="40" s="1"/>
  <c r="AA7" i="39"/>
  <c r="R47" i="39" s="1"/>
  <c r="S7" i="39"/>
  <c r="W7" i="40"/>
  <c r="AC7" i="40"/>
  <c r="V42" i="40" s="1"/>
  <c r="I42" i="40" s="1"/>
  <c r="I51" i="39"/>
  <c r="J51" i="39" s="1"/>
  <c r="B3" i="15"/>
  <c r="L52" i="15"/>
  <c r="Q65" i="15" s="1"/>
  <c r="Q63" i="15"/>
  <c r="Q73" i="15" s="1"/>
  <c r="C43" i="15"/>
  <c r="Q54" i="15"/>
  <c r="Q60" i="15" s="1"/>
  <c r="Q45" i="15"/>
  <c r="Q51" i="15" s="1"/>
  <c r="B2" i="15"/>
  <c r="J41" i="15"/>
  <c r="C20" i="9"/>
  <c r="C19" i="9"/>
  <c r="I46" i="40" l="1"/>
  <c r="J46" i="40" s="1"/>
  <c r="G47" i="40"/>
  <c r="H47" i="40" s="1"/>
  <c r="G46" i="40"/>
  <c r="H46" i="40" s="1"/>
  <c r="G51" i="39"/>
  <c r="H51" i="39" s="1"/>
  <c r="G52" i="39"/>
  <c r="H52" i="39" s="1"/>
  <c r="E47" i="39"/>
  <c r="R48" i="39"/>
  <c r="E42" i="40"/>
  <c r="I47" i="40" s="1"/>
  <c r="J47" i="40" s="1"/>
  <c r="R43" i="40"/>
  <c r="C101" i="9"/>
  <c r="G19" i="9"/>
  <c r="D22" i="9"/>
  <c r="G20" i="9"/>
  <c r="C102" i="9"/>
  <c r="J42" i="15"/>
  <c r="D35" i="9"/>
  <c r="D34" i="9" s="1"/>
  <c r="C43" i="40" l="1"/>
  <c r="C42" i="40"/>
  <c r="C48" i="39"/>
  <c r="C47" i="39"/>
  <c r="E46" i="40"/>
  <c r="F46" i="40" s="1"/>
  <c r="E47" i="40"/>
  <c r="F47" i="40" s="1"/>
  <c r="E51" i="39"/>
  <c r="F51" i="39" s="1"/>
  <c r="E52" i="39"/>
  <c r="F52" i="39" s="1"/>
  <c r="I52" i="39"/>
  <c r="J52" i="39" s="1"/>
  <c r="R27" i="31"/>
  <c r="C32" i="9"/>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I121" i="9"/>
  <c r="C35" i="9"/>
  <c r="G121" i="9" s="1"/>
  <c r="F121" i="9" s="1"/>
  <c r="F122" i="9" s="1"/>
  <c r="S27" i="31"/>
  <c r="T27" i="31"/>
  <c r="R29" i="31"/>
  <c r="C32" i="57"/>
  <c r="R28" i="31"/>
  <c r="C34" i="9" l="1"/>
  <c r="E121" i="9" s="1"/>
  <c r="D121" i="9" s="1"/>
  <c r="D122" i="9" s="1"/>
  <c r="S28" i="31"/>
  <c r="T28" i="31"/>
  <c r="S29" i="31"/>
  <c r="T29" i="31"/>
  <c r="S25" i="31"/>
  <c r="T25" i="31"/>
  <c r="I103" i="9"/>
  <c r="D107" i="9"/>
  <c r="H121" i="9"/>
  <c r="C104" i="9"/>
  <c r="I102" i="9" l="1"/>
  <c r="D106" i="9"/>
  <c r="H122" i="9"/>
  <c r="C103" i="9"/>
  <c r="B23" i="31"/>
  <c r="B2" i="31" s="1"/>
  <c r="C33" i="57" s="1"/>
  <c r="H124" i="57" s="1"/>
  <c r="R25" i="31"/>
  <c r="B24" i="31" s="1"/>
  <c r="B3" i="31" s="1"/>
  <c r="C34" i="57" s="1"/>
  <c r="I124" i="57" s="1"/>
  <c r="I103" i="57" l="1"/>
  <c r="H125" i="57"/>
  <c r="H5" i="52" s="1"/>
  <c r="D14" i="62"/>
  <c r="D109" i="57"/>
  <c r="C106" i="57"/>
  <c r="H4" i="52"/>
  <c r="I104" i="57"/>
  <c r="I4" i="52"/>
  <c r="C107" i="57"/>
  <c r="D110" i="57"/>
  <c r="D113" i="9"/>
  <c r="D114" i="9"/>
  <c r="D115" i="9" s="1"/>
  <c r="I113" i="9" s="1"/>
  <c r="D128" i="9" s="1"/>
  <c r="I112" i="9"/>
  <c r="D45" i="9"/>
  <c r="M48" i="9"/>
  <c r="C93" i="9" l="1"/>
  <c r="C86" i="9" s="1"/>
  <c r="C78" i="9"/>
  <c r="C73" i="9" s="1"/>
  <c r="C64" i="9"/>
  <c r="C63" i="9" s="1"/>
  <c r="C67" i="9" s="1"/>
  <c r="C68" i="9" s="1"/>
  <c r="D54" i="9" s="1"/>
  <c r="D59" i="9"/>
  <c r="M55" i="9" s="1"/>
  <c r="D53" i="9"/>
  <c r="D48" i="9" s="1"/>
  <c r="M52" i="9" s="1"/>
  <c r="C85" i="9"/>
  <c r="D55" i="9"/>
  <c r="M53" i="9" s="1"/>
  <c r="D52" i="9"/>
  <c r="C72" i="9"/>
  <c r="D116" i="57"/>
  <c r="D117" i="57"/>
  <c r="D118" i="57" s="1"/>
  <c r="D120" i="57"/>
  <c r="M49" i="9"/>
  <c r="D127" i="9"/>
  <c r="I111" i="9"/>
  <c r="D126" i="9" s="1"/>
  <c r="D117" i="9"/>
  <c r="I115" i="9" s="1"/>
  <c r="D9" i="50"/>
  <c r="B21" i="60" s="1"/>
  <c r="D30" i="50"/>
  <c r="E14" i="62"/>
  <c r="F14" i="62"/>
  <c r="B5" i="62"/>
  <c r="D46" i="57"/>
  <c r="M49" i="57"/>
  <c r="I113" i="57"/>
  <c r="D7" i="50"/>
  <c r="D28" i="50"/>
  <c r="D29" i="50" s="1"/>
  <c r="C95" i="9" l="1"/>
  <c r="C96" i="9" s="1"/>
  <c r="E96" i="9" s="1"/>
  <c r="E97" i="9" s="1"/>
  <c r="M50" i="57"/>
  <c r="D130" i="57"/>
  <c r="H14" i="62" s="1"/>
  <c r="B7" i="62" s="1"/>
  <c r="D39" i="50"/>
  <c r="D40" i="50" s="1"/>
  <c r="D18" i="50"/>
  <c r="C79" i="57"/>
  <c r="C74" i="57" s="1"/>
  <c r="D54" i="57"/>
  <c r="D49" i="57" s="1"/>
  <c r="M53" i="57" s="1"/>
  <c r="C73" i="57"/>
  <c r="C80" i="57" s="1"/>
  <c r="D56" i="57"/>
  <c r="M54" i="57" s="1"/>
  <c r="C65" i="57"/>
  <c r="C64" i="57" s="1"/>
  <c r="C68" i="57" s="1"/>
  <c r="C69" i="57" s="1"/>
  <c r="D55" i="57" s="1"/>
  <c r="C86" i="57"/>
  <c r="D53" i="57"/>
  <c r="C94" i="57"/>
  <c r="C87" i="57" s="1"/>
  <c r="I116" i="57"/>
  <c r="D23" i="50" s="1"/>
  <c r="B34" i="60" s="1"/>
  <c r="D44" i="50"/>
  <c r="I112" i="57"/>
  <c r="D38" i="50"/>
  <c r="B62" i="60" s="1"/>
  <c r="D8" i="50"/>
  <c r="B22" i="60" s="1"/>
  <c r="B19" i="60"/>
  <c r="C5" i="62"/>
  <c r="D5" i="62"/>
  <c r="L63" i="9"/>
  <c r="M63" i="9" s="1"/>
  <c r="L65" i="9"/>
  <c r="M65" i="9" s="1"/>
  <c r="L67" i="9"/>
  <c r="M67" i="9" s="1"/>
  <c r="L64" i="9"/>
  <c r="M64" i="9" s="1"/>
  <c r="L66" i="9"/>
  <c r="M66" i="9" s="1"/>
  <c r="L68" i="9"/>
  <c r="M68" i="9" s="1"/>
  <c r="D41" i="50"/>
  <c r="B63" i="60" s="1"/>
  <c r="I114" i="57"/>
  <c r="C79" i="9"/>
  <c r="C97" i="9" l="1"/>
  <c r="D58" i="9" s="1"/>
  <c r="D56" i="9" s="1"/>
  <c r="M54" i="9" s="1"/>
  <c r="N57" i="9" s="1"/>
  <c r="P57" i="9" s="1"/>
  <c r="D131" i="57"/>
  <c r="D11" i="52" s="1"/>
  <c r="D20" i="50"/>
  <c r="M69" i="9"/>
  <c r="N69" i="9" s="1"/>
  <c r="C80" i="9"/>
  <c r="E80" i="9" s="1"/>
  <c r="E81" i="9" s="1"/>
  <c r="C96" i="57"/>
  <c r="B31" i="60"/>
  <c r="D19" i="50"/>
  <c r="B32" i="60" s="1"/>
  <c r="C7" i="62"/>
  <c r="D7" i="62"/>
  <c r="D129" i="57"/>
  <c r="D17" i="50"/>
  <c r="C81" i="57"/>
  <c r="E81" i="57" s="1"/>
  <c r="E82" i="57" s="1"/>
  <c r="L69" i="57"/>
  <c r="M69" i="57" s="1"/>
  <c r="L67" i="57"/>
  <c r="M67" i="57" s="1"/>
  <c r="L66" i="57"/>
  <c r="M66" i="57" s="1"/>
  <c r="L65" i="57"/>
  <c r="M65" i="57" s="1"/>
  <c r="L64" i="57"/>
  <c r="M64" i="57" s="1"/>
  <c r="L68" i="57"/>
  <c r="M68" i="57" s="1"/>
  <c r="N59" i="9" l="1"/>
  <c r="N60" i="9" s="1"/>
  <c r="N58" i="9"/>
  <c r="M70" i="57"/>
  <c r="N70" i="57" s="1"/>
  <c r="D9" i="52"/>
  <c r="D10" i="52"/>
  <c r="C97" i="57"/>
  <c r="E97" i="57" s="1"/>
  <c r="E98" i="57" s="1"/>
  <c r="C98" i="57"/>
  <c r="D59" i="57" s="1"/>
  <c r="D57" i="57" s="1"/>
  <c r="M55" i="57" s="1"/>
  <c r="N58" i="57" s="1"/>
  <c r="C82" i="57"/>
  <c r="N61" i="9"/>
  <c r="C81" i="9"/>
  <c r="P58" i="57" l="1"/>
  <c r="N59" i="57"/>
  <c r="N60" i="57"/>
  <c r="N62" i="57" l="1"/>
  <c r="N61" i="57"/>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<sst xmlns="http://schemas.openxmlformats.org/spreadsheetml/2006/main" count="6871" uniqueCount="2895">
  <si>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</si>
  <si>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</si>
  <si>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</si>
  <si>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</si>
  <si>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</si>
  <si>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</si>
  <si>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</si>
  <si>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</si>
  <si>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</si>
  <si>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</si>
  <si>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</si>
  <si>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</si>
  <si>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</si>
  <si>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</si>
  <si>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</si>
  <si>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</si>
  <si>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</si>
  <si>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</si>
  <si>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</si>
  <si>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</si>
  <si>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</si>
  <si>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</si>
  <si>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</si>
  <si>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</si>
  <si>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</si>
  <si>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</si>
  <si>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</si>
  <si>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</si>
  <si>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</si>
  <si>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</si>
  <si>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</si>
  <si>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</si>
  <si>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</si>
  <si>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</si>
  <si>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</si>
  <si>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</si>
  <si>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</si>
  <si>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</si>
  <si>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</si>
  <si>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</si>
  <si>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</si>
  <si>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</si>
  <si>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</si>
  <si>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</si>
  <si>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</si>
  <si>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</si>
  <si>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</si>
  <si>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</si>
  <si>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</si>
  <si>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</si>
  <si>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</si>
  <si>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</si>
  <si>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</si>
  <si>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</si>
  <si>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</si>
  <si>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</si>
  <si>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</si>
  <si>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</si>
  <si>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</si>
  <si>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</si>
  <si>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</si>
  <si>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</si>
  <si>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</si>
  <si>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</si>
  <si>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</si>
  <si>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</si>
  <si>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</si>
  <si>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</si>
  <si>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</si>
  <si>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</si>
  <si>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</si>
  <si>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</si>
  <si>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</si>
  <si>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</si>
  <si>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</si>
  <si>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</si>
  <si>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</si>
  <si>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</si>
  <si>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</si>
  <si>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</si>
  <si>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</si>
  <si>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</si>
  <si>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</si>
  <si>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</si>
  <si>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</si>
  <si>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</si>
  <si>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</si>
  <si>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</si>
  <si>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</si>
  <si>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</si>
  <si>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</si>
  <si>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</si>
  <si>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</si>
  <si>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</si>
  <si>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</si>
  <si>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</si>
  <si>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</si>
  <si>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</si>
  <si>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</si>
  <si>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</si>
  <si>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</si>
  <si>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</si>
  <si>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</si>
  <si>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</si>
  <si>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</si>
  <si>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</si>
  <si>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</si>
  <si>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</si>
  <si>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</si>
  <si>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</si>
  <si>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</si>
  <si>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</si>
  <si>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</si>
  <si>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</si>
  <si>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</si>
  <si>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</si>
  <si>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</si>
  <si>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</si>
  <si>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</si>
  <si>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</si>
  <si>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</si>
  <si>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</si>
  <si>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</si>
  <si>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</si>
  <si>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</si>
  <si>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</si>
  <si>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</si>
  <si>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</si>
  <si>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</si>
  <si>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</si>
  <si>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</si>
  <si>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</si>
  <si>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</si>
  <si>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</si>
  <si>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</si>
  <si>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</si>
  <si>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</si>
  <si>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</si>
  <si>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</si>
  <si>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</si>
  <si>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</si>
  <si>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</si>
  <si>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</si>
  <si>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</si>
  <si>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</si>
  <si>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</si>
  <si>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</si>
  <si>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</si>
  <si>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</si>
  <si>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</si>
  <si>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</si>
  <si>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</si>
  <si>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</si>
  <si>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</si>
  <si>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</si>
  <si>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</si>
  <si>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</si>
  <si>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</si>
  <si>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</si>
  <si>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</si>
  <si>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</si>
  <si>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</si>
  <si>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</si>
  <si>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</si>
  <si>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</si>
  <si>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</si>
  <si>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</si>
  <si>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</si>
  <si>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</si>
  <si>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</si>
  <si>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</si>
  <si>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</si>
  <si>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</si>
  <si>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</si>
  <si>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</si>
  <si>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</si>
  <si>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</si>
  <si>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</si>
  <si>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</si>
  <si>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</si>
  <si>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</si>
  <si>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</si>
  <si>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</si>
  <si>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</si>
  <si>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</si>
  <si>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</si>
  <si>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</si>
  <si>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</si>
  <si>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</si>
  <si>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</si>
  <si>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</si>
  <si>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</si>
  <si>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</si>
  <si>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</si>
  <si>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</si>
  <si>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</si>
  <si>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</si>
  <si>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</si>
  <si>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</si>
  <si>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</si>
  <si>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</si>
  <si>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</si>
  <si>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</si>
  <si>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</si>
  <si>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</si>
  <si>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</si>
  <si>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</si>
  <si>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</si>
  <si>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</si>
  <si>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</si>
  <si>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</si>
  <si>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</si>
  <si>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</si>
  <si>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</si>
  <si>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</si>
  <si>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</si>
  <si>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</si>
  <si>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</si>
  <si>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</si>
  <si>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</si>
  <si>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</si>
  <si>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</si>
  <si>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</si>
  <si>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</si>
  <si>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</si>
  <si>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</si>
  <si>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</si>
  <si>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</si>
  <si>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</si>
  <si>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</si>
  <si>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</si>
  <si>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</si>
  <si>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</si>
  <si>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</si>
  <si>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</si>
  <si>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</si>
  <si>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</si>
  <si>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</si>
  <si>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</si>
  <si>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</si>
  <si>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</si>
  <si>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</si>
  <si>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</si>
  <si>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</si>
  <si>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</si>
  <si>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</si>
  <si>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</si>
  <si>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</si>
  <si>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</si>
  <si>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</si>
  <si>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</si>
  <si>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</si>
  <si>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</si>
  <si>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</si>
  <si>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</si>
  <si>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</si>
  <si>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</si>
  <si>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</si>
  <si>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</si>
  <si>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</si>
  <si>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</si>
  <si>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</si>
  <si>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</si>
  <si>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</si>
  <si>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</si>
  <si>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</si>
  <si>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</si>
  <si>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</si>
  <si>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</si>
  <si>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</si>
  <si>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</si>
  <si>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</si>
  <si>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</si>
  <si>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</si>
  <si>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</si>
  <si>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</si>
  <si>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</si>
  <si>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</si>
  <si>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</si>
  <si>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</si>
  <si>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</si>
  <si>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</si>
  <si>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</si>
  <si>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</si>
  <si>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</si>
  <si>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</si>
  <si>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</si>
  <si>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</si>
  <si>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</si>
  <si>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</si>
  <si>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</si>
  <si>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</si>
  <si>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</si>
  <si>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</si>
  <si>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</si>
  <si>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</si>
  <si>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</si>
  <si>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</si>
  <si>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</si>
  <si>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</si>
  <si>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</si>
  <si>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</si>
  <si>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</si>
  <si>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</si>
  <si>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</si>
  <si>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</si>
  <si>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</si>
  <si>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</si>
  <si>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</si>
  <si>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</si>
  <si>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</si>
  <si>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</si>
  <si>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</si>
  <si>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</si>
  <si>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</si>
  <si>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</si>
  <si>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</si>
  <si>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</si>
  <si>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</si>
  <si>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</si>
  <si>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</si>
  <si>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</si>
  <si>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</si>
  <si>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</si>
  <si>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</si>
  <si>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</si>
  <si>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</si>
  <si>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</si>
  <si>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</si>
  <si>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</si>
  <si>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</si>
  <si>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</si>
  <si>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</si>
  <si>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</si>
  <si>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</si>
  <si>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</si>
  <si>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</si>
  <si>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</si>
  <si>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</si>
  <si>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</si>
  <si>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</si>
  <si>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</si>
  <si>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</si>
  <si>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</si>
  <si>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</si>
  <si>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</si>
  <si>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</si>
  <si>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</si>
  <si>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</si>
  <si>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</si>
  <si>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</si>
  <si>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</si>
  <si>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</si>
  <si>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</si>
  <si>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</si>
  <si>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</si>
  <si>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</si>
  <si>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</si>
  <si>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</si>
  <si>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</si>
  <si>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</si>
  <si>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</si>
  <si>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</si>
  <si>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</si>
  <si>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</si>
  <si>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</si>
  <si>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</si>
  <si>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</si>
  <si>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</si>
  <si>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</si>
  <si>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</si>
  <si>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</si>
  <si>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</si>
  <si>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</si>
  <si>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</si>
  <si>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</si>
  <si>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</si>
  <si>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</si>
  <si>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</si>
  <si>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</si>
  <si>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</si>
  <si>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</si>
  <si>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</si>
  <si>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</si>
  <si>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</si>
  <si>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</si>
  <si>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</si>
  <si>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</si>
  <si>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</si>
  <si>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</si>
  <si>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</si>
  <si>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</si>
  <si>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</si>
  <si>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</si>
  <si>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</si>
  <si>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</si>
  <si>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</si>
  <si>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</si>
  <si>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</si>
  <si>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</si>
  <si>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</si>
  <si>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</si>
  <si>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</si>
  <si>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</si>
  <si>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</si>
  <si>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</si>
  <si>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</si>
  <si>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</si>
  <si>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</si>
  <si>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</si>
  <si>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</si>
  <si>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</si>
  <si>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</si>
  <si>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</si>
  <si>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</si>
  <si>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</si>
  <si>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</si>
  <si>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</si>
  <si>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</si>
  <si>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</si>
  <si>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</si>
  <si>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</si>
  <si>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</si>
  <si>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</si>
  <si>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</si>
  <si>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</si>
  <si>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</si>
  <si>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</si>
  <si>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</si>
  <si>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</si>
  <si>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</si>
  <si>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</si>
  <si>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</si>
  <si>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</si>
  <si>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</si>
  <si>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</si>
  <si>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</si>
  <si>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</si>
  <si>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</si>
  <si>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</si>
  <si>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</si>
  <si>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</si>
  <si>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</si>
  <si>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</si>
  <si>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</si>
  <si>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</si>
  <si>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</si>
  <si>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</si>
  <si>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</si>
  <si>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</si>
  <si>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</si>
  <si>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</si>
  <si>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</si>
  <si>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</si>
  <si>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</si>
  <si>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</si>
  <si>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</si>
  <si>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</si>
  <si>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</si>
  <si>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</si>
  <si>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</si>
  <si>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</si>
  <si>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</si>
  <si>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</si>
  <si>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</si>
  <si>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</si>
  <si>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</si>
  <si>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</si>
  <si>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</si>
  <si>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</si>
  <si>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</si>
  <si>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</si>
  <si>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</si>
  <si>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</si>
  <si>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</si>
  <si>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</si>
  <si>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</si>
  <si>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</si>
  <si>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</si>
  <si>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</si>
  <si>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</si>
  <si>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</si>
  <si>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</si>
  <si>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</si>
  <si>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</si>
  <si>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</si>
  <si>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</si>
  <si>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</si>
  <si>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</si>
  <si>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</si>
  <si>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</si>
  <si>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</si>
  <si>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</si>
  <si>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</si>
  <si>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</si>
  <si>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</si>
  <si>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</si>
  <si>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</si>
  <si>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</si>
  <si>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</si>
  <si>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</si>
  <si>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</si>
  <si>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</si>
  <si>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</si>
  <si>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</si>
  <si>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</si>
  <si>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</si>
  <si>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</si>
  <si>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</si>
  <si>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</si>
  <si>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</si>
  <si>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</si>
  <si>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</si>
  <si>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</si>
  <si>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</si>
  <si>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</si>
  <si>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</si>
  <si>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</si>
  <si>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</si>
  <si>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</si>
  <si>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</si>
  <si>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</si>
  <si>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</si>
  <si>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</si>
  <si>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</si>
  <si>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</si>
  <si>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</si>
  <si>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</si>
  <si>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</si>
  <si>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</si>
  <si>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</si>
  <si>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</si>
  <si>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</si>
  <si>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</si>
  <si>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</si>
  <si>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</si>
  <si>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</si>
  <si>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</si>
  <si>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</si>
  <si>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</si>
  <si>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</si>
  <si>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</si>
  <si>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</si>
  <si>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</si>
  <si>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</si>
  <si>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</si>
  <si>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</si>
  <si>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</si>
  <si>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</si>
  <si>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</si>
  <si>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</si>
  <si>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</si>
  <si>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</si>
  <si>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</si>
  <si>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</si>
  <si>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</si>
  <si>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</si>
  <si>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</si>
  <si>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</si>
  <si>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</si>
  <si>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</si>
  <si>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</si>
  <si>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</si>
  <si>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</si>
  <si>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</si>
  <si>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</si>
  <si>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</si>
  <si>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</si>
  <si>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</si>
  <si>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</si>
  <si>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</si>
  <si>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</si>
  <si>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</si>
  <si>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</si>
  <si>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</si>
  <si>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</si>
  <si>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</si>
  <si>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</si>
  <si>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</si>
  <si>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</si>
  <si>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</si>
  <si>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</si>
  <si>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</si>
  <si>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</si>
  <si>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</si>
  <si>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</si>
  <si>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</si>
  <si>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</si>
  <si>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</si>
  <si>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</si>
  <si>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</si>
  <si>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</si>
  <si>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</si>
  <si>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</si>
  <si>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</si>
  <si>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</si>
  <si>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</si>
  <si>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</si>
  <si>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</si>
  <si>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</si>
  <si>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</si>
  <si>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</si>
  <si>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</si>
  <si>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</si>
  <si>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</si>
  <si>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</si>
  <si>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</si>
  <si>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</si>
  <si>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</si>
  <si>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</si>
  <si>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</si>
  <si>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</si>
  <si>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</si>
  <si>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</si>
  <si>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</si>
  <si>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</si>
  <si>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</si>
  <si>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</si>
  <si>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</si>
  <si>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</si>
  <si>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</si>
  <si>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</si>
  <si>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</si>
  <si>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</si>
  <si>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</si>
  <si>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</si>
  <si>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</si>
  <si>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</si>
  <si>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</si>
  <si>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</si>
  <si>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</si>
  <si>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</si>
  <si>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</si>
  <si>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</si>
  <si>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</si>
  <si>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</si>
  <si>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</si>
  <si>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</si>
  <si>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</si>
  <si>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</si>
  <si>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</si>
  <si>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</si>
  <si>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</si>
  <si>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</si>
  <si>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</si>
  <si>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</si>
  <si>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</si>
  <si>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</si>
  <si>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</si>
  <si>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</si>
  <si>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</si>
  <si>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</si>
  <si>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</si>
  <si>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</si>
  <si>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</si>
  <si>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</si>
  <si>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</si>
  <si>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</si>
  <si>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</si>
  <si>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</si>
  <si>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</si>
  <si>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</si>
  <si>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</si>
  <si>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</si>
  <si>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</si>
  <si>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</si>
  <si>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</si>
  <si>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</si>
  <si>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</si>
  <si>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</si>
  <si>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</si>
  <si>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</si>
  <si>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</si>
  <si>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</si>
  <si>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</si>
  <si>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</si>
  <si>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</si>
  <si>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</si>
  <si>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</si>
  <si>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</si>
  <si>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</si>
  <si>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</si>
  <si>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</si>
  <si>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</si>
  <si>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</si>
  <si>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</si>
  <si>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</si>
  <si>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</si>
  <si>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</si>
  <si>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</si>
  <si>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</si>
  <si>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</si>
  <si>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</si>
  <si>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</si>
  <si>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</si>
  <si>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</si>
  <si>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</si>
  <si>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</si>
  <si>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</si>
  <si>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</si>
  <si>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</si>
  <si>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</si>
  <si>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</si>
  <si>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</si>
  <si>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</si>
  <si>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</si>
  <si>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</si>
  <si>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</si>
  <si>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</si>
  <si>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</si>
  <si>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</si>
  <si>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</si>
  <si>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</si>
  <si>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</si>
  <si>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</si>
  <si>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</si>
  <si>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</si>
  <si>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</si>
  <si>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</si>
  <si>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</si>
  <si>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</si>
  <si>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</si>
  <si>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</si>
  <si>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</si>
  <si>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</si>
  <si>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</si>
  <si>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</si>
  <si>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</si>
  <si>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</si>
  <si>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</si>
  <si>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</si>
  <si>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</si>
  <si>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</si>
  <si>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</si>
  <si>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</si>
  <si>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</si>
  <si>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</si>
  <si>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</si>
  <si>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</si>
  <si>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</si>
  <si>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</si>
  <si>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</si>
  <si>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</si>
  <si>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</si>
  <si>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</si>
  <si>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</si>
  <si>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</si>
  <si>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</si>
  <si>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</si>
  <si>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</si>
  <si>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</si>
  <si>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</si>
  <si>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</si>
  <si>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</si>
  <si>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</si>
  <si>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</si>
  <si>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</si>
  <si>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</si>
  <si>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</si>
  <si>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</si>
  <si>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</si>
  <si>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</si>
  <si>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</si>
  <si>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</si>
  <si>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</si>
  <si>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</si>
  <si>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</si>
  <si>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</si>
  <si>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</si>
  <si>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</si>
  <si>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</si>
  <si>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</si>
  <si>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</si>
  <si>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</si>
  <si>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</si>
  <si>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</si>
  <si>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</si>
  <si>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</si>
  <si>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</si>
  <si>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</si>
  <si>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</si>
  <si>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</si>
  <si>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</si>
  <si>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</si>
  <si>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</si>
  <si>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</si>
  <si>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</si>
  <si>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</si>
  <si>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</si>
  <si>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</si>
  <si>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</si>
  <si>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</si>
  <si>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</si>
  <si>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</si>
  <si>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</si>
  <si>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</si>
  <si>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</si>
  <si>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</si>
  <si>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</si>
  <si>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</si>
  <si>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</si>
  <si>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</si>
  <si>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</si>
  <si>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</si>
  <si>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</si>
  <si>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</si>
  <si>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</si>
  <si>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</si>
  <si>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</si>
  <si>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</si>
  <si>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</si>
  <si>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</si>
  <si>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</si>
  <si>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</si>
  <si>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</si>
  <si>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</si>
  <si>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</si>
  <si>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</si>
  <si>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</si>
  <si>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</si>
  <si>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</si>
  <si>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</si>
  <si>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</si>
  <si>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</si>
  <si>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</si>
  <si>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</si>
  <si>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</si>
  <si>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</si>
  <si>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</si>
  <si>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</si>
  <si>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</si>
  <si>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</si>
  <si>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</si>
  <si>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</si>
  <si>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</si>
  <si>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</si>
  <si>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</si>
  <si>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</si>
  <si>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</si>
  <si>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</si>
  <si>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</si>
  <si>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</si>
  <si>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</si>
  <si>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</si>
  <si>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</si>
  <si>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</si>
  <si>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</si>
  <si>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</si>
  <si>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</si>
  <si>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</si>
  <si>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</si>
  <si>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</si>
  <si>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</si>
  <si>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</si>
  <si>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</si>
  <si>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</si>
  <si>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</si>
  <si>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</si>
  <si>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</si>
  <si>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</si>
  <si>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</si>
  <si>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</si>
  <si>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</si>
  <si>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</si>
  <si>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</si>
  <si>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</si>
  <si>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</si>
  <si>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</si>
  <si>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</si>
  <si>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</si>
  <si>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</si>
  <si>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</si>
  <si>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</si>
  <si>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</si>
  <si>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</si>
  <si>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</si>
  <si>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</si>
  <si>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</si>
  <si>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</si>
  <si>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</si>
  <si>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</si>
  <si>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</si>
  <si>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</si>
  <si>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</si>
  <si>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</si>
  <si>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</si>
  <si>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</si>
  <si>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</si>
  <si>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</si>
  <si>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</si>
  <si>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</si>
  <si>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</si>
  <si>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</si>
  <si>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</si>
  <si>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</si>
  <si>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</si>
  <si>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</si>
  <si>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</si>
  <si>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</si>
  <si>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</si>
  <si>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</si>
  <si>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</si>
  <si>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</si>
  <si>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</si>
  <si>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</si>
  <si>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</si>
  <si>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</si>
  <si>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</si>
  <si>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</si>
  <si>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</si>
  <si>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</si>
  <si>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</si>
  <si>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</si>
  <si>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</si>
  <si>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</si>
  <si>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</si>
  <si>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</si>
  <si>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</si>
  <si>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</si>
  <si>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</si>
  <si>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</si>
  <si>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</si>
  <si>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</si>
  <si>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</si>
  <si>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</si>
  <si>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</si>
  <si>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</si>
  <si>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</si>
  <si>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</si>
  <si>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</si>
  <si>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</si>
  <si>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</si>
  <si>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</si>
  <si>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</si>
  <si>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</si>
  <si>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</si>
  <si>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</si>
  <si>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</si>
  <si>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</si>
  <si>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</si>
  <si>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</si>
  <si>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</si>
  <si>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</si>
  <si>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</si>
  <si>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</si>
  <si>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</si>
  <si>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</si>
  <si>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</si>
  <si>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</si>
  <si>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</si>
  <si>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</si>
  <si>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</si>
  <si>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</si>
  <si>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</si>
  <si>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</si>
  <si>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</si>
  <si>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</si>
  <si>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</si>
  <si>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</si>
  <si>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</si>
  <si>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</si>
  <si>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</si>
  <si>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</si>
  <si>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</si>
  <si>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</si>
  <si>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</si>
  <si>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</si>
  <si>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</si>
  <si>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</si>
  <si>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</si>
  <si>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</si>
  <si>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</si>
  <si>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</si>
  <si>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</si>
  <si>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</si>
  <si>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</si>
  <si>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</si>
  <si>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</si>
  <si>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</si>
  <si>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</si>
  <si>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</si>
  <si>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</si>
  <si>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</si>
  <si>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</si>
  <si>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</si>
  <si>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</si>
  <si>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</si>
  <si>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</si>
  <si>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</si>
  <si>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</si>
  <si>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</si>
  <si>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</si>
  <si>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</si>
  <si>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</si>
  <si>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</si>
  <si>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</si>
  <si>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</si>
  <si>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</si>
  <si>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</si>
  <si>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</si>
  <si>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</si>
  <si>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</si>
  <si>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</si>
  <si>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</si>
  <si>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</si>
  <si>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</si>
  <si>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</si>
  <si>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</si>
  <si>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</si>
  <si>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</si>
  <si>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</si>
  <si>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</si>
  <si>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</si>
  <si>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</si>
  <si>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</si>
  <si>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</si>
  <si>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</si>
  <si>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</si>
  <si>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</si>
  <si>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</si>
  <si>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</si>
  <si>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</si>
  <si>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</si>
  <si>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</si>
  <si>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</si>
  <si>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</si>
  <si>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</si>
  <si>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</si>
  <si>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</si>
  <si>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</si>
  <si>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</si>
  <si>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</si>
  <si>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</si>
  <si>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</si>
  <si>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</si>
  <si>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</si>
  <si>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</si>
  <si>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</si>
  <si>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</si>
  <si>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</si>
  <si>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</si>
  <si>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</si>
  <si>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</si>
  <si>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</si>
  <si>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</si>
  <si>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</si>
  <si>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</si>
  <si>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</si>
  <si>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</si>
  <si>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</si>
  <si>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</si>
  <si>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</si>
  <si>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</si>
  <si>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</si>
  <si>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</si>
  <si>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</si>
  <si>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</si>
  <si>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</si>
  <si>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</si>
  <si>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</si>
  <si>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</si>
  <si>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</si>
  <si>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</si>
  <si>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</si>
  <si>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</si>
  <si>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</si>
  <si>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</si>
  <si>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</si>
  <si>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</si>
  <si>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</si>
  <si>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</si>
  <si>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</si>
  <si>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</si>
  <si>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</si>
  <si>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</si>
  <si>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</si>
  <si>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</si>
  <si>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</si>
  <si>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</si>
  <si>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</si>
  <si>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</si>
  <si>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</si>
  <si>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</si>
  <si>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</si>
  <si>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</si>
  <si>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</si>
  <si>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</si>
  <si>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</si>
  <si>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</si>
  <si>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</si>
  <si>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</si>
  <si>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</si>
  <si>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</si>
  <si>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</si>
  <si>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</si>
  <si>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</si>
  <si>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</si>
  <si>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</si>
  <si>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</si>
  <si>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</si>
  <si>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</si>
  <si>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</si>
  <si>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</si>
  <si>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</si>
  <si>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</si>
  <si>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</si>
  <si>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</si>
  <si>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</si>
  <si>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</si>
  <si>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</si>
  <si>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</si>
  <si>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</si>
  <si>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</si>
  <si>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</si>
  <si>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</si>
  <si>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</si>
  <si>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</si>
  <si>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</si>
  <si>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</si>
  <si>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</si>
  <si>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</si>
  <si>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</si>
  <si>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</si>
  <si>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</si>
  <si>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</si>
  <si>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</si>
  <si>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</si>
  <si>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</si>
  <si>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</si>
  <si>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</si>
  <si>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</si>
  <si>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</si>
  <si>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</si>
  <si>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</si>
  <si>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</si>
  <si>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</si>
  <si>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</si>
  <si>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</si>
  <si>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</si>
  <si>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</si>
  <si>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</si>
  <si>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</si>
  <si>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</si>
  <si>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</si>
  <si>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</si>
  <si>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</si>
  <si>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</si>
  <si>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</si>
  <si>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</si>
  <si>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</si>
  <si>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</si>
  <si>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</si>
  <si>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</si>
  <si>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</si>
  <si>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</si>
  <si>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</si>
  <si>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</si>
  <si>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</si>
  <si>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</si>
  <si>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</si>
  <si>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</si>
  <si>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</si>
  <si>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</si>
  <si>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</si>
  <si>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</si>
  <si>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</si>
  <si>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</si>
  <si>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</si>
  <si>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</si>
  <si>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</si>
  <si>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</si>
  <si>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</si>
  <si>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</si>
  <si>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</si>
  <si>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</si>
  <si>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</si>
  <si>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</si>
  <si>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</si>
  <si>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</si>
  <si>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</si>
  <si>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</si>
  <si>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</si>
  <si>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</si>
  <si>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</si>
  <si>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</si>
  <si>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</si>
  <si>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</si>
  <si>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</si>
  <si>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</si>
  <si>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</si>
  <si>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</si>
  <si>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</si>
  <si>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</si>
  <si>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</si>
  <si>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</si>
  <si>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</si>
  <si>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</si>
  <si>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</si>
  <si>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</si>
  <si>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</si>
  <si>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</si>
  <si>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</si>
  <si>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</si>
  <si>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</si>
  <si>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</si>
  <si>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</si>
  <si>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</si>
  <si>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</si>
  <si>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</si>
  <si>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</si>
  <si>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</si>
  <si>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</si>
  <si>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</si>
  <si>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</si>
  <si>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</si>
  <si>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</si>
  <si>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</si>
  <si>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</si>
  <si>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</si>
  <si>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</si>
  <si>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</si>
  <si>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</si>
  <si>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</si>
  <si>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</si>
  <si>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</si>
  <si>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</si>
  <si>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</si>
  <si>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</si>
  <si>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</si>
  <si>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</si>
  <si>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</si>
  <si>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</si>
  <si>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</si>
  <si>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</si>
  <si>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</si>
  <si>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</si>
  <si>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</si>
  <si>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</si>
  <si>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</si>
  <si>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</si>
  <si>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</si>
  <si>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</si>
  <si>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</si>
  <si>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</si>
  <si>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</si>
  <si>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</si>
  <si>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</si>
  <si>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</si>
  <si>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</si>
  <si>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</si>
  <si>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</si>
  <si>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</si>
  <si>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</si>
  <si>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</si>
  <si>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</si>
  <si>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</si>
  <si>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</si>
  <si>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</si>
  <si>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</si>
  <si>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</si>
  <si>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</si>
  <si>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</si>
  <si>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</si>
  <si>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</si>
  <si>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</si>
  <si>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</si>
  <si>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</si>
  <si>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</si>
  <si>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</si>
  <si>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</si>
  <si>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</si>
  <si>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</si>
  <si>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</si>
  <si>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</si>
  <si>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</si>
  <si>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</si>
  <si>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</si>
  <si>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</si>
  <si>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</si>
  <si>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</si>
  <si>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</si>
  <si>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</si>
  <si>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</si>
  <si>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</si>
  <si>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</si>
  <si>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</si>
  <si>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</si>
  <si>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</si>
  <si>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</si>
  <si>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</si>
  <si>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</si>
  <si>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</si>
  <si>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</si>
  <si>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</si>
  <si>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</si>
  <si>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</si>
  <si>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</si>
  <si>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</si>
  <si>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</si>
  <si>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</si>
  <si>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</si>
  <si>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</si>
  <si>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</si>
  <si>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</si>
  <si>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</si>
  <si>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</si>
  <si>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</si>
  <si>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</si>
  <si>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</si>
  <si>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</si>
  <si>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</si>
  <si>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</si>
  <si>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</si>
  <si>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</si>
  <si>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</si>
  <si>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</si>
  <si>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</si>
  <si>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</si>
  <si>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</si>
  <si>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</si>
  <si>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</si>
  <si>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</si>
  <si>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</si>
  <si>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</si>
  <si>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</si>
  <si>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</si>
  <si>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</si>
  <si>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</si>
  <si>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</si>
  <si>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</si>
  <si>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</si>
  <si>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</si>
  <si>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</si>
  <si>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</si>
  <si>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</si>
  <si>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</si>
  <si>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</si>
  <si>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</si>
  <si>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</si>
  <si>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</si>
  <si>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</si>
  <si>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</si>
  <si>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</si>
  <si>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</si>
  <si>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</si>
  <si>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</si>
  <si>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</si>
  <si>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</si>
  <si>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</si>
  <si>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</si>
  <si>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</si>
  <si>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</si>
  <si>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</si>
  <si>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</si>
  <si>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</si>
  <si>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</si>
  <si>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</si>
  <si>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</si>
  <si>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</si>
  <si>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</si>
  <si>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</si>
  <si>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</si>
  <si>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</si>
  <si>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</si>
  <si>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</si>
  <si>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</si>
  <si>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</si>
  <si>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</si>
  <si>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</si>
  <si>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</si>
  <si>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</si>
  <si>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</si>
  <si>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</si>
  <si>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</si>
  <si>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</si>
  <si>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</si>
  <si>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</si>
  <si>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</si>
  <si>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</si>
  <si>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</si>
  <si>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</si>
  <si>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</si>
  <si>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</si>
  <si>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</si>
  <si>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</si>
  <si>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</si>
  <si>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</si>
  <si>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</si>
  <si>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</si>
  <si>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</si>
  <si>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</si>
  <si>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</si>
  <si>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</si>
  <si>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</si>
  <si>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</si>
  <si>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</si>
  <si>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</si>
  <si>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</si>
  <si>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</si>
  <si>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</si>
  <si>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</si>
  <si>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</si>
  <si>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</si>
  <si>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</si>
  <si>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</si>
  <si>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</si>
  <si>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</si>
  <si>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</si>
  <si>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</si>
  <si>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</si>
  <si>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</si>
  <si>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</si>
  <si>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</si>
  <si>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</si>
  <si>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</si>
  <si>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</si>
  <si>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</si>
  <si>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</si>
  <si>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</si>
  <si>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</si>
  <si>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</si>
  <si>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</si>
  <si>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</si>
  <si>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</si>
  <si>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</si>
  <si>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</si>
  <si>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</si>
  <si>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</si>
  <si>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</si>
  <si>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</si>
  <si>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</si>
  <si>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</si>
  <si>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</si>
  <si>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</si>
  <si>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</si>
  <si>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</si>
  <si>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</si>
  <si>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</si>
  <si>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</si>
  <si>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</si>
  <si>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</si>
  <si>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</si>
  <si>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</si>
  <si>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</si>
  <si>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</si>
  <si>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</si>
  <si>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</si>
  <si>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</si>
  <si>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</si>
  <si>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</si>
  <si>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</si>
  <si>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</si>
  <si>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</si>
  <si>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</si>
  <si>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</si>
  <si>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</si>
  <si>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</si>
  <si>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</si>
  <si>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</si>
  <si>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</si>
  <si>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</si>
  <si>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</si>
  <si>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</si>
  <si>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</si>
  <si>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</si>
  <si>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</si>
  <si>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</si>
  <si>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</si>
  <si>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</si>
  <si>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</si>
  <si>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</si>
  <si>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</si>
  <si>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</si>
  <si>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</si>
  <si>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</si>
  <si>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</si>
  <si>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</si>
  <si>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</si>
  <si>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</si>
  <si>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</si>
  <si>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</si>
  <si>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</si>
  <si>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</si>
  <si>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</si>
  <si>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</si>
  <si>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</si>
  <si>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</si>
  <si>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</si>
  <si>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</si>
  <si>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</si>
  <si>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</si>
  <si>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</si>
  <si>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</si>
  <si>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</si>
  <si>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</si>
  <si>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</si>
  <si>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</si>
  <si>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</si>
  <si>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</si>
  <si>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</si>
  <si>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</si>
  <si>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</si>
  <si>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</si>
  <si>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</si>
  <si>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</si>
  <si>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</si>
  <si>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</si>
  <si>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</si>
  <si>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</si>
  <si>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</si>
  <si>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</si>
  <si>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</si>
  <si>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</si>
  <si>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</si>
  <si>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</si>
  <si>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</si>
  <si>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</si>
  <si>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</si>
  <si>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</si>
  <si>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</si>
  <si>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</si>
  <si>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</si>
  <si>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</si>
  <si>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</si>
  <si>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</si>
  <si>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</si>
  <si>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</si>
  <si>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</si>
  <si>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</si>
  <si>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</si>
  <si>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</si>
  <si>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</si>
  <si>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</si>
  <si>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</si>
  <si>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</si>
  <si>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</si>
  <si>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</si>
  <si>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</si>
  <si>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</si>
  <si>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</si>
  <si>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</si>
  <si>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</si>
  <si>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</si>
  <si>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</si>
  <si>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</si>
  <si>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</si>
  <si>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</si>
  <si>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</si>
  <si>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</si>
  <si>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</si>
  <si>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</si>
  <si>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</si>
  <si>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</si>
  <si>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</si>
  <si>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</si>
  <si>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</si>
  <si>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</si>
  <si>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</si>
  <si>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</si>
  <si>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</si>
  <si>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</si>
  <si>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</si>
  <si>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</si>
  <si>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</si>
  <si>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</si>
  <si>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</si>
  <si>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</si>
  <si>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</si>
  <si>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</si>
  <si>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</si>
  <si>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</si>
  <si>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</si>
  <si>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</si>
  <si>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</si>
  <si>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</si>
  <si>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</si>
  <si>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</si>
  <si>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</si>
  <si>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</si>
  <si>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</si>
  <si>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</si>
  <si>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</si>
  <si>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</si>
  <si>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</si>
  <si>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</si>
  <si>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</si>
  <si>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</si>
  <si>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</si>
  <si>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</si>
  <si>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</si>
  <si>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</si>
  <si>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</si>
  <si>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</si>
  <si>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</si>
  <si>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</si>
  <si>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</si>
  <si>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</si>
  <si>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</si>
  <si>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</si>
  <si>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</si>
  <si>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</si>
  <si>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</si>
  <si>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</si>
  <si>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</si>
  <si>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</si>
  <si>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</si>
  <si>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</si>
  <si>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</si>
  <si>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</si>
  <si>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</si>
  <si>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</si>
  <si>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</si>
  <si>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</si>
  <si>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</si>
  <si>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</si>
  <si>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</si>
  <si>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</si>
  <si>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</si>
  <si>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</si>
  <si>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</si>
  <si>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</si>
  <si>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</si>
  <si>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</si>
  <si>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</si>
  <si>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</si>
  <si>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</si>
  <si>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</si>
  <si>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</si>
  <si>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</si>
  <si>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</si>
  <si>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</si>
  <si>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</si>
  <si>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</si>
  <si>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</si>
  <si>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</si>
  <si>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</si>
  <si>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</si>
  <si>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</si>
  <si>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</si>
  <si>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</si>
  <si>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</si>
  <si>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</si>
  <si>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</si>
  <si>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</si>
  <si>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</si>
  <si>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</si>
  <si>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</si>
  <si>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</si>
  <si>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</si>
  <si>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</si>
  <si>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</si>
  <si>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</si>
  <si>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</si>
  <si>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</si>
  <si>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</si>
  <si>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</si>
  <si>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</si>
  <si>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</si>
  <si>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</si>
  <si>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</si>
  <si>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</si>
  <si>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</si>
  <si>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</si>
  <si>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</si>
  <si>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</si>
  <si>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</si>
  <si>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</si>
  <si>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</si>
  <si>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</si>
  <si>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</si>
  <si>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</si>
  <si>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</si>
  <si>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</si>
  <si>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</si>
  <si>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</si>
  <si>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</si>
  <si>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</si>
  <si>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</si>
  <si>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</si>
  <si>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</si>
  <si>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</si>
  <si>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</si>
  <si>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</si>
  <si>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</si>
  <si>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</si>
  <si>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</si>
  <si>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</si>
  <si>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</si>
  <si>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</si>
  <si>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</si>
  <si>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</si>
  <si>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</si>
  <si>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</si>
  <si>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</si>
  <si>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</si>
  <si>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</si>
  <si>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</si>
  <si>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</si>
  <si>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</si>
  <si>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</si>
  <si>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</si>
  <si>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</si>
  <si>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</si>
  <si>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</si>
  <si>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</si>
  <si>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</si>
  <si>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</si>
  <si>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</si>
  <si>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</si>
  <si>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</si>
  <si>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</si>
  <si>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</si>
  <si>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</si>
  <si>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</si>
  <si>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</si>
  <si>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</si>
  <si>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</si>
  <si>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</si>
  <si>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</si>
  <si>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</si>
  <si>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</si>
  <si>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</si>
  <si>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</si>
  <si>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</si>
  <si>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</si>
  <si>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</si>
  <si>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</si>
  <si>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</si>
  <si>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</si>
  <si>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</si>
  <si>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</si>
  <si>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</si>
  <si>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</si>
  <si>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</si>
  <si>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</si>
  <si>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</si>
  <si>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</si>
  <si>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</si>
  <si>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</si>
  <si>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</si>
  <si>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</si>
  <si>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</si>
  <si>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</si>
  <si>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</si>
  <si>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</si>
  <si>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</si>
  <si>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</si>
  <si>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</si>
  <si>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</si>
  <si>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</si>
  <si>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</si>
  <si>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</si>
  <si>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</si>
  <si>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</si>
  <si>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</si>
  <si>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</si>
  <si>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</si>
  <si>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</si>
  <si>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</si>
  <si>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</si>
  <si>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</si>
  <si>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</si>
  <si>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</si>
  <si>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</si>
  <si>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</si>
  <si>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</si>
  <si>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</si>
  <si>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</si>
  <si>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</si>
  <si>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</si>
  <si>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</si>
  <si>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</si>
  <si>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</si>
  <si>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</si>
  <si>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</si>
  <si>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</si>
  <si>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</si>
  <si>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</si>
  <si>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</si>
  <si>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</si>
  <si>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</si>
  <si>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</si>
  <si>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</si>
  <si>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</si>
  <si>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</si>
  <si>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</si>
  <si>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</si>
  <si>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</si>
  <si>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</si>
  <si>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</si>
  <si>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</si>
  <si>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</si>
  <si>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</si>
  <si>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</si>
  <si>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</si>
  <si>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</si>
  <si>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</si>
  <si>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</si>
  <si>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</si>
  <si>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</si>
  <si>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</si>
  <si>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</si>
  <si>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</si>
  <si>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</si>
  <si>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</si>
  <si>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</si>
  <si>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</si>
  <si>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</si>
  <si>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</si>
  <si>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</si>
  <si>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</si>
  <si>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</si>
  <si>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</si>
  <si>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</si>
  <si>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</si>
  <si>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</si>
  <si>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</si>
  <si>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</si>
  <si>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</si>
  <si>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</si>
  <si>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</si>
  <si>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</si>
  <si>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</si>
  <si>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</si>
  <si>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</si>
  <si>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</si>
  <si>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</si>
  <si>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</si>
  <si>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</si>
  <si>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</si>
  <si>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</si>
  <si>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</si>
  <si>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</si>
  <si>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</si>
  <si>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</si>
  <si>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</si>
  <si>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</si>
  <si>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</si>
  <si>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</si>
  <si>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</si>
  <si>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</si>
  <si>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</si>
  <si>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</si>
  <si>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</si>
  <si>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</si>
  <si>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</si>
  <si>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</si>
  <si>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</si>
  <si>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</si>
  <si>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</si>
  <si>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</si>
  <si>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</si>
  <si>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</si>
  <si>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</si>
  <si>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</si>
  <si>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</si>
  <si>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</si>
  <si>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</si>
  <si>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</si>
  <si>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</si>
  <si>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</si>
  <si>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</si>
  <si>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</si>
  <si>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</si>
  <si>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</si>
  <si>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</si>
  <si>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</si>
  <si>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</si>
  <si>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</si>
  <si>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</si>
  <si>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</si>
  <si>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</si>
  <si>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</si>
  <si>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</si>
  <si>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</si>
  <si>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</si>
  <si>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</si>
  <si>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</si>
  <si>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</si>
  <si>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</si>
  <si>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</si>
  <si>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</si>
  <si>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</si>
  <si>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</si>
  <si>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</si>
  <si>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</si>
  <si>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</si>
  <si>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</si>
  <si>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</si>
  <si>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</si>
  <si>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</si>
  <si>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</si>
  <si>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</si>
  <si>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</si>
  <si>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</si>
  <si>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</si>
  <si>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</si>
  <si>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</si>
  <si>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</si>
  <si>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</si>
  <si>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</si>
  <si>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</si>
  <si>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</si>
  <si>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</si>
  <si>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</si>
  <si>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</si>
  <si>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</si>
  <si>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</si>
  <si>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</si>
  <si>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</si>
  <si>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</si>
  <si>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</si>
  <si>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</si>
  <si>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</si>
  <si>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</si>
  <si>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</si>
  <si>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</si>
  <si>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</si>
  <si>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</si>
  <si>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</si>
  <si>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</si>
  <si>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</si>
  <si>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</si>
  <si>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</si>
  <si>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</si>
  <si>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</si>
  <si>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</si>
  <si>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</si>
  <si>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</si>
  <si>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</si>
  <si>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</si>
  <si>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</si>
  <si>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</si>
  <si>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</si>
  <si>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</si>
  <si>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</si>
  <si>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</si>
  <si>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</si>
  <si>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</si>
  <si>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</si>
  <si>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</si>
  <si>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</si>
  <si>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</si>
  <si>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</si>
  <si>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</si>
  <si>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</si>
  <si>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</si>
  <si>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</si>
  <si>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</si>
  <si>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</si>
  <si>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</si>
  <si>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</si>
  <si>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</si>
  <si>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</si>
  <si>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</si>
  <si>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</si>
  <si>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</si>
  <si>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</si>
  <si>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</si>
  <si>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</si>
  <si>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</si>
  <si>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</si>
  <si>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</si>
  <si>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</si>
  <si>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</si>
  <si>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</si>
  <si>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</si>
  <si>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</si>
  <si>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</si>
  <si>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</si>
  <si>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</si>
  <si>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</si>
  <si>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</si>
  <si>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</si>
  <si>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</si>
  <si>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</si>
  <si>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</si>
  <si>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</si>
  <si>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</si>
  <si>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</si>
  <si>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</si>
  <si>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</si>
  <si>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</si>
  <si>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</si>
  <si>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</si>
  <si>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</si>
  <si>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</si>
  <si>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</si>
  <si>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</si>
  <si>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</si>
  <si>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</si>
  <si>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</si>
  <si>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</si>
  <si>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</si>
  <si>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</si>
  <si>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</si>
  <si>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</si>
  <si>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</si>
  <si>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</si>
  <si>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</si>
  <si>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</si>
  <si>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</si>
  <si>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</si>
  <si>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</si>
  <si>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</si>
  <si>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</si>
  <si>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</si>
  <si>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</si>
  <si>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</si>
  <si>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</si>
  <si>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</si>
  <si>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</si>
  <si>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</si>
  <si>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</si>
  <si>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</si>
  <si>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</si>
  <si>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</si>
  <si>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</si>
  <si>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</si>
  <si>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</si>
  <si>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</si>
  <si>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</si>
  <si>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</si>
  <si>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</si>
  <si>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</si>
  <si>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</si>
  <si>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</si>
  <si>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</si>
  <si>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</si>
  <si>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</si>
  <si>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</si>
  <si>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</si>
  <si>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</si>
  <si>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</si>
  <si>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</si>
  <si>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</si>
  <si>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</si>
  <si>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</si>
  <si>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</si>
  <si>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</si>
  <si>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</si>
  <si>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</si>
  <si>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</si>
  <si>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</si>
  <si>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</si>
  <si>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</si>
  <si>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</si>
  <si>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</si>
  <si>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</si>
  <si>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</si>
  <si>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</si>
  <si>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</si>
  <si>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</si>
  <si>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</si>
  <si>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</si>
  <si>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</si>
  <si>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</si>
  <si>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</si>
  <si>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</si>
  <si>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</si>
  <si>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</si>
  <si>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</si>
  <si>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</si>
  <si>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</si>
  <si>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</si>
  <si>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</si>
  <si>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</si>
  <si>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</si>
  <si>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</si>
  <si>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</si>
  <si>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</si>
  <si>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</si>
  <si>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</si>
  <si>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</si>
  <si>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</si>
  <si>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</si>
  <si>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</si>
  <si>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</si>
  <si>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</si>
  <si>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</si>
  <si>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</si>
  <si>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</si>
  <si>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</si>
  <si>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</si>
  <si>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</si>
  <si>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</si>
  <si>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</si>
  <si>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</si>
  <si>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</si>
  <si>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</si>
  <si>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</si>
  <si>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</si>
  <si>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</si>
  <si>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</si>
  <si>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</si>
  <si>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</si>
  <si>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</si>
  <si>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</si>
  <si>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</si>
  <si>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</si>
  <si>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</si>
  <si>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</si>
  <si>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</si>
  <si>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</si>
  <si>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</si>
  <si>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</si>
  <si>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</si>
  <si>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</si>
  <si>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</si>
  <si>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</si>
  <si>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</si>
  <si>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</si>
  <si>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</si>
  <si>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</si>
  <si>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</si>
  <si>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</si>
  <si>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</si>
  <si>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</si>
  <si>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</si>
  <si>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</si>
  <si>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</si>
  <si>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</si>
  <si>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</si>
  <si>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</si>
  <si>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</si>
  <si>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</si>
  <si>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</si>
  <si>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</si>
  <si>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</si>
  <si>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</si>
  <si>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</si>
  <si>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</si>
  <si>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</si>
  <si>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</si>
  <si>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</si>
  <si>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</si>
  <si>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</si>
  <si>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</si>
  <si>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</si>
  <si>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</si>
  <si>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</si>
  <si>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</si>
  <si>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</si>
  <si>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</si>
  <si>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</si>
  <si>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</si>
  <si>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</si>
  <si>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</si>
  <si>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</si>
  <si>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</si>
  <si>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</si>
  <si>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</si>
  <si>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</si>
  <si>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</si>
  <si>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</si>
  <si>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</si>
  <si>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</si>
  <si>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</si>
  <si>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</si>
  <si>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</si>
  <si>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</si>
  <si>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</si>
  <si>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</si>
  <si>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</si>
  <si>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</si>
  <si>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</si>
  <si>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</si>
  <si>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</si>
  <si>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</si>
  <si>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</si>
  <si>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</si>
  <si>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</si>
  <si>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</si>
  <si>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</si>
  <si>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</si>
  <si>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</si>
  <si>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</si>
  <si>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</si>
  <si>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</si>
  <si>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</si>
  <si>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</si>
  <si>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</si>
  <si>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</si>
  <si>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</si>
  <si>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</si>
  <si>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</si>
  <si>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</si>
  <si>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</si>
  <si>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</si>
  <si>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</si>
  <si>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</si>
  <si>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</si>
  <si>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</si>
  <si>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</si>
  <si>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</si>
  <si>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</si>
  <si>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</si>
  <si>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</si>
  <si>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</si>
  <si>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</si>
  <si>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</si>
  <si>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</si>
  <si>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</si>
  <si>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</si>
  <si>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</si>
  <si>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</si>
  <si>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</si>
  <si>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</si>
  <si>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</si>
  <si>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</si>
  <si>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</si>
  <si>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</si>
  <si>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</si>
  <si>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</si>
  <si>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</si>
  <si>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</si>
  <si>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</si>
  <si>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</si>
  <si>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</si>
  <si>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</si>
  <si>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</si>
  <si>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</si>
  <si>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</si>
  <si>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</si>
  <si>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</si>
  <si>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</si>
  <si>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</si>
  <si>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</si>
  <si>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</si>
  <si>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</si>
  <si>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</si>
  <si>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</si>
  <si>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</si>
  <si>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</si>
  <si>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</si>
  <si>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</si>
  <si>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</si>
  <si>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</si>
  <si>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</si>
  <si>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</si>
  <si>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</si>
  <si>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</si>
  <si>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</si>
  <si>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</si>
  <si>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</si>
  <si>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</si>
  <si>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</si>
  <si>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</si>
  <si>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</si>
  <si>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</si>
  <si>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</si>
  <si>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</si>
  <si>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</si>
  <si>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</si>
  <si>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</si>
  <si>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</si>
  <si>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</si>
  <si>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</si>
  <si>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</si>
  <si>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</si>
  <si>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</si>
  <si>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</si>
  <si>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</si>
  <si>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</si>
  <si>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</si>
  <si>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</si>
  <si>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</si>
  <si>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</si>
  <si>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</si>
  <si>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</si>
  <si>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</si>
  <si>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</si>
  <si>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</si>
  <si>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</si>
  <si>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</si>
  <si>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</si>
  <si>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</si>
  <si>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</si>
  <si>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</si>
  <si>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</si>
  <si>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</si>
  <si>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</si>
  <si>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</si>
  <si>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</si>
  <si>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</si>
  <si>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</si>
  <si>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</si>
  <si>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</si>
  <si>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</si>
  <si>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</si>
  <si>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</si>
  <si>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</si>
  <si>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</si>
  <si>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</si>
  <si>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</si>
  <si>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</si>
  <si>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</si>
  <si>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</si>
  <si>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</si>
  <si>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</si>
  <si>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</si>
  <si>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</si>
  <si>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</si>
  <si>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</si>
  <si>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</si>
  <si>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</si>
  <si>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</si>
  <si>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</si>
  <si>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</si>
  <si>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</si>
  <si>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</si>
  <si>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</si>
  <si>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</si>
  <si>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</si>
  <si>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</si>
  <si>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</si>
  <si>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</si>
  <si>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</si>
  <si>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</si>
  <si>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</si>
  <si>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</si>
  <si>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</si>
  <si>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</si>
  <si>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</si>
  <si>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</si>
  <si>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</si>
  <si>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</si>
  <si>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</si>
  <si>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</si>
  <si>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</si>
  <si>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</si>
  <si>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</si>
  <si>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</si>
  <si>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</si>
  <si>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</si>
  <si>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</si>
  <si>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</si>
  <si>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</si>
  <si>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</si>
  <si>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</si>
  <si>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</si>
  <si>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</si>
  <si>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</si>
  <si>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</si>
  <si>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</si>
  <si>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</si>
  <si>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</si>
  <si>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</si>
  <si>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</si>
  <si>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</si>
  <si>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</si>
  <si>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</si>
  <si>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</si>
  <si>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</si>
  <si>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</si>
  <si>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</si>
  <si>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</si>
  <si>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</si>
  <si>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</si>
  <si>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</si>
  <si>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</si>
  <si>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</si>
  <si>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</si>
  <si>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</si>
  <si>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</si>
  <si>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</si>
  <si>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</si>
  <si>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</si>
  <si>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</si>
  <si>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</si>
  <si>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</si>
  <si>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</si>
  <si>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</si>
  <si>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</si>
  <si>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</si>
  <si>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</si>
  <si>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</si>
  <si>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</si>
  <si>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</si>
  <si>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</si>
  <si>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</si>
  <si>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</si>
  <si>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</si>
  <si>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</si>
  <si>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</si>
  <si>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</si>
  <si>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</si>
  <si>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</si>
  <si>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</si>
  <si>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</si>
  <si>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</si>
  <si>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</si>
  <si>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</si>
  <si>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</si>
  <si>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</si>
  <si>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</si>
  <si>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</si>
  <si>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</si>
  <si>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</si>
  <si>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</si>
  <si>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</si>
  <si>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</si>
  <si>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</si>
  <si>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</si>
  <si>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</si>
  <si>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</si>
  <si>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</si>
  <si>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</si>
  <si>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</si>
  <si>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</si>
  <si>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</si>
  <si>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</si>
  <si>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</si>
  <si>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</si>
  <si>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</si>
  <si>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</si>
  <si>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</si>
  <si>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</si>
  <si>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</si>
  <si>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</si>
  <si>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</si>
  <si>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</si>
  <si>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</si>
  <si>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</si>
  <si>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</si>
  <si>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</si>
  <si>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</si>
  <si>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</si>
  <si>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</si>
  <si>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</si>
  <si>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</si>
  <si>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</si>
  <si>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</si>
  <si>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</si>
  <si>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</si>
  <si>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</si>
  <si>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</si>
  <si>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</si>
  <si>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</si>
  <si>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</si>
  <si>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</si>
  <si>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</si>
  <si>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</si>
  <si>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</si>
  <si>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</si>
  <si>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</si>
  <si>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</si>
  <si>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</si>
  <si>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</si>
  <si>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</si>
  <si>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</si>
  <si>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</si>
  <si>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</si>
  <si>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</si>
  <si>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</si>
  <si>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</si>
  <si>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</si>
  <si>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</si>
  <si>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</si>
  <si>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</si>
  <si>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</si>
  <si>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</si>
  <si>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</si>
  <si>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</si>
  <si>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</si>
  <si>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</si>
  <si>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</si>
  <si>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</si>
  <si>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</si>
  <si>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</si>
  <si>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</si>
  <si>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</si>
  <si>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</si>
  <si>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</si>
  <si>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</si>
  <si>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</si>
  <si>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</si>
  <si>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</si>
  <si>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</si>
  <si>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</si>
  <si>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</si>
  <si>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</si>
  <si>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</si>
  <si>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</si>
  <si>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</si>
  <si>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</si>
  <si>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</si>
  <si>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</si>
  <si>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</si>
  <si>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</si>
  <si>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</si>
  <si>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</si>
  <si>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</si>
  <si>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</si>
  <si>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</si>
  <si>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</si>
  <si>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</si>
  <si>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</si>
  <si>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</si>
  <si>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</si>
  <si>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</si>
  <si>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</si>
  <si>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</si>
  <si>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</si>
  <si>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</si>
  <si>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</si>
  <si>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</si>
  <si>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</si>
  <si>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</si>
  <si>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</si>
  <si>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</si>
  <si>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</si>
  <si>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</si>
  <si>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</si>
  <si>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</si>
  <si>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</si>
  <si>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</si>
  <si>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</si>
  <si>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</si>
  <si>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</si>
  <si>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</si>
  <si>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</si>
  <si>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</si>
  <si>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</si>
  <si>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</si>
  <si>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</si>
  <si>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</si>
  <si>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</si>
  <si>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</si>
  <si>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</si>
  <si>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</si>
  <si>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</si>
  <si>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</si>
  <si>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</si>
  <si>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</si>
  <si>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</si>
  <si>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</si>
  <si>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</si>
  <si>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</si>
  <si>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</si>
  <si>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</si>
  <si>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</si>
  <si>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</si>
  <si>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</si>
  <si>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</si>
  <si>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</si>
  <si>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</si>
  <si>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</si>
  <si>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</si>
  <si>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</si>
  <si>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</si>
  <si>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</si>
  <si>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</si>
  <si>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</si>
  <si>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</si>
  <si>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</si>
  <si>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</si>
  <si>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</si>
  <si>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</si>
  <si>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</si>
  <si>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</si>
  <si>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</si>
  <si>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</si>
  <si>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</si>
  <si>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</si>
  <si>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</si>
  <si>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</si>
  <si>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</si>
  <si>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</si>
  <si>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</si>
  <si>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</si>
  <si>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</si>
  <si>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</si>
  <si>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</si>
  <si>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</si>
  <si>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</si>
  <si>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</si>
  <si>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</si>
  <si>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</si>
  <si>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</si>
  <si>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</si>
  <si>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</si>
  <si>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</si>
  <si>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</si>
  <si>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</si>
  <si>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</si>
  <si>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</si>
  <si>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</si>
  <si>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</si>
  <si>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</si>
  <si>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</si>
  <si>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</si>
  <si>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</si>
  <si>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</si>
  <si>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</si>
  <si>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</si>
  <si>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</si>
  <si>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</si>
  <si>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</si>
  <si>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</si>
  <si>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</si>
  <si>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</si>
  <si>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</si>
  <si>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</si>
  <si>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</si>
  <si>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</si>
  <si>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</si>
  <si>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</si>
  <si>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</si>
  <si>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</si>
  <si>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</si>
  <si>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</si>
  <si>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</si>
  <si>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</si>
  <si>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</si>
  <si>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</si>
  <si>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</si>
  <si>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</si>
  <si>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</si>
  <si>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</si>
  <si>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</si>
  <si>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</si>
  <si>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</si>
  <si>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</si>
  <si>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</si>
  <si>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</si>
  <si>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</si>
  <si>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</si>
  <si>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</si>
  <si>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</si>
  <si>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</si>
  <si>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</si>
  <si>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</si>
  <si>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</si>
  <si>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</si>
  <si>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</si>
  <si>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</si>
  <si>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</si>
  <si>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</si>
  <si>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</si>
  <si>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</si>
  <si>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</si>
  <si>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</si>
  <si>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</si>
  <si>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</si>
  <si>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</si>
  <si>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</si>
  <si>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</si>
  <si>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</si>
  <si>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</si>
  <si>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</si>
  <si>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</si>
  <si>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</si>
  <si>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</si>
  <si>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</si>
  <si>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</si>
  <si>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</si>
  <si>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</si>
  <si>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</si>
  <si>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</si>
  <si>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</si>
  <si>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</si>
  <si>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</si>
  <si>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</si>
  <si>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</si>
  <si>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</si>
  <si>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</si>
  <si>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</si>
  <si>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</si>
  <si>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</si>
  <si>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</si>
  <si>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</si>
  <si>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</si>
  <si>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</si>
  <si>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</si>
  <si>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</si>
  <si>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</si>
  <si>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</si>
  <si>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</si>
  <si>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</si>
  <si>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</si>
  <si>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</si>
  <si>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</si>
  <si>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</si>
  <si>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</si>
  <si>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</si>
  <si>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</si>
  <si>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</si>
  <si>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</si>
  <si>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</si>
  <si>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</si>
  <si>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</si>
  <si>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</si>
  <si>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</si>
  <si>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</si>
  <si>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</si>
  <si>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</si>
  <si>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</si>
  <si>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</si>
  <si>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</si>
  <si>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</si>
  <si>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</si>
  <si>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</si>
  <si>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</si>
  <si>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</si>
  <si>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</si>
  <si>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</si>
  <si>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</si>
  <si>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</si>
  <si>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</si>
  <si>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</si>
  <si>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</si>
  <si>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</si>
  <si>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</si>
  <si>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</si>
  <si>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</si>
  <si>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</si>
  <si>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</si>
  <si>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</si>
  <si>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</si>
  <si>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</si>
  <si>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</si>
  <si>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</si>
  <si>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</si>
  <si>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</si>
  <si>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</si>
  <si>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</si>
  <si>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</si>
  <si>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</si>
  <si>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</si>
  <si>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</si>
  <si>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</si>
  <si>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</si>
  <si>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</si>
  <si>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</si>
  <si>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</si>
  <si>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</si>
  <si>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</si>
  <si>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</si>
  <si>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</si>
  <si>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</si>
  <si>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</si>
  <si>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</si>
  <si>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</si>
  <si>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</si>
  <si>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</si>
  <si>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</si>
  <si>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</si>
  <si>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</si>
  <si>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</si>
  <si>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</si>
  <si>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</si>
  <si>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</si>
  <si>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</si>
  <si>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</si>
  <si>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</si>
  <si>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</si>
  <si>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</si>
  <si>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</si>
  <si>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</si>
  <si>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</si>
  <si>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</si>
  <si>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</si>
  <si>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</si>
  <si>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</si>
  <si>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</si>
  <si>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</si>
  <si>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</si>
  <si>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</si>
  <si>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</si>
  <si>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</si>
  <si>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</si>
  <si>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</si>
  <si>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</si>
  <si>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</si>
  <si>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</si>
  <si>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</si>
  <si>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</si>
  <si>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</si>
  <si>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</si>
  <si>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</si>
  <si>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</si>
  <si>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</si>
  <si>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</si>
  <si>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</si>
  <si>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</si>
  <si>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</si>
  <si>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</si>
  <si>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</si>
  <si>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</si>
  <si>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</si>
  <si>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</si>
  <si>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</si>
  <si>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</si>
  <si>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</si>
  <si>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</si>
  <si>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</si>
  <si>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</si>
  <si>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</si>
  <si>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</si>
  <si>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</si>
  <si>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</si>
  <si>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</si>
  <si>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</si>
  <si>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</si>
  <si>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</si>
  <si>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</si>
  <si>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</si>
  <si>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</si>
  <si>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</si>
  <si>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</si>
  <si>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</si>
  <si>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</si>
  <si>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</si>
  <si>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</si>
  <si>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</si>
  <si>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</si>
  <si>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</si>
  <si>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欧红伟</t>
  </si>
  <si>
    <t>崔锴</t>
  </si>
  <si>
    <t>抵押</t>
  </si>
  <si>
    <t>北京众信龙达科技发展有限公司</t>
    <phoneticPr fontId="7" type="noConversion"/>
  </si>
  <si>
    <t>交通银行北京芳群园支行</t>
    <phoneticPr fontId="7" type="noConversion"/>
  </si>
  <si>
    <t>房地产抵押价值</t>
  </si>
  <si>
    <t>已注销</t>
  </si>
  <si>
    <t>北京市</t>
  </si>
  <si>
    <t>企业</t>
  </si>
  <si>
    <t>是</t>
  </si>
  <si>
    <t>否</t>
  </si>
  <si>
    <t>复印件</t>
  </si>
  <si>
    <t>楼面单价</t>
  </si>
  <si>
    <t>办公</t>
  </si>
  <si>
    <t>无租约</t>
  </si>
  <si>
    <t>基准户型1201</t>
    <phoneticPr fontId="20" type="noConversion"/>
  </si>
  <si>
    <t>仅计算典型户型</t>
  </si>
  <si>
    <t>售价</t>
  </si>
  <si>
    <t>诺德中心</t>
    <phoneticPr fontId="4" type="noConversion"/>
  </si>
  <si>
    <t>丰台区南四环西路128号院</t>
    <phoneticPr fontId="4" type="noConversion"/>
  </si>
  <si>
    <t>办公</t>
    <phoneticPr fontId="26" type="noConversion"/>
  </si>
  <si>
    <t>正常</t>
  </si>
  <si>
    <t>40-50（含）</t>
  </si>
  <si>
    <t>城市快速路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</si>
  <si>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</si>
  <si>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</si>
  <si>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</si>
  <si>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</si>
  <si>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</si>
  <si>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</si>
  <si>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标准写字楼</t>
    <phoneticPr fontId="4" type="noConversion"/>
  </si>
  <si>
    <t>钢混</t>
    <phoneticPr fontId="4" type="noConversion"/>
  </si>
  <si>
    <t>混合</t>
    <phoneticPr fontId="4" type="noConversion"/>
  </si>
  <si>
    <t>砖混</t>
    <phoneticPr fontId="4" type="noConversion"/>
  </si>
  <si>
    <t>精装</t>
    <phoneticPr fontId="4" type="noConversion"/>
  </si>
  <si>
    <t>普装</t>
    <phoneticPr fontId="4" type="noConversion"/>
  </si>
  <si>
    <t>简装</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</si>
  <si>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</si>
  <si>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</si>
  <si>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</si>
  <si>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</si>
  <si>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</si>
  <si>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</si>
  <si>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自管</t>
    <phoneticPr fontId="4" type="noConversion"/>
  </si>
  <si>
    <t>五通</t>
    <phoneticPr fontId="4" type="noConversion"/>
  </si>
  <si>
    <t>超高</t>
    <phoneticPr fontId="4" type="noConversion"/>
  </si>
  <si>
    <t>标准</t>
    <phoneticPr fontId="4" type="noConversion"/>
  </si>
  <si>
    <t>0-200</t>
    <phoneticPr fontId="4" type="noConversion"/>
  </si>
  <si>
    <t>200-400</t>
    <phoneticPr fontId="4" type="noConversion"/>
  </si>
  <si>
    <t>400-600</t>
    <phoneticPr fontId="4" type="noConversion"/>
  </si>
  <si>
    <t>600-800</t>
    <phoneticPr fontId="4" type="noConversion"/>
  </si>
  <si>
    <t>800-1000</t>
    <phoneticPr fontId="4" type="noConversion"/>
  </si>
  <si>
    <t>1000-1200</t>
    <phoneticPr fontId="4" type="noConversion"/>
  </si>
  <si>
    <t>精装</t>
    <phoneticPr fontId="4" type="noConversion"/>
  </si>
  <si>
    <t>普装</t>
    <phoneticPr fontId="4" type="noConversion"/>
  </si>
  <si>
    <t>简装</t>
    <phoneticPr fontId="4" type="noConversion"/>
  </si>
  <si>
    <t>毛坯</t>
    <phoneticPr fontId="4" type="noConversion"/>
  </si>
  <si>
    <t>标准写字楼</t>
  </si>
  <si>
    <t>钢混</t>
  </si>
  <si>
    <t>精装</t>
  </si>
  <si>
    <t>甲级</t>
  </si>
  <si>
    <t>专业</t>
  </si>
  <si>
    <t>五通</t>
  </si>
  <si>
    <t>标准</t>
  </si>
  <si>
    <t>普装</t>
  </si>
  <si>
    <t>南四环西路-城市快速路</t>
    <phoneticPr fontId="4" type="noConversion"/>
  </si>
  <si>
    <t>城市快速路</t>
  </si>
  <si>
    <t>中区</t>
  </si>
  <si>
    <t>七通</t>
  </si>
  <si>
    <t>低区</t>
  </si>
  <si>
    <t>高区</t>
  </si>
  <si>
    <t>按租金收入计税</t>
  </si>
  <si>
    <t>设定收益年期(n)</t>
  </si>
  <si>
    <t>收益法</t>
  </si>
  <si>
    <t>比较法-办公</t>
  </si>
  <si>
    <t>非生产用房</t>
  </si>
  <si>
    <t>万元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</si>
</sst>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230" fillId="0" borderId="1" xfId="0"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46" fillId="9" borderId="75"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243" fillId="0" borderId="51"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2" fillId="0" borderId="16"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28</xdr:col>
      <xdr:colOff>274057</xdr:colOff>
      <xdr:row>52</xdr:row>
      <xdr:rowOff>14049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7342857" cy="95238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331962</xdr:colOff>
      <xdr:row>42</xdr:row>
      <xdr:rowOff>176183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304762" cy="7857143"/>
        </a:xfrm>
        <a:prstGeom prst="rect">
          <a:avLst/>
        </a:prstGeom>
      </xdr:spPr>
    </xdr:pic>
    <xdr:clientData/>
  </xdr:twoCellAnchor>
  <xdr:twoCellAnchor editAs="oneCell">
    <xdr:from>
      <xdr:col>0</xdr:col>
      <xdr:colOff>0</xdr:colOff>
      <xdr:row>43</xdr:row>
      <xdr:rowOff>0</xdr:rowOff>
    </xdr:from>
    <xdr:to>
      <xdr:col>18</xdr:col>
      <xdr:colOff>570057</xdr:colOff>
      <xdr:row>88</xdr:row>
      <xdr:rowOff>141828</xdr:rowOff>
    </xdr:to>
    <xdr:pic>
      <xdr:nvPicPr>
        <xdr:cNvPr id="4" name="图片 3"/>
        <xdr:cNvPicPr>
          <a:picLocks noChangeAspect="1"/>
        </xdr:cNvPicPr>
      </xdr:nvPicPr>
      <xdr:blipFill>
        <a:blip xmlns:r="http://schemas.openxmlformats.org/officeDocument/2006/relationships" r:embed="rId2"/>
        <a:stretch>
          <a:fillRect/>
        </a:stretch>
      </xdr:blipFill>
      <xdr:spPr>
        <a:xfrm>
          <a:off x="0" y="7863840"/>
          <a:ext cx="11542857" cy="837142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6"/>
  <cols>
    <col min="1" max="1" width="32.44140625" style="1707" customWidth="1"/>
    <col min="2" max="2" width="94.88671875" style="1693" customWidth="1"/>
    <col min="3" max="16384" width="9" style="1703"/>
  </cols>
  <sheetData>
    <row r="1" spans="1:2" s="1698" customFormat="1" ht="16.2" thickBot="1">
      <c r="A1" s="1696" t="s">
        <v>1107</v>
      </c>
      <c r="B1" s="1697" t="s">
        <v>1169</v>
      </c>
    </row>
    <row r="2" spans="1:2" s="1700" customFormat="1" ht="16.2" thickTop="1">
      <c r="A2" s="1699" t="s">
        <v>1108</v>
      </c>
      <c r="B2" s="1685" t="str">
        <f>'预评函-封皮'!B9</f>
        <v>北京市房地产抵押价值预评估</v>
      </c>
    </row>
    <row r="3" spans="1:2" s="1700" customFormat="1">
      <c r="A3" s="1701" t="s">
        <v>1109</v>
      </c>
      <c r="B3" s="1686" t="str">
        <f>'预评函-封皮'!B12</f>
        <v>北京众信龙达科技发展有限公司</v>
      </c>
    </row>
    <row r="4" spans="1:2" s="1700" customFormat="1">
      <c r="A4" s="1701" t="s">
        <v>1110</v>
      </c>
      <c r="B4" s="1686" t="str">
        <f ca="1">'预评函-封皮'!B18</f>
        <v>欧红伟（注册号:1120000080）、崔锴（注册号:1120100036)</v>
      </c>
    </row>
    <row r="5" spans="1:2" s="1698" customFormat="1" ht="16.2" thickBot="1">
      <c r="A5" s="1702" t="s">
        <v>1111</v>
      </c>
      <c r="B5" s="1687" t="str">
        <f>'预评函-封皮'!B21</f>
        <v>康正预评字号</v>
      </c>
    </row>
    <row r="6" spans="1:2" s="1700" customFormat="1" ht="16.2" thickTop="1">
      <c r="A6" s="1701" t="s">
        <v>1112</v>
      </c>
      <c r="B6" s="1685" t="str">
        <f>'预评函-1'!A4</f>
        <v>受贵公司委托，我公司对北京市房地产进行了预评估。</v>
      </c>
    </row>
    <row r="7" spans="1:2">
      <c r="A7" s="1701" t="s">
        <v>1113</v>
      </c>
      <c r="B7" s="1688" t="str">
        <f>'预评函-1'!A6</f>
        <v>估价对象为北京市房地产，为北京众信龙达科技发展有限公司所有。根据《不动产权证书》[]，估价对象建筑面积为424.6平方米，（分摊）出让国有建设用地使用权面积为平方米。估价对象用途为。</v>
      </c>
    </row>
    <row r="8" spans="1:2">
      <c r="A8" s="1701" t="s">
        <v>1114</v>
      </c>
      <c r="B8" s="1688" t="str">
        <f>'预评函-1'!A8</f>
        <v>为估价委托人在向交通银行北京芳群园支行办理贷款手续过程中，确定房地产抵押贷款额度提供参考依据而评估房地产抵押价值。</v>
      </c>
    </row>
    <row r="9" spans="1:2">
      <c r="A9" s="1701" t="s">
        <v>1115</v>
      </c>
      <c r="B9" s="1688" t="str">
        <f>'预评函-1'!A10</f>
        <v>2018年8月16日（评估专业人员实地查勘之日）</v>
      </c>
    </row>
    <row r="10" spans="1:2">
      <c r="A10" s="1701" t="s">
        <v>1116</v>
      </c>
      <c r="B10" s="1688" t="str">
        <f>'预评函-1'!A13</f>
        <v>本次估价的“房地产价值”是指在正常市场情况下，在价值时点2018年8月16日，估价对象规划用途为，假定未设立法定优先受偿款下的房地产市场价值。</v>
      </c>
    </row>
    <row r="11" spans="1:2">
      <c r="A11" s="1701" t="s">
        <v>1117</v>
      </c>
      <c r="B11" s="1688"/>
    </row>
    <row r="12" spans="1:2">
      <c r="A12" s="1701" t="s">
        <v>1118</v>
      </c>
      <c r="B12" s="1688"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6.2" thickBot="1">
      <c r="A15" s="1702" t="s">
        <v>1121</v>
      </c>
      <c r="B15" s="1689" t="str">
        <f>'预评函-1'!A18</f>
        <v>本次评估采用的主估价方法为基准地价系数修正法和基准地价系数修正法。</v>
      </c>
    </row>
    <row r="16" spans="1:2" ht="16.2"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北京市房地产</v>
      </c>
    </row>
    <row r="18" spans="1:2">
      <c r="A18" s="1701" t="s">
        <v>1124</v>
      </c>
      <c r="B18" s="1688">
        <f>'预评函-2（1）'!C6</f>
        <v>424.6</v>
      </c>
    </row>
    <row r="19" spans="1:2">
      <c r="A19" s="1701" t="s">
        <v>1125</v>
      </c>
      <c r="B19" s="1688">
        <f ca="1">'预评函-2（1）'!D7</f>
        <v>1440</v>
      </c>
    </row>
    <row r="20" spans="1:2">
      <c r="A20" s="1701" t="s">
        <v>1163</v>
      </c>
      <c r="B20" s="1688" t="str">
        <f>'预评函-2（1）'!C7</f>
        <v>总价（万元）</v>
      </c>
    </row>
    <row r="21" spans="1:2">
      <c r="A21" s="1701" t="s">
        <v>1126</v>
      </c>
      <c r="B21" s="1688">
        <f ca="1">'预评函-2（1）'!D9</f>
        <v>33914</v>
      </c>
    </row>
    <row r="22" spans="1:2">
      <c r="A22" s="1701" t="s">
        <v>1127</v>
      </c>
      <c r="B22" s="1688" t="str">
        <f ca="1">'预评函-2（1）'!D8</f>
        <v>壹仟肆佰肆拾万元整</v>
      </c>
    </row>
    <row r="23" spans="1:2">
      <c r="A23" s="1701" t="s">
        <v>1164</v>
      </c>
      <c r="B23" s="1688">
        <f>'预评函-2（1）'!D10</f>
        <v>0</v>
      </c>
    </row>
    <row r="24" spans="1:2">
      <c r="A24" s="1701" t="s">
        <v>1165</v>
      </c>
      <c r="B24" s="1688" t="str">
        <f>'预评函-2（1）'!C10</f>
        <v>总额（万元）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t="str">
        <f>'预评函-2（1）'!D15</f>
        <v>——</v>
      </c>
    </row>
    <row r="30" spans="1:2">
      <c r="A30" s="1701" t="s">
        <v>1133</v>
      </c>
      <c r="B30" s="1688" t="e">
        <f>'预评函-2（1）'!D16</f>
        <v>#VALUE!</v>
      </c>
    </row>
    <row r="31" spans="1:2">
      <c r="A31" s="1701" t="s">
        <v>1134</v>
      </c>
      <c r="B31" s="1688">
        <f ca="1">'预评函-2（1）'!D18</f>
        <v>1440</v>
      </c>
    </row>
    <row r="32" spans="1:2">
      <c r="A32" s="1701" t="s">
        <v>1135</v>
      </c>
      <c r="B32" s="1688" t="str">
        <f ca="1">'预评函-2（1）'!D19</f>
        <v>壹仟肆佰肆拾万元整</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'预评函-2（2）'!D4</f>
        <v>0</v>
      </c>
    </row>
    <row r="38" spans="1:2">
      <c r="A38" s="1701" t="s">
        <v>1141</v>
      </c>
      <c r="B38" s="1688">
        <f>'预评函-2（2）'!E4</f>
        <v>0</v>
      </c>
    </row>
    <row r="39" spans="1:2">
      <c r="A39" s="1701" t="s">
        <v>1142</v>
      </c>
      <c r="B39" s="1688" t="str">
        <f>'预评函-2（2）'!D5</f>
        <v>零元整</v>
      </c>
    </row>
    <row r="40" spans="1:2">
      <c r="A40" s="1701" t="s">
        <v>1143</v>
      </c>
      <c r="B40" s="1688">
        <f>'预评函-2（2）'!F4</f>
        <v>0</v>
      </c>
    </row>
    <row r="41" spans="1:2">
      <c r="A41" s="1701" t="s">
        <v>1144</v>
      </c>
      <c r="B41" s="1688">
        <f>'预评函-2（2）'!G4</f>
        <v>0</v>
      </c>
    </row>
    <row r="42" spans="1:2" s="1698" customFormat="1" ht="16.2" thickBot="1">
      <c r="A42" s="1702" t="s">
        <v>1145</v>
      </c>
      <c r="B42" s="1690" t="str">
        <f>'预评函-2（2）'!F5</f>
        <v>零元整</v>
      </c>
    </row>
    <row r="43" spans="1:2" ht="16.2" thickTop="1">
      <c r="A43" s="1699" t="s">
        <v>1146</v>
      </c>
      <c r="B43" s="1691" t="str">
        <f>'预评函-3'!A13</f>
        <v>2.本《评估意见函》仅供金融机构进行内部审核使用，不做其他目的之用。</v>
      </c>
    </row>
    <row r="44" spans="1:2">
      <c r="A44" s="1701" t="s">
        <v>1147</v>
      </c>
      <c r="B44" s="1688" t="str">
        <f>'预评函-3'!A14</f>
        <v>3.抵押双方在办理抵押登记手续时，应使用本公司出具的正式《房地产评估报告》，特提醒报告使用者注意。</v>
      </c>
    </row>
    <row r="45" spans="1:2">
      <c r="A45" s="1701" t="s">
        <v>1148</v>
      </c>
      <c r="B45" s="1688" t="str">
        <f>'预评函-3'!A15</f>
        <v>4.本次评估估价师所知悉的法定优先受偿款情况说明如下：</v>
      </c>
    </row>
    <row r="46" spans="1:2">
      <c r="A46" s="1701" t="s">
        <v>1149</v>
      </c>
      <c r="B46" s="1688" t="str">
        <f>'预评函-3'!A16</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本次评估不存在估价师所知悉的法定优先受偿款。</v>
      </c>
    </row>
    <row r="49" spans="1:2">
      <c r="A49" s="1701" t="s">
        <v>1151</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ht="16.2" thickBot="1">
      <c r="A51" s="1702" t="s">
        <v>1153</v>
      </c>
      <c r="B51" s="1695">
        <f>'预评函-3'!D29</f>
        <v>42551</v>
      </c>
    </row>
    <row r="52" spans="1:2" ht="16.2" thickTop="1">
      <c r="A52" s="1699" t="s">
        <v>1154</v>
      </c>
      <c r="B52" s="1694" t="str">
        <f>'预评函-3'!A4</f>
        <v>欧红伟</v>
      </c>
    </row>
    <row r="53" spans="1:2">
      <c r="A53" s="1701" t="s">
        <v>1155</v>
      </c>
      <c r="B53" s="1688">
        <f ca="1">'预评函-3'!B4</f>
        <v>1120000080</v>
      </c>
    </row>
    <row r="54" spans="1:2">
      <c r="A54" s="1701" t="s">
        <v>1156</v>
      </c>
      <c r="B54" s="1692" t="str">
        <f>'预评函-3'!A5</f>
        <v>崔锴</v>
      </c>
    </row>
    <row r="55" spans="1:2" s="1698" customFormat="1" ht="16.2" thickBot="1">
      <c r="A55" s="1702" t="s">
        <v>1157</v>
      </c>
      <c r="B55" s="1690">
        <f ca="1">'预评函-3'!B5</f>
        <v>1120100036</v>
      </c>
    </row>
    <row r="56" spans="1:2" ht="16.2" thickTop="1">
      <c r="A56" s="1704" t="s">
        <v>1166</v>
      </c>
      <c r="B56" s="1688" t="str">
        <f>'预评函-2（1）'!B15</f>
        <v>——</v>
      </c>
    </row>
    <row r="57" spans="1:2">
      <c r="A57" s="1704" t="s">
        <v>1167</v>
      </c>
      <c r="B57" s="1688" t="str">
        <f>'预评函-2（1）'!B18</f>
        <v>3.抵押担保权已注销时的房地产抵押价值</v>
      </c>
    </row>
    <row r="58" spans="1:2" s="1698" customFormat="1" ht="16.2" thickBot="1">
      <c r="A58" s="1705" t="s">
        <v>1168</v>
      </c>
      <c r="B58" s="1689" t="str">
        <f>'预评函-2（1）'!B21</f>
        <v>——</v>
      </c>
    </row>
    <row r="59" spans="1:2" ht="16.2" thickTop="1">
      <c r="A59" s="1706" t="s">
        <v>1170</v>
      </c>
      <c r="B59" s="1686" t="str">
        <f>'预评函-2（1）'!B45</f>
        <v>单位：万元、元/平方米（单位：人民币）</v>
      </c>
    </row>
    <row r="60" spans="1:2">
      <c r="A60" s="1704" t="s">
        <v>1171</v>
      </c>
      <c r="B60" s="1688" t="str">
        <f>'预评函-2（2）'!D2</f>
        <v>出让国有建设用地使用权价值</v>
      </c>
    </row>
    <row r="61" spans="1:2" s="1700" customFormat="1">
      <c r="A61" s="1704" t="s">
        <v>1172</v>
      </c>
      <c r="B61" s="1688" t="str">
        <f>'预评函-2（2）'!A14</f>
        <v>单位：平方米、万元、元/平方米（币种：人民币）</v>
      </c>
    </row>
    <row r="62" spans="1:2" ht="31.2">
      <c r="A62" s="1704" t="s">
        <v>1257</v>
      </c>
      <c r="B62" s="1688" t="e">
        <f ca="1">'预评函-2（1）'!D38</f>
        <v>#VALUE!</v>
      </c>
    </row>
    <row r="63" spans="1:2" s="1700" customFormat="1" ht="31.2">
      <c r="A63" s="1704" t="s">
        <v>1258</v>
      </c>
      <c r="B63" s="1688">
        <f ca="1">'预评函-2（1）'!D41</f>
        <v>33914</v>
      </c>
    </row>
    <row r="64" spans="1:2">
      <c r="A64" s="1704" t="s">
        <v>1180</v>
      </c>
      <c r="B64" s="1688" t="str">
        <f>'预评函-2（2）'!A6</f>
        <v>估价师所知悉的法定优先受偿款</v>
      </c>
    </row>
    <row r="65" spans="1:2">
      <c r="A65" s="1704" t="s">
        <v>1181</v>
      </c>
      <c r="B65" s="1688" t="str">
        <f>'预评函-2（2）'!A8</f>
        <v/>
      </c>
    </row>
    <row r="66" spans="1:2">
      <c r="A66" s="1704" t="s">
        <v>1182</v>
      </c>
      <c r="B66" s="1688" t="str">
        <f>'预评函-2（2）'!A10</f>
        <v>抵押担保权已注销时的房地产抵押价值</v>
      </c>
    </row>
    <row r="67" spans="1:2" s="1698" customFormat="1" ht="16.2" thickBot="1">
      <c r="A67" s="1705" t="s">
        <v>1183</v>
      </c>
      <c r="B67" s="1689" t="str">
        <f>'预评函-2（2）'!A12</f>
        <v/>
      </c>
    </row>
    <row r="68" spans="1:2" ht="16.2"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19" sqref="I19"/>
    </sheetView>
  </sheetViews>
  <sheetFormatPr defaultColWidth="10" defaultRowHeight="13.2"/>
  <cols>
    <col min="1" max="1" width="18.6640625" style="1070" customWidth="1"/>
    <col min="2" max="2" width="15" style="1070" customWidth="1"/>
    <col min="3" max="3" width="14.109375" style="1070" customWidth="1"/>
    <col min="4" max="4" width="12.44140625" style="1070" customWidth="1"/>
    <col min="5" max="5" width="13.88671875" style="1070" customWidth="1"/>
    <col min="6" max="6" width="15" style="1070" customWidth="1"/>
    <col min="7" max="7" width="14.88671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8" thickBot="1">
      <c r="A1" s="1993" t="s">
        <v>1544</v>
      </c>
      <c r="B1" s="1994" t="str">
        <f>IF(B6="北京市","北京市",C6)&amp;IF(E12="房屋所有权证",B28,E28)&amp;D5&amp;"预评估"</f>
        <v>北京市房地产抵押价值预评估</v>
      </c>
      <c r="C1" s="1062"/>
      <c r="D1" s="1995"/>
      <c r="E1" s="1062"/>
      <c r="F1" s="1996" t="s">
        <v>1545</v>
      </c>
      <c r="G1" s="1681"/>
      <c r="I1" s="1019" t="str">
        <f>IF(B6="北京市","北京市",C6)&amp;IF(E12="房屋所有权证",B28,E28)&amp;"房地产"</f>
        <v>北京市房地产</v>
      </c>
    </row>
    <row r="2" spans="1:10" ht="13.8" thickTop="1">
      <c r="A2" s="1997" t="s">
        <v>1546</v>
      </c>
      <c r="B2" s="1087">
        <v>43328</v>
      </c>
      <c r="C2" s="1998" t="s">
        <v>1547</v>
      </c>
      <c r="D2" s="1087">
        <f>B2</f>
        <v>43328</v>
      </c>
      <c r="E2" s="1063"/>
      <c r="F2" s="1063"/>
      <c r="G2" s="1682"/>
      <c r="H2" s="1019"/>
    </row>
    <row r="3" spans="1:10" ht="13.8" thickBot="1">
      <c r="A3" s="1999" t="s">
        <v>1548</v>
      </c>
      <c r="B3" s="2000" t="s">
        <v>2818</v>
      </c>
      <c r="C3" s="1064">
        <f ca="1">SUMIF(注册房地产估价师,B3,估价师及机构信息!B3:B24)</f>
        <v>1120000080</v>
      </c>
      <c r="D3" s="2000" t="s">
        <v>2819</v>
      </c>
      <c r="E3" s="1065">
        <f ca="1">SUMIF(注册房地产估价师,D3,估价师及机构信息!B3:B24)</f>
        <v>1120100036</v>
      </c>
      <c r="F3" s="1066"/>
      <c r="G3" s="1683"/>
      <c r="H3" s="1019"/>
    </row>
    <row r="4" spans="1:10" ht="13.5" customHeight="1" thickTop="1">
      <c r="A4" s="2001" t="s">
        <v>1549</v>
      </c>
      <c r="B4" s="2734" t="s">
        <v>2821</v>
      </c>
      <c r="C4" s="2002" t="s">
        <v>1550</v>
      </c>
      <c r="D4" s="2003" t="s">
        <v>2820</v>
      </c>
      <c r="E4" s="1063"/>
      <c r="F4" s="1063"/>
      <c r="G4" s="1682"/>
    </row>
    <row r="5" spans="1:10" ht="24">
      <c r="A5" s="2004" t="s">
        <v>1551</v>
      </c>
      <c r="B5" s="2735" t="s">
        <v>2822</v>
      </c>
      <c r="C5" s="2006" t="s">
        <v>1552</v>
      </c>
      <c r="D5" s="2007" t="s">
        <v>2823</v>
      </c>
      <c r="E5" s="2008" t="s">
        <v>1553</v>
      </c>
      <c r="F5" s="2009" t="s">
        <v>2824</v>
      </c>
      <c r="G5" s="2010"/>
      <c r="I5" s="1019" t="str">
        <f>IF(C16="否","截至估价时点，估价对象抵押权未见登记。","截至价值时点，估价对象已设定抵押。")</f>
        <v>截至价值时点，估价对象已设定抵押。</v>
      </c>
    </row>
    <row r="6" spans="1:10">
      <c r="A6" s="2011" t="s">
        <v>1554</v>
      </c>
      <c r="B6" s="2012" t="s">
        <v>2825</v>
      </c>
      <c r="C6" s="2013"/>
      <c r="D6" s="2014" t="s">
        <v>1555</v>
      </c>
      <c r="E6" s="1021"/>
      <c r="F6" s="1020"/>
      <c r="G6" s="1073"/>
      <c r="I6" s="1069" t="str">
        <f>IF(COUNTIF(B5,"*上海银行*"),"上海银行","")</f>
        <v/>
      </c>
    </row>
    <row r="7" spans="1:10" ht="40.200000000000003" thickBot="1">
      <c r="A7" s="1999" t="s">
        <v>1556</v>
      </c>
      <c r="B7" s="2015" t="s">
        <v>2826</v>
      </c>
      <c r="C7" s="2016" t="str">
        <f>IF(B7="自然人","姓名","名称")</f>
        <v>名称</v>
      </c>
      <c r="D7" s="2017" t="str">
        <f>B4</f>
        <v>北京众信龙达科技发展有限公司</v>
      </c>
      <c r="E7" s="1067"/>
      <c r="F7" s="1066"/>
      <c r="G7" s="1683"/>
    </row>
    <row r="8" spans="1:10" ht="13.8" thickTop="1">
      <c r="A8" s="2793" t="s">
        <v>1557</v>
      </c>
      <c r="B8" s="2018" t="s">
        <v>1558</v>
      </c>
      <c r="C8" s="2806"/>
      <c r="D8" s="2807"/>
      <c r="E8" s="2019" t="s">
        <v>1559</v>
      </c>
      <c r="F8" s="2020" t="s">
        <v>1560</v>
      </c>
      <c r="G8" s="690">
        <f>C6</f>
        <v>0</v>
      </c>
    </row>
    <row r="9" spans="1:10">
      <c r="A9" s="2793"/>
      <c r="B9" s="344" t="s">
        <v>1561</v>
      </c>
      <c r="C9" s="2005"/>
      <c r="D9" s="2021"/>
      <c r="E9" s="1009" t="s">
        <v>1562</v>
      </c>
      <c r="F9" s="995"/>
      <c r="G9" s="1011"/>
    </row>
    <row r="10" spans="1:10" ht="13.8" thickBot="1">
      <c r="A10" s="2793"/>
      <c r="B10" s="344" t="s">
        <v>1563</v>
      </c>
      <c r="C10" s="2808"/>
      <c r="D10" s="2809"/>
      <c r="E10" s="2022" t="s">
        <v>1564</v>
      </c>
      <c r="F10" s="1012"/>
      <c r="G10" s="1013"/>
    </row>
    <row r="11" spans="1:10" ht="13.8" thickBot="1">
      <c r="A11" s="2793"/>
      <c r="B11" s="2023" t="s">
        <v>1565</v>
      </c>
      <c r="C11" s="2810"/>
      <c r="D11" s="2811"/>
      <c r="E11" s="1021"/>
      <c r="F11" s="1020"/>
      <c r="G11" s="1073"/>
    </row>
    <row r="12" spans="1:10" ht="24.6" thickBot="1">
      <c r="A12" s="2797" t="s">
        <v>1566</v>
      </c>
      <c r="B12" s="2024" t="s">
        <v>1567</v>
      </c>
      <c r="C12" s="1015">
        <v>424.6</v>
      </c>
      <c r="D12" s="2024" t="s">
        <v>1568</v>
      </c>
      <c r="E12" s="2025" t="s">
        <v>1569</v>
      </c>
      <c r="F12" s="2026" t="s">
        <v>1570</v>
      </c>
      <c r="G12" s="1073"/>
    </row>
    <row r="13" spans="1:10" ht="21" customHeight="1" thickBot="1">
      <c r="A13" s="2798"/>
      <c r="B13" s="2027" t="s">
        <v>1571</v>
      </c>
      <c r="C13" s="1016"/>
      <c r="D13" s="2027" t="s">
        <v>1572</v>
      </c>
      <c r="E13" s="2028" t="s">
        <v>1569</v>
      </c>
      <c r="F13" s="1020"/>
      <c r="G13" s="1073"/>
      <c r="I13" s="2816" t="s">
        <v>1573</v>
      </c>
      <c r="J13" s="2029"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8" thickBot="1">
      <c r="A14" s="2030"/>
      <c r="B14" s="2031" t="s">
        <v>1574</v>
      </c>
      <c r="C14" s="2032"/>
      <c r="D14" s="1020"/>
      <c r="E14" s="1020"/>
      <c r="F14" s="1020"/>
      <c r="G14" s="1073"/>
      <c r="I14" s="2816"/>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8" thickBot="1">
      <c r="A15" s="2033"/>
      <c r="B15" s="2034" t="s">
        <v>1575</v>
      </c>
      <c r="C15" s="1068"/>
      <c r="D15" s="1066"/>
      <c r="E15" s="1066"/>
      <c r="F15" s="1066"/>
      <c r="G15" s="1683"/>
      <c r="I15" s="2816"/>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6" thickTop="1" thickBot="1">
      <c r="A16" s="2030" t="s">
        <v>1576</v>
      </c>
      <c r="B16" s="2035" t="s">
        <v>1577</v>
      </c>
      <c r="C16" s="2036" t="s">
        <v>2827</v>
      </c>
      <c r="D16" s="2037" t="s">
        <v>1578</v>
      </c>
      <c r="E16" s="2038" t="s">
        <v>2828</v>
      </c>
      <c r="F16" s="2039" t="str">
        <f>IF(AND(C16="是",E16="否"),"是否提供他项权证或相关说明","")</f>
        <v>是否提供他项权证或相关说明</v>
      </c>
      <c r="G16" s="2038"/>
      <c r="I16" s="1070"/>
      <c r="J16" s="1019"/>
    </row>
    <row r="17" spans="1:15" ht="13.5" customHeight="1">
      <c r="A17" s="2040" t="s">
        <v>1579</v>
      </c>
      <c r="B17" s="2812" t="s">
        <v>1580</v>
      </c>
      <c r="C17" s="2813"/>
      <c r="D17" s="2814" t="s">
        <v>1581</v>
      </c>
      <c r="E17" s="2815"/>
      <c r="F17" s="2041" t="s">
        <v>1582</v>
      </c>
      <c r="G17" s="2042"/>
      <c r="J17" s="1019"/>
    </row>
    <row r="18" spans="1:15" ht="24">
      <c r="A18" s="2040"/>
      <c r="B18" s="2043" t="s">
        <v>1583</v>
      </c>
      <c r="C18" s="2010" t="s">
        <v>2829</v>
      </c>
      <c r="D18" s="2044" t="s">
        <v>1584</v>
      </c>
      <c r="E18" s="2045" t="s">
        <v>1585</v>
      </c>
      <c r="F18" s="2046"/>
      <c r="G18" s="1867"/>
      <c r="H18" s="1019"/>
      <c r="J18" s="1019"/>
    </row>
    <row r="19" spans="1:15" ht="21.75" customHeight="1" thickBot="1">
      <c r="A19" s="2040"/>
      <c r="B19" s="2047"/>
      <c r="C19" s="2028"/>
      <c r="D19" s="2048"/>
      <c r="E19" s="1020"/>
      <c r="F19" s="1020"/>
      <c r="G19" s="1867"/>
    </row>
    <row r="20" spans="1:15">
      <c r="A20" s="2049" t="s">
        <v>1586</v>
      </c>
      <c r="B20" s="2050" t="s">
        <v>1587</v>
      </c>
      <c r="C20" s="2051"/>
      <c r="D20" s="2052" t="s">
        <v>1587</v>
      </c>
      <c r="E20" s="2051"/>
      <c r="F20" s="1020"/>
      <c r="G20" s="1867"/>
    </row>
    <row r="21" spans="1:15">
      <c r="A21" s="2053"/>
      <c r="B21" s="2054" t="s">
        <v>1588</v>
      </c>
      <c r="C21" s="2055"/>
      <c r="D21" s="2040" t="s">
        <v>1588</v>
      </c>
      <c r="E21" s="2056"/>
      <c r="F21" s="1020"/>
      <c r="G21" s="1867"/>
    </row>
    <row r="22" spans="1:15">
      <c r="A22" s="2053"/>
      <c r="B22" s="2057" t="s">
        <v>1589</v>
      </c>
      <c r="C22" s="2058"/>
      <c r="D22" s="2057" t="s">
        <v>1589</v>
      </c>
      <c r="E22" s="2056"/>
      <c r="F22" s="1020"/>
      <c r="G22" s="1867"/>
    </row>
    <row r="23" spans="1:15" s="1865" customFormat="1" ht="21.6" thickBot="1">
      <c r="A23" s="2059"/>
      <c r="B23" s="2060" t="s">
        <v>1590</v>
      </c>
      <c r="C23" s="2061"/>
      <c r="D23" s="2060" t="s">
        <v>1591</v>
      </c>
      <c r="E23" s="2062"/>
      <c r="F23" s="1020"/>
      <c r="G23" s="1867"/>
      <c r="H23" s="2063"/>
      <c r="I23" s="1866"/>
      <c r="K23" s="1864"/>
      <c r="L23" s="1864"/>
      <c r="M23" s="1864"/>
      <c r="O23" s="1866"/>
    </row>
    <row r="24" spans="1:15" ht="13.8" thickBot="1">
      <c r="A24" s="1071" t="s">
        <v>1592</v>
      </c>
      <c r="B24" s="1020"/>
      <c r="C24" s="1020"/>
      <c r="D24" s="1020"/>
      <c r="E24" s="1020"/>
      <c r="F24" s="1020"/>
      <c r="G24" s="1868"/>
      <c r="I24" s="1070"/>
      <c r="K24" s="1070"/>
    </row>
    <row r="25" spans="1:15" s="1080" customFormat="1" ht="13.8" thickBot="1">
      <c r="A25" s="994"/>
      <c r="B25" s="2064" t="s">
        <v>1593</v>
      </c>
      <c r="C25" s="994"/>
      <c r="D25" s="1014"/>
      <c r="E25" s="1017" t="s">
        <v>1594</v>
      </c>
      <c r="F25" s="994"/>
      <c r="G25" s="2065" t="s">
        <v>1595</v>
      </c>
      <c r="L25" s="1081"/>
      <c r="M25" s="1081"/>
      <c r="O25" s="1082"/>
    </row>
    <row r="26" spans="1:15" s="1080" customFormat="1" ht="13.8" thickBot="1">
      <c r="A26" s="994"/>
      <c r="B26" s="1088"/>
      <c r="C26" s="994"/>
      <c r="D26" s="1014"/>
      <c r="E26" s="1088"/>
      <c r="F26" s="994"/>
      <c r="G26" s="1684"/>
      <c r="L26" s="1081"/>
      <c r="M26" s="1081"/>
      <c r="O26" s="1082"/>
    </row>
    <row r="27" spans="1:15">
      <c r="A27" s="1006" t="s">
        <v>1596</v>
      </c>
      <c r="B27" s="1003"/>
      <c r="C27" s="2800" t="s">
        <v>1596</v>
      </c>
      <c r="D27" s="2801"/>
      <c r="E27" s="1003"/>
      <c r="F27" s="1010" t="s">
        <v>1596</v>
      </c>
      <c r="G27" s="1003"/>
      <c r="I27" s="1070"/>
      <c r="K27" s="1070"/>
    </row>
    <row r="28" spans="1:15">
      <c r="A28" s="1007" t="s">
        <v>1597</v>
      </c>
      <c r="B28" s="977"/>
      <c r="C28" s="2802" t="s">
        <v>1598</v>
      </c>
      <c r="D28" s="2803"/>
      <c r="E28" s="977"/>
      <c r="F28" s="1893" t="s">
        <v>1598</v>
      </c>
      <c r="G28" s="977"/>
      <c r="I28" s="1070"/>
      <c r="K28" s="1070"/>
    </row>
    <row r="29" spans="1:15">
      <c r="A29" s="1007" t="s">
        <v>1599</v>
      </c>
      <c r="B29" s="977"/>
      <c r="C29" s="2802" t="s">
        <v>1599</v>
      </c>
      <c r="D29" s="2803"/>
      <c r="E29" s="977"/>
      <c r="F29" s="1893" t="s">
        <v>1600</v>
      </c>
      <c r="G29" s="977"/>
      <c r="I29" s="1070"/>
      <c r="K29" s="1070"/>
    </row>
    <row r="30" spans="1:15">
      <c r="A30" s="1007" t="s">
        <v>1601</v>
      </c>
      <c r="B30" s="977"/>
      <c r="C30" s="2822" t="s">
        <v>1602</v>
      </c>
      <c r="D30" s="2066"/>
      <c r="E30" s="1022" t="str">
        <f>E31&amp;" "&amp;E32&amp;" "&amp;E33&amp;" "&amp;E34</f>
        <v xml:space="preserve">   </v>
      </c>
      <c r="F30" s="1893" t="s">
        <v>1603</v>
      </c>
      <c r="G30" s="977"/>
    </row>
    <row r="31" spans="1:15">
      <c r="A31" s="1007" t="s">
        <v>1604</v>
      </c>
      <c r="B31" s="977"/>
      <c r="C31" s="2823"/>
      <c r="D31" s="1892" t="s">
        <v>1605</v>
      </c>
      <c r="E31" s="977"/>
      <c r="F31" s="1893" t="s">
        <v>1606</v>
      </c>
      <c r="G31" s="977"/>
    </row>
    <row r="32" spans="1:15" ht="24.6" thickBot="1">
      <c r="A32" s="1008" t="s">
        <v>1607</v>
      </c>
      <c r="B32" s="1004"/>
      <c r="C32" s="2823"/>
      <c r="D32" s="1892" t="s">
        <v>1608</v>
      </c>
      <c r="E32" s="977"/>
      <c r="F32" s="1893" t="s">
        <v>1609</v>
      </c>
      <c r="G32" s="977"/>
    </row>
    <row r="33" spans="1:7">
      <c r="A33" s="1006" t="s">
        <v>1610</v>
      </c>
      <c r="B33" s="1003"/>
      <c r="C33" s="2823"/>
      <c r="D33" s="1892" t="s">
        <v>1611</v>
      </c>
      <c r="E33" s="977"/>
      <c r="F33" s="1893" t="s">
        <v>1612</v>
      </c>
      <c r="G33" s="977"/>
    </row>
    <row r="34" spans="1:7" ht="13.8" thickBot="1">
      <c r="A34" s="1007" t="s">
        <v>1613</v>
      </c>
      <c r="B34" s="977"/>
      <c r="C34" s="2824"/>
      <c r="D34" s="1892" t="s">
        <v>1614</v>
      </c>
      <c r="E34" s="977"/>
      <c r="F34" s="1894" t="s">
        <v>1615</v>
      </c>
      <c r="G34" s="1005"/>
    </row>
    <row r="35" spans="1:7">
      <c r="A35" s="1007" t="s">
        <v>1567</v>
      </c>
      <c r="B35" s="977"/>
      <c r="C35" s="2802" t="s">
        <v>1616</v>
      </c>
      <c r="D35" s="2803"/>
      <c r="E35" s="977"/>
      <c r="F35" s="1018" t="s">
        <v>1617</v>
      </c>
      <c r="G35" s="1003"/>
    </row>
    <row r="36" spans="1:7" ht="24.6" thickBot="1">
      <c r="A36" s="1007" t="s">
        <v>1618</v>
      </c>
      <c r="B36" s="977"/>
      <c r="C36" s="2804" t="s">
        <v>1619</v>
      </c>
      <c r="D36" s="2805"/>
      <c r="E36" s="1004"/>
      <c r="F36" s="1890" t="s">
        <v>1620</v>
      </c>
      <c r="G36" s="977"/>
    </row>
    <row r="37" spans="1:7" ht="13.8" thickBot="1">
      <c r="A37" s="1007" t="s">
        <v>1621</v>
      </c>
      <c r="B37" s="977"/>
      <c r="C37" s="2794" t="s">
        <v>1622</v>
      </c>
      <c r="D37" s="2067" t="s">
        <v>1606</v>
      </c>
      <c r="E37" s="1003"/>
      <c r="F37" s="1894" t="s">
        <v>1623</v>
      </c>
      <c r="G37" s="1004"/>
    </row>
    <row r="38" spans="1:7">
      <c r="A38" s="1007" t="s">
        <v>1624</v>
      </c>
      <c r="B38" s="977"/>
      <c r="C38" s="2795"/>
      <c r="D38" s="1892" t="s">
        <v>1613</v>
      </c>
      <c r="E38" s="977"/>
      <c r="F38" s="1010" t="s">
        <v>1625</v>
      </c>
      <c r="G38" s="1003"/>
    </row>
    <row r="39" spans="1:7">
      <c r="A39" s="1007" t="s">
        <v>1626</v>
      </c>
      <c r="B39" s="977"/>
      <c r="C39" s="2795" t="s">
        <v>1627</v>
      </c>
      <c r="D39" s="1892" t="s">
        <v>1567</v>
      </c>
      <c r="E39" s="977"/>
      <c r="F39" s="1893" t="s">
        <v>1628</v>
      </c>
      <c r="G39" s="977"/>
    </row>
    <row r="40" spans="1:7" ht="24.75" customHeight="1" thickBot="1">
      <c r="A40" s="1008" t="s">
        <v>1629</v>
      </c>
      <c r="B40" s="1004"/>
      <c r="C40" s="2796"/>
      <c r="D40" s="1895" t="s">
        <v>1571</v>
      </c>
      <c r="E40" s="1004"/>
      <c r="F40" s="1894" t="s">
        <v>1630</v>
      </c>
      <c r="G40" s="1004"/>
    </row>
    <row r="41" spans="1:7" ht="24">
      <c r="A41" s="1009" t="s">
        <v>1631</v>
      </c>
      <c r="B41" s="1059"/>
      <c r="C41" s="2817" t="s">
        <v>1631</v>
      </c>
      <c r="D41" s="2818"/>
      <c r="E41" s="1059"/>
      <c r="F41" s="1010" t="s">
        <v>1632</v>
      </c>
      <c r="G41" s="1059"/>
    </row>
    <row r="42" spans="1:7">
      <c r="A42" s="1056" t="s">
        <v>1633</v>
      </c>
      <c r="B42" s="1060"/>
      <c r="C42" s="2068"/>
      <c r="D42" s="2069"/>
      <c r="E42" s="1060"/>
      <c r="F42" s="1058"/>
      <c r="G42" s="1060"/>
    </row>
    <row r="43" spans="1:7">
      <c r="A43" s="94" t="s">
        <v>1587</v>
      </c>
      <c r="B43" s="1057"/>
      <c r="C43" s="2068"/>
      <c r="D43" s="2070" t="s">
        <v>1587</v>
      </c>
      <c r="E43" s="1057"/>
      <c r="F43" s="94" t="s">
        <v>1587</v>
      </c>
      <c r="G43" s="1057"/>
    </row>
    <row r="44" spans="1:7">
      <c r="A44" s="94" t="s">
        <v>1588</v>
      </c>
      <c r="B44" s="1057"/>
      <c r="C44" s="2068"/>
      <c r="D44" s="2054" t="s">
        <v>1588</v>
      </c>
      <c r="E44" s="1057"/>
      <c r="F44" s="94" t="s">
        <v>1588</v>
      </c>
      <c r="G44" s="1057"/>
    </row>
    <row r="45" spans="1:7">
      <c r="A45" s="94" t="s">
        <v>1589</v>
      </c>
      <c r="B45" s="1057"/>
      <c r="C45" s="2068"/>
      <c r="D45" s="2054" t="s">
        <v>1589</v>
      </c>
      <c r="E45" s="1057"/>
      <c r="F45" s="94" t="s">
        <v>1589</v>
      </c>
      <c r="G45" s="1057"/>
    </row>
    <row r="46" spans="1:7">
      <c r="A46" s="94" t="s">
        <v>1590</v>
      </c>
      <c r="B46" s="1057"/>
      <c r="C46" s="2068"/>
      <c r="D46" s="2054" t="s">
        <v>1590</v>
      </c>
      <c r="E46" s="1057"/>
      <c r="F46" s="94" t="s">
        <v>1590</v>
      </c>
      <c r="G46" s="1057"/>
    </row>
    <row r="47" spans="1:7">
      <c r="A47" s="1056"/>
      <c r="B47" s="1057"/>
      <c r="C47" s="2068"/>
      <c r="D47" s="2069"/>
      <c r="E47" s="1057"/>
      <c r="F47" s="1058"/>
      <c r="G47" s="1057"/>
    </row>
    <row r="48" spans="1:7" ht="13.8" thickBot="1">
      <c r="A48" s="1008" t="s">
        <v>1634</v>
      </c>
      <c r="B48" s="1004"/>
      <c r="C48" s="2819" t="s">
        <v>1634</v>
      </c>
      <c r="D48" s="2820"/>
      <c r="E48" s="1054"/>
      <c r="F48" s="1894" t="s">
        <v>1635</v>
      </c>
      <c r="G48" s="1004"/>
    </row>
    <row r="49" spans="1:15">
      <c r="A49" s="1007" t="s">
        <v>1636</v>
      </c>
      <c r="B49" s="1053"/>
      <c r="C49" s="2794" t="s">
        <v>1637</v>
      </c>
      <c r="D49" s="2821"/>
      <c r="E49" s="1055"/>
      <c r="F49" s="1083"/>
      <c r="G49" s="1084"/>
    </row>
    <row r="50" spans="1:15" ht="13.8" thickBot="1">
      <c r="A50" s="1007" t="s">
        <v>1638</v>
      </c>
      <c r="B50" s="1053"/>
      <c r="C50" s="2796" t="s">
        <v>1639</v>
      </c>
      <c r="D50" s="2799"/>
      <c r="E50" s="1004"/>
      <c r="F50" s="1020"/>
      <c r="G50" s="1073"/>
    </row>
    <row r="51" spans="1:15">
      <c r="A51" s="1007" t="s">
        <v>1617</v>
      </c>
      <c r="B51" s="977"/>
      <c r="C51" s="1020"/>
      <c r="D51" s="1020"/>
      <c r="E51" s="1020"/>
      <c r="F51" s="1020"/>
      <c r="G51" s="1073"/>
    </row>
    <row r="52" spans="1:15" ht="24.6" thickBot="1">
      <c r="A52" s="1008" t="s">
        <v>1640</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25" t="s">
        <v>0</v>
      </c>
      <c r="B1" s="2825" t="s">
        <v>2</v>
      </c>
      <c r="C1" s="2825" t="s">
        <v>3</v>
      </c>
      <c r="D1" s="2826" t="s">
        <v>67</v>
      </c>
      <c r="E1" s="2826" t="s">
        <v>68</v>
      </c>
      <c r="F1" s="2826"/>
      <c r="G1" s="2826"/>
      <c r="H1" s="2826"/>
      <c r="I1" s="2826"/>
      <c r="J1" s="2826"/>
      <c r="K1" s="2826"/>
      <c r="L1" s="2826"/>
      <c r="M1" s="2826"/>
    </row>
    <row r="2" spans="1:13" ht="27" customHeight="1">
      <c r="A2" s="2825"/>
      <c r="B2" s="2825"/>
      <c r="C2" s="2825"/>
      <c r="D2" s="2826"/>
      <c r="E2" s="2826" t="s">
        <v>51</v>
      </c>
      <c r="F2" s="2826" t="s">
        <v>52</v>
      </c>
      <c r="G2" s="2826"/>
      <c r="H2" s="2826"/>
      <c r="I2" s="2826"/>
      <c r="J2" s="2826" t="s">
        <v>53</v>
      </c>
      <c r="K2" s="2826"/>
      <c r="L2" s="2826"/>
      <c r="M2" s="2826"/>
    </row>
    <row r="3" spans="1:13" ht="46.8">
      <c r="A3" s="2825"/>
      <c r="B3" s="2825"/>
      <c r="C3" s="2825"/>
      <c r="D3" s="2826"/>
      <c r="E3" s="2826"/>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6" t="s">
        <v>69</v>
      </c>
      <c r="B9" s="2826"/>
      <c r="C9" s="28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B30" sqref="B30"/>
    </sheetView>
  </sheetViews>
  <sheetFormatPr defaultColWidth="13.77734375" defaultRowHeight="13.2"/>
  <cols>
    <col min="1" max="1" width="20.88671875" style="2126" customWidth="1"/>
    <col min="2" max="2" width="16.77734375" style="2072" customWidth="1"/>
    <col min="3" max="3" width="10.77734375" style="2072" customWidth="1"/>
    <col min="4" max="4" width="31.6640625" style="2127" customWidth="1"/>
    <col min="5" max="5" width="17.6640625" style="2127" customWidth="1"/>
    <col min="6" max="8" width="9.109375" style="1852" customWidth="1"/>
    <col min="9" max="9" width="15" style="1236" bestFit="1" customWidth="1"/>
    <col min="10" max="14" width="8.88671875" style="1236" customWidth="1"/>
    <col min="15" max="16" width="12.33203125" style="84" customWidth="1"/>
    <col min="17" max="17" width="8.6640625" style="1236" customWidth="1"/>
    <col min="18" max="18" width="12.44140625" style="1236" customWidth="1"/>
    <col min="19" max="19" width="8.44140625" style="1236" customWidth="1"/>
    <col min="20" max="21" width="10.88671875" style="1236" customWidth="1"/>
    <col min="22" max="23" width="12.44140625" style="1236" customWidth="1"/>
    <col min="24" max="24" width="12.109375" style="1236" customWidth="1"/>
    <col min="25" max="25" width="7.44140625" style="1236" customWidth="1"/>
    <col min="26" max="26" width="6.33203125" style="1236" customWidth="1"/>
    <col min="27" max="30" width="6.77734375" style="1236" customWidth="1"/>
    <col min="31" max="32" width="6.77734375" style="2072" customWidth="1"/>
    <col min="33" max="33" width="6.44140625" style="2072" customWidth="1"/>
    <col min="34" max="36" width="7.21875" style="2072" customWidth="1"/>
    <col min="37" max="41" width="8" style="2072" customWidth="1"/>
    <col min="42" max="16384" width="13.77734375" style="2072"/>
  </cols>
  <sheetData>
    <row r="1" spans="1:41" ht="18" thickBot="1">
      <c r="A1" s="2071" t="s">
        <v>1641</v>
      </c>
      <c r="B1" s="1236"/>
      <c r="C1" s="1236"/>
      <c r="D1" s="1852"/>
      <c r="E1" s="1852"/>
      <c r="AE1" s="1236"/>
      <c r="AF1" s="1236"/>
      <c r="AG1" s="1236"/>
      <c r="AH1" s="1236"/>
      <c r="AI1" s="1236"/>
      <c r="AJ1" s="1236"/>
      <c r="AK1" s="1236"/>
      <c r="AL1" s="1236"/>
      <c r="AM1" s="1236"/>
      <c r="AN1" s="1236"/>
      <c r="AO1" s="1236"/>
    </row>
    <row r="2" spans="1:41" s="2076" customFormat="1" ht="15" thickBot="1">
      <c r="A2" s="2073" t="s">
        <v>1642</v>
      </c>
      <c r="B2" s="1208">
        <f>项目基本情况!D2</f>
        <v>43328</v>
      </c>
      <c r="C2" s="1854"/>
      <c r="D2" s="2827" t="s">
        <v>1643</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1644</v>
      </c>
      <c r="B3" s="2077" t="s">
        <v>2894</v>
      </c>
      <c r="C3" s="1854"/>
      <c r="D3" s="2828"/>
      <c r="E3" s="1187" t="s">
        <v>2827</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1645</v>
      </c>
      <c r="B4" s="2077" t="s">
        <v>2830</v>
      </c>
      <c r="C4" s="1854"/>
      <c r="D4" s="2828"/>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 thickBot="1">
      <c r="A5" s="2078" t="s">
        <v>1646</v>
      </c>
      <c r="B5" s="1317">
        <f>项目基本情况!C12</f>
        <v>424.6</v>
      </c>
      <c r="C5" s="1854"/>
      <c r="D5" s="2079" t="s">
        <v>1647</v>
      </c>
      <c r="E5" s="393">
        <v>158.38</v>
      </c>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 thickBot="1">
      <c r="A6" s="2080" t="s">
        <v>1648</v>
      </c>
      <c r="B6" s="1318">
        <f>项目基本情况!C13</f>
        <v>0</v>
      </c>
      <c r="C6" s="1854"/>
      <c r="D6" s="2079" t="s">
        <v>1649</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3.8">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3.8">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4.4"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1650</v>
      </c>
      <c r="B10" s="2084" t="s">
        <v>2831</v>
      </c>
      <c r="C10" s="1854"/>
      <c r="D10" s="2073" t="s">
        <v>1651</v>
      </c>
      <c r="E10" s="2085" t="s">
        <v>1652</v>
      </c>
      <c r="F10" s="1144" t="s">
        <v>1653</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4">
      <c r="A11" s="2086" t="s">
        <v>1654</v>
      </c>
      <c r="B11" s="989">
        <v>50</v>
      </c>
      <c r="C11" s="1854"/>
      <c r="D11" s="2087" t="s">
        <v>1655</v>
      </c>
      <c r="E11" s="34"/>
      <c r="F11" s="1853" t="s">
        <v>1656</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1657</v>
      </c>
      <c r="B12" s="2091"/>
      <c r="C12" s="1854"/>
      <c r="D12" s="2092" t="s">
        <v>1658</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1659</v>
      </c>
      <c r="B13" s="990">
        <f>IF(B12="",B11-(YEAR($B$2)-B26+B23),ROUNDDOWN(MIN((B12-$B$2)/365,B11),2))</f>
        <v>42</v>
      </c>
      <c r="C13" s="2094"/>
      <c r="D13" s="2095" t="s">
        <v>1660</v>
      </c>
      <c r="E13" s="39"/>
      <c r="F13" s="1848" t="s">
        <v>1661</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14.4">
      <c r="A14" s="2090" t="s">
        <v>1662</v>
      </c>
      <c r="B14" s="991">
        <f>IF(ISERROR(ROUND(POWER(1+B15,B11-B13)*(POWER(1+B15,B13)-1)/(POWER(1+B15,B11)-1),3)),0,ROUND(POWER(1+B15,B11-B13)*(POWER(1+B15,B13)-1)/(POWER(1+B15,B11)-1),3))</f>
        <v>0.95399999999999996</v>
      </c>
      <c r="C14" s="1854"/>
      <c r="D14" s="2096" t="s">
        <v>1663</v>
      </c>
      <c r="E14" s="708">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14.4">
      <c r="A15" s="2090" t="s">
        <v>1664</v>
      </c>
      <c r="B15" s="30">
        <v>0.05</v>
      </c>
      <c r="C15" s="1854"/>
      <c r="D15" s="2092" t="s">
        <v>1665</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15" thickBot="1">
      <c r="A16" s="2090" t="s">
        <v>1666</v>
      </c>
      <c r="B16" s="30">
        <v>5.5E-2</v>
      </c>
      <c r="C16" s="1854"/>
      <c r="D16" s="2097" t="s">
        <v>1667</v>
      </c>
      <c r="E16" s="709">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1668</v>
      </c>
      <c r="B17" s="996">
        <v>8.5000000000000006E-2</v>
      </c>
      <c r="C17" s="1854"/>
      <c r="D17" s="2083" t="s">
        <v>1669</v>
      </c>
      <c r="E17" s="984">
        <v>3000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4.4" thickBot="1">
      <c r="A18" s="1854"/>
      <c r="B18" s="1854"/>
      <c r="C18" s="1854"/>
      <c r="D18" s="2099" t="str">
        <f>IF(B25=0,"建安总额","在建建安")</f>
        <v>建安总额</v>
      </c>
      <c r="E18" s="985">
        <f>ROUND(B5*E17*IF(B25=0,1,E20),0)</f>
        <v>1273800</v>
      </c>
      <c r="F18" s="1319">
        <f>ROUND(E5*E17*IF(B25=0,1,E20),0)</f>
        <v>475140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1670</v>
      </c>
      <c r="B19" s="1854"/>
      <c r="C19" s="1854"/>
      <c r="D19" s="2099"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1671</v>
      </c>
      <c r="B20" s="31">
        <v>0</v>
      </c>
      <c r="C20" s="1854"/>
      <c r="D20" s="2101" t="str">
        <f>IF(B25=0,"成新率","工程进度")</f>
        <v>成新率</v>
      </c>
      <c r="E20" s="986">
        <f>ROUND(1-(2018-2012)/60,2)</f>
        <v>0.9</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4">
      <c r="A21" s="2102" t="s">
        <v>1672</v>
      </c>
      <c r="B21" s="32">
        <v>2</v>
      </c>
      <c r="C21" s="1854"/>
      <c r="D21" s="2092" t="s">
        <v>1673</v>
      </c>
      <c r="E21" s="710">
        <v>0.03</v>
      </c>
      <c r="F21" s="1851" t="s">
        <v>1674</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4">
      <c r="A22" s="2103" t="s">
        <v>1675</v>
      </c>
      <c r="B22" s="1453">
        <v>2</v>
      </c>
      <c r="C22" s="1854"/>
      <c r="D22" s="2092" t="s">
        <v>1676</v>
      </c>
      <c r="E22" s="40">
        <v>0</v>
      </c>
      <c r="F22" s="1851" t="s">
        <v>1677</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1678</v>
      </c>
      <c r="B23" s="33">
        <f>B20+B21</f>
        <v>2</v>
      </c>
      <c r="C23" s="1854"/>
      <c r="D23" s="2092" t="s">
        <v>1679</v>
      </c>
      <c r="E23" s="37">
        <v>200</v>
      </c>
      <c r="F23" s="1851" t="s">
        <v>1680</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1681</v>
      </c>
      <c r="B24" s="1741">
        <f>B20+B22</f>
        <v>2</v>
      </c>
      <c r="C24" s="1854"/>
      <c r="D24" s="2097" t="s">
        <v>1682</v>
      </c>
      <c r="E24" s="1817">
        <v>1.4999999999999999E-2</v>
      </c>
      <c r="F24" s="1851" t="s">
        <v>1683</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1684</v>
      </c>
      <c r="B25" s="1452">
        <f>B21-B22</f>
        <v>0</v>
      </c>
      <c r="C25" s="1236"/>
      <c r="D25" s="2087" t="s">
        <v>1685</v>
      </c>
      <c r="E25" s="710">
        <v>0.02</v>
      </c>
      <c r="F25" s="1851" t="s">
        <v>1686</v>
      </c>
      <c r="I25" s="1852"/>
      <c r="AE25" s="1236"/>
      <c r="AF25" s="1236"/>
      <c r="AG25" s="1236"/>
      <c r="AH25" s="1236"/>
      <c r="AI25" s="1236"/>
      <c r="AJ25" s="1236"/>
      <c r="AK25" s="1236"/>
      <c r="AL25" s="1236"/>
      <c r="AM25" s="1236"/>
      <c r="AN25" s="1236"/>
      <c r="AO25" s="1236"/>
    </row>
    <row r="26" spans="1:41" ht="15" thickBot="1">
      <c r="A26" s="2106" t="s">
        <v>1687</v>
      </c>
      <c r="B26" s="1093">
        <v>2012</v>
      </c>
      <c r="C26" s="1854"/>
      <c r="D26" s="2092" t="s">
        <v>1688</v>
      </c>
      <c r="E26" s="40">
        <v>0.02</v>
      </c>
      <c r="F26" s="1851" t="s">
        <v>1686</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1689</v>
      </c>
      <c r="E27" s="352">
        <f ca="1">存贷款利率!G1</f>
        <v>4.7500000000000001E-2</v>
      </c>
      <c r="F27" s="1851" t="s">
        <v>1690</v>
      </c>
      <c r="G27" s="2075"/>
      <c r="H27" s="2075"/>
      <c r="K27" s="1854"/>
      <c r="N27" s="1854"/>
      <c r="AE27" s="1236"/>
      <c r="AF27" s="1236"/>
      <c r="AG27" s="1236"/>
      <c r="AH27" s="1236"/>
      <c r="AI27" s="1236"/>
      <c r="AJ27" s="1236"/>
      <c r="AK27" s="1236"/>
      <c r="AL27" s="1236"/>
      <c r="AM27" s="1236"/>
      <c r="AN27" s="1236"/>
      <c r="AO27" s="1236"/>
    </row>
    <row r="28" spans="1:41" ht="15" thickBot="1">
      <c r="A28" s="2107" t="s">
        <v>1691</v>
      </c>
      <c r="B28" s="2108" t="s">
        <v>2832</v>
      </c>
      <c r="C28" s="1236"/>
      <c r="D28" s="2109" t="s">
        <v>1692</v>
      </c>
      <c r="E28" s="988">
        <v>0.15</v>
      </c>
      <c r="G28" s="2075"/>
      <c r="H28" s="2075"/>
      <c r="K28" s="1854"/>
      <c r="N28" s="1854"/>
      <c r="AE28" s="1236"/>
      <c r="AF28" s="1236"/>
      <c r="AG28" s="1236"/>
      <c r="AH28" s="1236"/>
      <c r="AI28" s="1236"/>
      <c r="AJ28" s="1236"/>
      <c r="AK28" s="1236"/>
      <c r="AL28" s="1236"/>
      <c r="AM28" s="1236"/>
      <c r="AN28" s="1236"/>
      <c r="AO28" s="1236"/>
    </row>
    <row r="29" spans="1:41" ht="14.4">
      <c r="A29" s="2090" t="str">
        <f>IF(B28="租赁期内按合同租金","合同租金","市场租金")</f>
        <v>市场租金</v>
      </c>
      <c r="B29" s="29">
        <v>4.5</v>
      </c>
      <c r="C29" s="1236"/>
      <c r="D29" s="2096" t="s">
        <v>1693</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4">
      <c r="A30" s="2090" t="s">
        <v>1694</v>
      </c>
      <c r="B30" s="1418">
        <f ca="1">存贷款利率!I1</f>
        <v>1.4999999999999999E-2</v>
      </c>
      <c r="C30" s="1236"/>
      <c r="D30" s="2110" t="s">
        <v>1695</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4">
      <c r="A31" s="2090" t="s">
        <v>1696</v>
      </c>
      <c r="B31" s="30">
        <v>0.03</v>
      </c>
      <c r="C31" s="1236"/>
      <c r="D31" s="2110" t="s">
        <v>1697</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4">
      <c r="A32" s="2090" t="s">
        <v>1698</v>
      </c>
      <c r="B32" s="30">
        <v>0.1</v>
      </c>
      <c r="C32" s="1236"/>
      <c r="D32" s="2111" t="s">
        <v>1699</v>
      </c>
      <c r="E32" s="43">
        <v>7.0000000000000007E-2</v>
      </c>
      <c r="F32" s="1846" t="s">
        <v>1700</v>
      </c>
      <c r="G32" s="2075"/>
      <c r="H32" s="2075"/>
      <c r="K32" s="1854"/>
      <c r="L32" s="1854"/>
      <c r="M32" s="1854"/>
      <c r="N32" s="1854"/>
      <c r="AE32" s="1236"/>
      <c r="AF32" s="1236"/>
      <c r="AG32" s="1236"/>
      <c r="AH32" s="1236"/>
      <c r="AI32" s="1236"/>
      <c r="AJ32" s="1236"/>
      <c r="AK32" s="1236"/>
      <c r="AL32" s="1236"/>
      <c r="AM32" s="1236"/>
      <c r="AN32" s="1236"/>
      <c r="AO32" s="1236"/>
    </row>
    <row r="33" spans="1:41" ht="14.4">
      <c r="A33" s="2090" t="s">
        <v>1701</v>
      </c>
      <c r="B33" s="1379">
        <f>收益法!J54</f>
        <v>42</v>
      </c>
      <c r="C33" s="1236"/>
      <c r="D33" s="2111" t="s">
        <v>1702</v>
      </c>
      <c r="E33" s="41">
        <v>0.03</v>
      </c>
      <c r="F33" s="1845" t="s">
        <v>1703</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1704</v>
      </c>
      <c r="E34" s="41">
        <v>0.02</v>
      </c>
      <c r="F34" s="1845" t="s">
        <v>1705</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 thickBot="1">
      <c r="A35" s="2114" t="s">
        <v>1706</v>
      </c>
      <c r="B35" s="993"/>
      <c r="C35" s="1236"/>
      <c r="D35" s="2115" t="s">
        <v>1707</v>
      </c>
      <c r="E35" s="44"/>
      <c r="F35" s="1853" t="s">
        <v>1708</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4">
      <c r="A36" s="2116" t="str">
        <f>IF(B28="租赁期内按合同租金","租金","——")</f>
        <v>——</v>
      </c>
      <c r="B36" s="998"/>
      <c r="C36" s="1236"/>
      <c r="D36" s="2117" t="s">
        <v>1709</v>
      </c>
      <c r="E36" s="45">
        <v>0.03</v>
      </c>
      <c r="F36" s="1849" t="s">
        <v>1710</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1711</v>
      </c>
      <c r="E37" s="41">
        <v>5.0000000000000001E-4</v>
      </c>
      <c r="F37" s="1849" t="s">
        <v>1712</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4">
      <c r="A38" s="2090" t="str">
        <f>IF(B28="租赁期内按合同租金","空置率","——")</f>
        <v>——</v>
      </c>
      <c r="B38" s="30"/>
      <c r="C38" s="1236"/>
      <c r="D38" s="2118" t="s">
        <v>1713</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1714</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1715</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4">
      <c r="A41" s="2119" t="s">
        <v>1716</v>
      </c>
      <c r="B41" s="999"/>
      <c r="C41" s="1236"/>
      <c r="D41" s="2092" t="s">
        <v>1717</v>
      </c>
      <c r="E41" s="2120"/>
      <c r="F41" s="1847" t="s">
        <v>1718</v>
      </c>
      <c r="G41" s="2121" t="s">
        <v>1719</v>
      </c>
      <c r="H41" s="2075"/>
      <c r="I41" s="1854"/>
      <c r="J41" s="1854"/>
      <c r="K41" s="1854"/>
      <c r="L41" s="1854"/>
      <c r="M41" s="1854"/>
      <c r="N41" s="1854"/>
      <c r="AE41" s="1236"/>
      <c r="AF41" s="1236"/>
      <c r="AG41" s="1236"/>
      <c r="AH41" s="1236"/>
      <c r="AI41" s="1236"/>
      <c r="AJ41" s="1236"/>
      <c r="AK41" s="1236"/>
      <c r="AL41" s="1236"/>
      <c r="AM41" s="1236"/>
      <c r="AN41" s="1236"/>
      <c r="AO41" s="1236"/>
    </row>
    <row r="42" spans="1:41" ht="14.4">
      <c r="A42" s="2090" t="s">
        <v>1720</v>
      </c>
      <c r="B42" s="992">
        <v>365</v>
      </c>
      <c r="C42" s="1236"/>
      <c r="D42" s="2122" t="s">
        <v>1721</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4">
      <c r="A43" s="2090" t="s">
        <v>1722</v>
      </c>
      <c r="B43" s="29"/>
      <c r="C43" s="1236"/>
      <c r="D43" s="2122" t="s">
        <v>1723</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4">
      <c r="A44" s="2090" t="s">
        <v>1724</v>
      </c>
      <c r="B44" s="1000">
        <v>1.4999999999999999E-2</v>
      </c>
      <c r="C44" s="1236" t="s">
        <v>969</v>
      </c>
      <c r="D44" s="2122" t="s">
        <v>1725</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4">
      <c r="A45" s="2090" t="s">
        <v>1726</v>
      </c>
      <c r="B45" s="1001">
        <v>2E-3</v>
      </c>
      <c r="C45" s="1236" t="s">
        <v>970</v>
      </c>
      <c r="D45" s="2122" t="s">
        <v>1727</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1728</v>
      </c>
      <c r="B46" s="1002">
        <v>0.02</v>
      </c>
      <c r="C46" s="1236" t="s">
        <v>971</v>
      </c>
      <c r="D46" s="2122" t="s">
        <v>1474</v>
      </c>
      <c r="E46" s="29"/>
      <c r="F46" s="1847">
        <v>3</v>
      </c>
      <c r="G46" s="1236"/>
      <c r="H46" s="1236"/>
      <c r="M46" s="1854"/>
      <c r="N46" s="1854"/>
      <c r="AE46" s="1236"/>
      <c r="AF46" s="1236"/>
      <c r="AG46" s="1236"/>
      <c r="AH46" s="1236"/>
      <c r="AI46" s="1236"/>
      <c r="AJ46" s="1236"/>
      <c r="AK46" s="1236"/>
      <c r="AL46" s="1236"/>
      <c r="AM46" s="1236"/>
      <c r="AN46" s="1236"/>
      <c r="AO46" s="1236"/>
    </row>
    <row r="47" spans="1:41" ht="14.4">
      <c r="A47" s="1236"/>
      <c r="B47" s="1236"/>
      <c r="C47" s="1236"/>
      <c r="D47" s="2122" t="s">
        <v>1729</v>
      </c>
      <c r="E47" s="29"/>
      <c r="F47" s="1847">
        <v>1.5</v>
      </c>
      <c r="G47" s="1236"/>
      <c r="H47" s="1236"/>
      <c r="M47" s="1854"/>
      <c r="N47" s="1854"/>
      <c r="AE47" s="1236"/>
      <c r="AF47" s="1236"/>
      <c r="AG47" s="1236"/>
      <c r="AH47" s="1236"/>
      <c r="AI47" s="1236"/>
      <c r="AJ47" s="1236"/>
      <c r="AK47" s="1236"/>
      <c r="AL47" s="1236"/>
      <c r="AM47" s="1236"/>
      <c r="AN47" s="1236"/>
      <c r="AO47" s="1236"/>
    </row>
    <row r="48" spans="1:41" ht="14.4">
      <c r="A48" s="1236"/>
      <c r="B48" s="1236"/>
      <c r="C48" s="1236"/>
      <c r="D48" s="2122" t="s">
        <v>1730</v>
      </c>
      <c r="E48" s="29"/>
      <c r="F48" s="1854"/>
      <c r="G48" s="1236"/>
      <c r="H48" s="1236"/>
      <c r="M48" s="1854"/>
      <c r="N48" s="1854"/>
      <c r="AE48" s="1236"/>
      <c r="AF48" s="1236"/>
      <c r="AG48" s="1236"/>
      <c r="AH48" s="1236"/>
      <c r="AI48" s="1236"/>
      <c r="AJ48" s="1236"/>
      <c r="AK48" s="1236"/>
      <c r="AL48" s="1236"/>
      <c r="AM48" s="1236"/>
      <c r="AN48" s="1236"/>
      <c r="AO48" s="1236"/>
    </row>
    <row r="49" spans="1:41" ht="14.4">
      <c r="A49" s="1236"/>
      <c r="B49" s="1236"/>
      <c r="C49" s="1236"/>
      <c r="D49" s="2122" t="s">
        <v>1731</v>
      </c>
      <c r="E49" s="29"/>
      <c r="F49" s="1854"/>
      <c r="G49" s="1236"/>
      <c r="H49" s="1236"/>
      <c r="M49" s="1854"/>
      <c r="N49" s="1854"/>
      <c r="AE49" s="1236"/>
      <c r="AF49" s="1236"/>
      <c r="AG49" s="1236"/>
      <c r="AH49" s="1236"/>
      <c r="AI49" s="1236"/>
      <c r="AJ49" s="1236"/>
      <c r="AK49" s="1236"/>
      <c r="AL49" s="1236"/>
      <c r="AM49" s="1236"/>
      <c r="AN49" s="1236"/>
      <c r="AO49" s="1236"/>
    </row>
    <row r="50" spans="1:41" ht="14.4">
      <c r="A50" s="1236"/>
      <c r="B50" s="1236"/>
      <c r="C50" s="1236"/>
      <c r="D50" s="2122" t="s">
        <v>1732</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1733</v>
      </c>
      <c r="E51" s="49"/>
      <c r="F51" s="1854"/>
      <c r="M51" s="1854"/>
      <c r="N51" s="1854"/>
      <c r="O51" s="84"/>
      <c r="P51" s="84"/>
    </row>
    <row r="52" spans="1:41" s="1236" customFormat="1" ht="13.8">
      <c r="D52" s="2075"/>
      <c r="E52" s="2075"/>
      <c r="F52" s="2075"/>
      <c r="G52" s="2075"/>
      <c r="H52" s="2075"/>
      <c r="I52" s="1854"/>
      <c r="J52" s="1854"/>
      <c r="K52" s="1854"/>
      <c r="L52" s="1854"/>
      <c r="M52" s="1854"/>
      <c r="N52" s="1854"/>
      <c r="O52" s="84"/>
      <c r="P52" s="84"/>
    </row>
    <row r="53" spans="1:41" s="1236" customFormat="1" ht="13.8">
      <c r="D53" s="2075"/>
      <c r="E53" s="2075"/>
      <c r="F53" s="2075"/>
      <c r="G53" s="2075"/>
      <c r="H53" s="2075"/>
      <c r="I53" s="1854"/>
      <c r="J53" s="1854"/>
      <c r="K53" s="1854"/>
      <c r="L53" s="1854"/>
      <c r="M53" s="1854"/>
      <c r="N53" s="1854"/>
      <c r="O53" s="84"/>
      <c r="P53" s="84"/>
    </row>
    <row r="54" spans="1:41" s="1236" customFormat="1" ht="13.8">
      <c r="D54" s="2075"/>
      <c r="E54" s="2075"/>
      <c r="F54" s="2075"/>
      <c r="G54" s="2075"/>
      <c r="H54" s="2075"/>
      <c r="I54" s="1854"/>
      <c r="J54" s="1854"/>
      <c r="K54" s="1854"/>
      <c r="L54" s="1854"/>
      <c r="M54" s="1854"/>
      <c r="N54" s="1854"/>
      <c r="O54" s="84"/>
      <c r="P54" s="84"/>
    </row>
    <row r="55" spans="1:41" s="1236" customFormat="1" ht="13.8">
      <c r="D55" s="2075"/>
      <c r="E55" s="2075"/>
      <c r="F55" s="2075"/>
      <c r="G55" s="2075"/>
      <c r="H55" s="2075"/>
      <c r="I55" s="1854"/>
      <c r="J55" s="1854"/>
      <c r="K55" s="1854"/>
      <c r="L55" s="1854"/>
      <c r="M55" s="1854"/>
      <c r="N55" s="1854"/>
      <c r="O55" s="84"/>
      <c r="P55" s="84"/>
    </row>
    <row r="56" spans="1:41" s="1236" customFormat="1" ht="13.8">
      <c r="D56" s="2075"/>
      <c r="E56" s="2075"/>
      <c r="F56" s="2075"/>
      <c r="G56" s="2075"/>
      <c r="H56" s="2075"/>
      <c r="I56" s="1854"/>
      <c r="J56" s="1854"/>
      <c r="K56" s="1854"/>
      <c r="L56" s="1854"/>
      <c r="M56" s="1854"/>
      <c r="N56" s="1854"/>
      <c r="O56" s="84"/>
      <c r="P56" s="84"/>
    </row>
    <row r="57" spans="1:41" s="1236" customFormat="1" ht="13.8">
      <c r="D57" s="2075"/>
      <c r="E57" s="2075"/>
      <c r="F57" s="2075"/>
      <c r="G57" s="2075"/>
      <c r="H57" s="2075"/>
      <c r="I57" s="1854"/>
      <c r="J57" s="1854"/>
      <c r="K57" s="1854"/>
      <c r="L57" s="1854"/>
      <c r="M57" s="1854"/>
      <c r="N57" s="1854"/>
      <c r="O57" s="84"/>
      <c r="P57" s="84"/>
    </row>
    <row r="58" spans="1:41" s="1236" customFormat="1" ht="13.8">
      <c r="D58" s="2075"/>
      <c r="E58" s="2075"/>
      <c r="F58" s="2075"/>
      <c r="G58" s="2075"/>
      <c r="H58" s="2075"/>
      <c r="I58" s="1854"/>
      <c r="J58" s="1854"/>
      <c r="K58" s="1854"/>
      <c r="L58" s="1854"/>
      <c r="M58" s="1854"/>
      <c r="N58" s="1854"/>
      <c r="O58" s="84"/>
      <c r="P58" s="84"/>
    </row>
    <row r="59" spans="1:41" s="1236" customFormat="1" ht="13.8">
      <c r="D59" s="2075"/>
      <c r="E59" s="2075"/>
      <c r="F59" s="2075"/>
      <c r="G59" s="2075"/>
      <c r="H59" s="2075"/>
      <c r="I59" s="1854"/>
      <c r="J59" s="1854"/>
      <c r="K59" s="1854"/>
      <c r="L59" s="1854"/>
      <c r="M59" s="2124"/>
      <c r="N59" s="1854"/>
      <c r="O59" s="84"/>
      <c r="P59" s="84"/>
    </row>
    <row r="60" spans="1:41" s="1236" customFormat="1" ht="13.8">
      <c r="D60" s="2075"/>
      <c r="E60" s="2075"/>
      <c r="F60" s="2075"/>
      <c r="G60" s="2075"/>
      <c r="H60" s="2075"/>
      <c r="I60" s="1854"/>
      <c r="J60" s="1854"/>
      <c r="K60" s="1854"/>
      <c r="L60" s="1854"/>
      <c r="M60" s="1854"/>
      <c r="N60" s="1854"/>
      <c r="O60" s="84"/>
      <c r="P60" s="84"/>
    </row>
    <row r="61" spans="1:41" s="1236" customFormat="1" ht="13.8">
      <c r="D61" s="2075"/>
      <c r="E61" s="2075"/>
      <c r="F61" s="2075"/>
      <c r="G61" s="2075"/>
      <c r="H61" s="2075"/>
      <c r="I61" s="1854"/>
      <c r="J61" s="1854"/>
      <c r="K61" s="1854"/>
      <c r="L61" s="1854"/>
      <c r="M61" s="1854"/>
      <c r="N61" s="1854"/>
      <c r="O61" s="84"/>
      <c r="P61" s="84"/>
    </row>
    <row r="62" spans="1:41" s="1236" customFormat="1" ht="13.8">
      <c r="D62" s="2075"/>
      <c r="E62" s="2075"/>
      <c r="F62" s="2075"/>
      <c r="G62" s="2075"/>
      <c r="H62" s="2075"/>
      <c r="I62" s="1854"/>
      <c r="J62" s="1854"/>
      <c r="K62" s="1854"/>
      <c r="L62" s="1854"/>
      <c r="M62" s="1854"/>
      <c r="N62" s="1854"/>
      <c r="O62" s="84"/>
      <c r="P62" s="84"/>
    </row>
    <row r="63" spans="1:41" s="1236" customFormat="1" ht="13.8">
      <c r="D63" s="2075"/>
      <c r="E63" s="2075"/>
      <c r="F63" s="2075"/>
      <c r="G63" s="2075"/>
      <c r="H63" s="2075"/>
      <c r="I63" s="1854"/>
      <c r="J63" s="1854"/>
      <c r="K63" s="1854"/>
      <c r="L63" s="1854"/>
      <c r="M63" s="1854"/>
      <c r="N63" s="1854"/>
      <c r="O63" s="84"/>
      <c r="P63" s="84"/>
    </row>
    <row r="64" spans="1:41" s="1236" customFormat="1" ht="13.8">
      <c r="D64" s="2075"/>
      <c r="E64" s="2075"/>
      <c r="F64" s="2075"/>
      <c r="G64" s="2075"/>
      <c r="H64" s="2075"/>
      <c r="I64" s="1854"/>
      <c r="J64" s="1854"/>
      <c r="K64" s="1854"/>
      <c r="L64" s="1854"/>
      <c r="M64" s="1854"/>
      <c r="N64" s="1854"/>
      <c r="O64" s="84"/>
      <c r="P64" s="84"/>
    </row>
    <row r="65" spans="1:16" s="1236" customFormat="1" ht="13.8">
      <c r="D65" s="2075"/>
      <c r="E65" s="2075"/>
      <c r="F65" s="2075"/>
      <c r="G65" s="2075"/>
      <c r="H65" s="2075"/>
      <c r="I65" s="1854"/>
      <c r="J65" s="1854"/>
      <c r="K65" s="1854"/>
      <c r="L65" s="1854"/>
      <c r="M65" s="1854"/>
      <c r="N65" s="1854"/>
      <c r="O65" s="84"/>
      <c r="P65" s="84"/>
    </row>
    <row r="66" spans="1:16" s="1236" customFormat="1" ht="13.8">
      <c r="A66" s="2125"/>
      <c r="D66" s="2075"/>
      <c r="E66" s="2075"/>
      <c r="F66" s="2075"/>
      <c r="G66" s="2075"/>
      <c r="H66" s="2075"/>
      <c r="I66" s="1854"/>
      <c r="J66" s="1854"/>
      <c r="K66" s="1854"/>
      <c r="L66" s="1854"/>
      <c r="M66" s="1854"/>
      <c r="N66" s="1854"/>
      <c r="O66" s="84"/>
      <c r="P66" s="84"/>
    </row>
    <row r="67" spans="1:16" s="1236" customFormat="1" ht="13.8">
      <c r="A67" s="2125"/>
      <c r="D67" s="2075"/>
      <c r="E67" s="2075"/>
      <c r="F67" s="2075"/>
      <c r="G67" s="2075"/>
      <c r="H67" s="2075"/>
      <c r="I67" s="1854"/>
      <c r="J67" s="1854"/>
      <c r="K67" s="1854"/>
      <c r="L67" s="1854"/>
      <c r="M67" s="1854"/>
      <c r="N67" s="1854"/>
      <c r="O67" s="84"/>
      <c r="P67" s="84"/>
    </row>
    <row r="68" spans="1:16" s="1236" customFormat="1" ht="13.8">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3.8"/>
  <cols>
    <col min="1" max="1" width="9.44140625" style="2141" customWidth="1"/>
    <col min="2" max="2" width="24.44140625" style="2192" customWidth="1"/>
    <col min="3" max="3" width="24.44140625" style="2191" customWidth="1"/>
    <col min="4" max="4" width="2.6640625" style="2191" customWidth="1"/>
    <col min="5" max="5" width="5.88671875" style="2191" customWidth="1"/>
    <col min="6" max="6" width="27" style="2192" customWidth="1"/>
    <col min="7" max="7" width="27" style="2193" customWidth="1"/>
    <col min="8" max="8" width="11.88671875" style="2169" customWidth="1"/>
    <col min="9" max="9" width="16.77734375" style="2170" customWidth="1"/>
    <col min="10" max="10" width="2.6640625" style="2169" customWidth="1"/>
    <col min="11" max="11" width="11.88671875" style="2169" customWidth="1"/>
    <col min="12" max="12" width="16.77734375" style="2170" customWidth="1"/>
    <col min="13" max="13" width="2.6640625" style="2169" customWidth="1"/>
    <col min="14" max="14" width="11.88671875" style="2169" customWidth="1"/>
    <col min="15" max="15" width="16.77734375" style="2170" customWidth="1"/>
    <col min="16" max="16" width="2.6640625" style="2169" customWidth="1"/>
    <col min="17" max="17" width="11.88671875" style="2169" customWidth="1"/>
    <col min="18" max="18" width="16.77734375" style="2171" customWidth="1"/>
    <col min="19" max="29" width="9" style="2140"/>
    <col min="30" max="16384" width="9" style="2141"/>
  </cols>
  <sheetData>
    <row r="1" spans="1:29" s="2133" customFormat="1" ht="18" thickBot="1">
      <c r="A1" s="2829" t="s">
        <v>1734</v>
      </c>
      <c r="B1" s="2830"/>
      <c r="C1" s="2830"/>
      <c r="D1" s="2830"/>
      <c r="E1" s="2830"/>
      <c r="F1" s="2830"/>
      <c r="G1" s="2830"/>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 thickBot="1">
      <c r="A2" s="2134"/>
      <c r="B2" s="2135"/>
      <c r="C2" s="2136" t="s">
        <v>1735</v>
      </c>
      <c r="D2" s="2137"/>
      <c r="E2" s="2138"/>
      <c r="F2" s="2139"/>
      <c r="G2" s="2136" t="s">
        <v>1736</v>
      </c>
      <c r="H2" s="2140"/>
      <c r="I2" s="2140"/>
      <c r="J2" s="2140"/>
      <c r="K2" s="2140"/>
      <c r="L2" s="2140"/>
      <c r="M2" s="2140"/>
      <c r="N2" s="2140"/>
      <c r="O2" s="2140"/>
      <c r="P2" s="2140"/>
      <c r="Q2" s="2140"/>
      <c r="R2" s="2140"/>
    </row>
    <row r="3" spans="1:29" ht="57.6">
      <c r="A3" s="395" t="s">
        <v>1737</v>
      </c>
      <c r="B3" s="2142" t="s">
        <v>1738</v>
      </c>
      <c r="C3" s="2143" t="s">
        <v>1739</v>
      </c>
      <c r="D3" s="2144"/>
      <c r="E3" s="411" t="s">
        <v>1737</v>
      </c>
      <c r="F3" s="2145" t="s">
        <v>1740</v>
      </c>
      <c r="G3" s="2146" t="s">
        <v>1741</v>
      </c>
      <c r="H3" s="2140"/>
      <c r="I3" s="2140"/>
      <c r="J3" s="2140"/>
      <c r="K3" s="2140"/>
      <c r="L3" s="2140"/>
      <c r="M3" s="2140"/>
      <c r="N3" s="2140"/>
      <c r="O3" s="2140"/>
      <c r="P3" s="2140"/>
      <c r="Q3" s="2140"/>
      <c r="R3" s="2140"/>
    </row>
    <row r="4" spans="1:29" ht="43.2">
      <c r="A4" s="411"/>
      <c r="B4" s="1886" t="s">
        <v>1742</v>
      </c>
      <c r="C4" s="2147" t="s">
        <v>1743</v>
      </c>
      <c r="D4" s="2144"/>
      <c r="E4" s="2148"/>
      <c r="F4" s="2149" t="s">
        <v>1744</v>
      </c>
      <c r="G4" s="2150" t="s">
        <v>1745</v>
      </c>
      <c r="H4" s="2140"/>
      <c r="I4" s="2140"/>
      <c r="J4" s="2140"/>
      <c r="K4" s="2140"/>
      <c r="L4" s="2140"/>
      <c r="M4" s="2140"/>
      <c r="N4" s="2140"/>
      <c r="O4" s="2140"/>
      <c r="P4" s="2140"/>
      <c r="Q4" s="2140"/>
      <c r="R4" s="2140"/>
    </row>
    <row r="5" spans="1:29" ht="43.2">
      <c r="A5" s="411"/>
      <c r="B5" s="1886" t="s">
        <v>1746</v>
      </c>
      <c r="C5" s="2147" t="s">
        <v>1747</v>
      </c>
      <c r="D5" s="2144"/>
      <c r="E5" s="2148"/>
      <c r="F5" s="1886" t="s">
        <v>1748</v>
      </c>
      <c r="G5" s="2150" t="s">
        <v>1749</v>
      </c>
      <c r="H5" s="2140"/>
      <c r="I5" s="2140"/>
      <c r="J5" s="2140"/>
      <c r="K5" s="2140"/>
      <c r="L5" s="2140"/>
      <c r="M5" s="2140"/>
      <c r="N5" s="2140"/>
      <c r="O5" s="2140"/>
      <c r="P5" s="2140"/>
      <c r="Q5" s="2140"/>
      <c r="R5" s="2140"/>
    </row>
    <row r="6" spans="1:29" ht="57.6">
      <c r="A6" s="411"/>
      <c r="B6" s="1886" t="s">
        <v>1750</v>
      </c>
      <c r="C6" s="2150" t="s">
        <v>1745</v>
      </c>
      <c r="D6" s="2144"/>
      <c r="E6" s="2148"/>
      <c r="F6" s="1886" t="s">
        <v>1751</v>
      </c>
      <c r="G6" s="2150" t="s">
        <v>1752</v>
      </c>
      <c r="H6" s="2140"/>
      <c r="I6" s="2140"/>
      <c r="J6" s="2140"/>
      <c r="K6" s="2140"/>
      <c r="L6" s="2140"/>
      <c r="M6" s="2140"/>
      <c r="N6" s="2140"/>
      <c r="O6" s="2140"/>
      <c r="P6" s="2140"/>
      <c r="Q6" s="2140"/>
      <c r="R6" s="2140"/>
    </row>
    <row r="7" spans="1:29" ht="43.8" thickBot="1">
      <c r="A7" s="411"/>
      <c r="B7" s="1886" t="s">
        <v>1748</v>
      </c>
      <c r="C7" s="2150" t="s">
        <v>1749</v>
      </c>
      <c r="D7" s="2151"/>
      <c r="E7" s="2152"/>
      <c r="F7" s="2153" t="s">
        <v>1753</v>
      </c>
      <c r="G7" s="2154" t="s">
        <v>1754</v>
      </c>
      <c r="H7" s="2140"/>
      <c r="I7" s="2140"/>
      <c r="J7" s="2140"/>
      <c r="K7" s="2140"/>
      <c r="L7" s="2140"/>
      <c r="M7" s="2140"/>
      <c r="N7" s="2140"/>
      <c r="O7" s="2140"/>
      <c r="P7" s="2140"/>
      <c r="Q7" s="2140"/>
      <c r="R7" s="2140"/>
    </row>
    <row r="8" spans="1:29" ht="28.8">
      <c r="A8" s="411"/>
      <c r="B8" s="1886" t="s">
        <v>1751</v>
      </c>
      <c r="C8" s="2150" t="s">
        <v>1752</v>
      </c>
      <c r="D8" s="2151"/>
      <c r="E8" s="2151"/>
      <c r="F8" s="1245"/>
      <c r="G8" s="1245"/>
      <c r="H8" s="2140"/>
      <c r="I8" s="2140"/>
      <c r="J8" s="2140"/>
      <c r="K8" s="2140"/>
      <c r="L8" s="2140"/>
      <c r="M8" s="2140"/>
      <c r="N8" s="2140"/>
      <c r="O8" s="2140"/>
      <c r="P8" s="2140"/>
      <c r="Q8" s="2140"/>
      <c r="R8" s="2140"/>
    </row>
    <row r="9" spans="1:29" ht="43.2">
      <c r="A9" s="411"/>
      <c r="B9" s="1886" t="s">
        <v>1755</v>
      </c>
      <c r="C9" s="2147" t="s">
        <v>1756</v>
      </c>
      <c r="D9" s="2144"/>
      <c r="E9" s="2151"/>
      <c r="F9" s="1245"/>
      <c r="G9" s="1245"/>
      <c r="H9" s="2140"/>
      <c r="I9" s="2140"/>
      <c r="J9" s="2140"/>
      <c r="K9" s="2140"/>
      <c r="L9" s="2140"/>
      <c r="M9" s="2140"/>
      <c r="N9" s="2140"/>
      <c r="O9" s="2140"/>
      <c r="P9" s="2140"/>
      <c r="Q9" s="2140"/>
      <c r="R9" s="2140"/>
    </row>
    <row r="10" spans="1:29" s="35" customFormat="1" ht="15" thickBot="1">
      <c r="A10" s="2155"/>
      <c r="B10" s="2156" t="s">
        <v>1757</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7.399999999999999">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8" thickBot="1">
      <c r="A13" s="2168" t="s">
        <v>1758</v>
      </c>
      <c r="B13" s="2162"/>
      <c r="C13" s="2162"/>
      <c r="D13" s="2137"/>
      <c r="E13" s="2162"/>
      <c r="F13" s="2162"/>
      <c r="G13" s="2162"/>
    </row>
    <row r="14" spans="1:29" ht="15" thickBot="1">
      <c r="A14" s="2172"/>
      <c r="B14" s="2173"/>
      <c r="C14" s="2174" t="s">
        <v>1759</v>
      </c>
      <c r="D14" s="2144"/>
      <c r="E14" s="2175"/>
      <c r="F14" s="2175"/>
      <c r="G14" s="2136" t="s">
        <v>1760</v>
      </c>
    </row>
    <row r="15" spans="1:29" ht="55.2">
      <c r="A15" s="25" t="s">
        <v>1761</v>
      </c>
      <c r="B15" s="2176" t="s">
        <v>1738</v>
      </c>
      <c r="C15" s="2177" t="str">
        <f>C3</f>
        <v>估价对象周边居住用地比例、居住小区规模和社区发展完善程度，综合评价居住社区成熟度一般</v>
      </c>
      <c r="D15" s="2144"/>
      <c r="E15" s="2178" t="s">
        <v>1762</v>
      </c>
      <c r="F15" s="2176" t="s">
        <v>1763</v>
      </c>
      <c r="G15" s="51" t="str">
        <f>G3</f>
        <v>估价对象位于XX开发区，园区建设成熟度XX，产业集聚程度XX</v>
      </c>
    </row>
    <row r="16" spans="1:29" ht="41.4">
      <c r="A16" s="629"/>
      <c r="B16" s="1492" t="s">
        <v>1742</v>
      </c>
      <c r="C16" s="2179" t="str">
        <f>C4</f>
        <v>估价对象位于XX商圈，周边商业氛围成熟，人流量大，商业繁华度好</v>
      </c>
      <c r="D16" s="2144"/>
      <c r="E16" s="2180"/>
      <c r="F16" s="2181" t="s">
        <v>1744</v>
      </c>
      <c r="G16" s="52" t="str">
        <f>G4</f>
        <v>估价对象周边道路状况、公共交通通达情况、停车便捷程度，综合评价交通便捷度较好</v>
      </c>
    </row>
    <row r="17" spans="1:18" ht="41.4">
      <c r="A17" s="629"/>
      <c r="B17" s="1492" t="s">
        <v>1746</v>
      </c>
      <c r="C17" s="2179" t="str">
        <f>C5</f>
        <v>估价对象位于XX商圈，周边办公楼项目较多，入驻率高，办公集聚程度较好</v>
      </c>
      <c r="D17" s="2151"/>
      <c r="E17" s="2180"/>
      <c r="F17" s="2181" t="s">
        <v>1764</v>
      </c>
      <c r="G17" s="2182"/>
    </row>
    <row r="18" spans="1:18" ht="55.2">
      <c r="A18" s="629"/>
      <c r="B18" s="2181" t="s">
        <v>1750</v>
      </c>
      <c r="C18" s="52" t="str">
        <f>C6</f>
        <v>估价对象周边道路状况、公共交通通达情况、停车便捷程度，综合评价交通便捷度较好</v>
      </c>
      <c r="D18" s="2151"/>
      <c r="E18" s="2180"/>
      <c r="F18" s="2181" t="s">
        <v>1753</v>
      </c>
      <c r="G18" s="52" t="str">
        <f>G7</f>
        <v>该园区内是否有污染型企业，绿化情况，卫生条件，整体环境状况判断</v>
      </c>
    </row>
    <row r="19" spans="1:18" ht="27.6">
      <c r="A19" s="629"/>
      <c r="B19" s="2181" t="s">
        <v>1765</v>
      </c>
      <c r="C19" s="2182"/>
      <c r="D19" s="2144"/>
      <c r="E19" s="2180"/>
      <c r="F19" s="1886" t="s">
        <v>1748</v>
      </c>
      <c r="G19" s="52" t="str">
        <f>G5</f>
        <v>估价对象所在区域公共配套设施齐备情况</v>
      </c>
    </row>
    <row r="20" spans="1:18" ht="41.4">
      <c r="A20" s="629"/>
      <c r="B20" s="2181" t="s">
        <v>1766</v>
      </c>
      <c r="C20" s="2179" t="str">
        <f>C9</f>
        <v>区域自然环境：；人文环境；综合评价环境状况一般</v>
      </c>
      <c r="D20" s="2151"/>
      <c r="E20" s="2180"/>
      <c r="F20" s="1886" t="s">
        <v>1767</v>
      </c>
      <c r="G20" s="52" t="str">
        <f>G6</f>
        <v>估价对象所在区域基础设施水平</v>
      </c>
    </row>
    <row r="21" spans="1:18" ht="27.6">
      <c r="A21" s="629"/>
      <c r="B21" s="1886" t="s">
        <v>1748</v>
      </c>
      <c r="C21" s="52" t="str">
        <f>C7</f>
        <v>估价对象所在区域公共配套设施齐备情况</v>
      </c>
      <c r="D21" s="2144"/>
      <c r="E21" s="2180"/>
      <c r="F21" s="2181" t="s">
        <v>1768</v>
      </c>
      <c r="G21" s="2183"/>
    </row>
    <row r="22" spans="1:18" ht="27.6">
      <c r="A22" s="629"/>
      <c r="B22" s="1886" t="s">
        <v>1751</v>
      </c>
      <c r="C22" s="52" t="str">
        <f>C8</f>
        <v>估价对象所在区域基础设施水平</v>
      </c>
      <c r="D22" s="2144"/>
      <c r="E22" s="2180"/>
      <c r="F22" s="2181" t="s">
        <v>1757</v>
      </c>
      <c r="G22" s="2184"/>
    </row>
    <row r="23" spans="1:18" s="2140" customFormat="1" ht="15" thickBot="1">
      <c r="A23" s="629"/>
      <c r="B23" s="2181" t="s">
        <v>1768</v>
      </c>
      <c r="C23" s="2183"/>
      <c r="D23" s="2169"/>
      <c r="E23" s="2185"/>
      <c r="F23" s="2186" t="s">
        <v>1769</v>
      </c>
      <c r="G23" s="2187"/>
      <c r="H23" s="2169"/>
      <c r="I23" s="2170"/>
      <c r="J23" s="2169"/>
      <c r="K23" s="2169"/>
      <c r="L23" s="2170"/>
      <c r="M23" s="2169"/>
      <c r="N23" s="2169"/>
      <c r="O23" s="2170"/>
      <c r="P23" s="2169"/>
      <c r="Q23" s="2169"/>
      <c r="R23" s="2171"/>
    </row>
    <row r="24" spans="1:18" s="2140" customFormat="1" ht="15" thickBot="1">
      <c r="A24" s="2188"/>
      <c r="B24" s="2186" t="s">
        <v>1770</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31" sqref="D31"/>
    </sheetView>
  </sheetViews>
  <sheetFormatPr defaultColWidth="14.6640625" defaultRowHeight="14.4"/>
  <cols>
    <col min="1" max="1" width="24.33203125" customWidth="1"/>
  </cols>
  <sheetData>
    <row r="1" spans="1:9" ht="15.6">
      <c r="A1" s="1829" t="s">
        <v>1225</v>
      </c>
      <c r="B1" s="1829">
        <f>SUM(B14:B23)</f>
        <v>424.6</v>
      </c>
      <c r="C1" s="1830"/>
      <c r="D1" s="1830"/>
      <c r="E1" s="1830"/>
      <c r="F1" s="1830"/>
      <c r="G1" s="1834"/>
    </row>
    <row r="2" spans="1:9" ht="15.6">
      <c r="A2" s="1829" t="s">
        <v>1226</v>
      </c>
      <c r="B2" s="1829">
        <f>SUM(C14:C23)</f>
        <v>0</v>
      </c>
      <c r="C2" s="1830"/>
      <c r="D2" s="1830"/>
      <c r="E2" s="1830"/>
      <c r="F2" s="1830"/>
      <c r="G2" s="1834"/>
    </row>
    <row r="3" spans="1:9" ht="15.6">
      <c r="A3" s="1829" t="s">
        <v>1227</v>
      </c>
      <c r="B3" s="1832">
        <f>项目基本情况!D2</f>
        <v>43328</v>
      </c>
      <c r="C3" s="1830"/>
      <c r="D3" s="1830"/>
      <c r="E3" s="1830"/>
      <c r="F3" s="1830"/>
      <c r="G3" s="1834"/>
    </row>
    <row r="4" spans="1:9" ht="31.2">
      <c r="A4" s="1829" t="s">
        <v>1228</v>
      </c>
      <c r="B4" s="1829" t="s">
        <v>1229</v>
      </c>
      <c r="C4" s="1829" t="s">
        <v>1230</v>
      </c>
      <c r="D4" s="1829" t="s">
        <v>1231</v>
      </c>
      <c r="E4" s="1830"/>
      <c r="F4" s="1834"/>
      <c r="G4" s="1834"/>
    </row>
    <row r="5" spans="1:9" ht="15.6">
      <c r="A5" s="1829" t="s">
        <v>1232</v>
      </c>
      <c r="B5" s="1829">
        <f ca="1">SUM(D14:D23)</f>
        <v>1440</v>
      </c>
      <c r="C5" s="1829">
        <f ca="1">ROUND(B5*10000/$B$1,0)</f>
        <v>33914</v>
      </c>
      <c r="D5" s="1829" t="e">
        <f ca="1">ROUND(B5*10000/$B$2,0)</f>
        <v>#DIV/0!</v>
      </c>
      <c r="E5" s="1830"/>
      <c r="F5" s="1834"/>
      <c r="G5" s="1834"/>
    </row>
    <row r="6" spans="1:9" ht="15.6">
      <c r="A6" s="1829" t="s">
        <v>1233</v>
      </c>
      <c r="B6" s="1829">
        <f>SUM(G14:G23)</f>
        <v>0</v>
      </c>
      <c r="C6" s="1829">
        <f t="shared" ref="C6:C8" si="0">ROUND(B6*10000/$B$1,0)</f>
        <v>0</v>
      </c>
      <c r="D6" s="1829" t="e">
        <f t="shared" ref="D6:D8" si="1">ROUND(B6*10000/$B$2,0)</f>
        <v>#DIV/0!</v>
      </c>
      <c r="E6" s="1830"/>
      <c r="F6" s="1834"/>
      <c r="G6" s="1834"/>
    </row>
    <row r="7" spans="1:9" ht="15.6">
      <c r="A7" s="1829" t="s">
        <v>1234</v>
      </c>
      <c r="B7" s="1829">
        <f ca="1">SUM(H14:H23)</f>
        <v>1440</v>
      </c>
      <c r="C7" s="1829">
        <f ca="1">ROUND(B7*10000/$B$1,0)</f>
        <v>33914</v>
      </c>
      <c r="D7" s="1829" t="e">
        <f t="shared" ca="1" si="1"/>
        <v>#DIV/0!</v>
      </c>
      <c r="E7" s="1830"/>
      <c r="F7" s="1834"/>
      <c r="G7" s="1834"/>
    </row>
    <row r="8" spans="1:9" ht="15.6">
      <c r="A8" s="1829" t="s">
        <v>1235</v>
      </c>
      <c r="B8" s="1829">
        <f>SUM(I14:I23)</f>
        <v>0</v>
      </c>
      <c r="C8" s="1829">
        <f t="shared" si="0"/>
        <v>0</v>
      </c>
      <c r="D8" s="1829" t="e">
        <f t="shared" si="1"/>
        <v>#DIV/0!</v>
      </c>
      <c r="E8" s="1830"/>
      <c r="F8" s="1834"/>
      <c r="G8" s="1834"/>
    </row>
    <row r="9" spans="1:9" ht="15.6">
      <c r="A9" s="1829" t="s">
        <v>1236</v>
      </c>
      <c r="B9" s="1835"/>
      <c r="C9" s="1830"/>
      <c r="D9" s="1830"/>
      <c r="E9" s="1830"/>
      <c r="F9" s="1834"/>
      <c r="G9" s="1834"/>
    </row>
    <row r="10" spans="1:9" ht="15.6">
      <c r="A10" s="1829" t="s">
        <v>1237</v>
      </c>
      <c r="B10" s="1835"/>
      <c r="C10" s="1830"/>
      <c r="D10" s="1830"/>
      <c r="E10" s="1830"/>
      <c r="F10" s="1834"/>
      <c r="G10" s="1834"/>
    </row>
    <row r="11" spans="1:9" ht="15.6">
      <c r="A11" s="1829" t="s">
        <v>1253</v>
      </c>
      <c r="B11" s="1835"/>
      <c r="C11" s="1830"/>
      <c r="D11" s="1830"/>
      <c r="E11" s="1830"/>
      <c r="F11" s="1834"/>
      <c r="G11" s="1834"/>
    </row>
    <row r="12" spans="1:9" ht="15.6">
      <c r="A12" s="1830"/>
      <c r="B12" s="1830"/>
      <c r="C12" s="1830"/>
      <c r="D12" s="1830"/>
      <c r="E12" s="1830"/>
      <c r="F12" s="1834"/>
      <c r="G12" s="1834"/>
    </row>
    <row r="13" spans="1:9" ht="31.2">
      <c r="A13" s="1839" t="s">
        <v>1252</v>
      </c>
      <c r="B13" s="1833" t="s">
        <v>1225</v>
      </c>
      <c r="C13" s="1833" t="s">
        <v>1226</v>
      </c>
      <c r="D13" s="1833" t="s">
        <v>1238</v>
      </c>
      <c r="E13" s="1829" t="s">
        <v>1230</v>
      </c>
      <c r="F13" s="1829" t="s">
        <v>1231</v>
      </c>
      <c r="G13" s="1833" t="s">
        <v>1239</v>
      </c>
      <c r="H13" s="1833" t="s">
        <v>1240</v>
      </c>
      <c r="I13" s="1833" t="s">
        <v>1241</v>
      </c>
    </row>
    <row r="14" spans="1:9" ht="15.6">
      <c r="A14" s="1836" t="s">
        <v>1251</v>
      </c>
      <c r="B14" s="1833">
        <f>项目基本情况!C12</f>
        <v>424.6</v>
      </c>
      <c r="C14" s="1833">
        <f>项目基本情况!C13</f>
        <v>0</v>
      </c>
      <c r="D14" s="1833">
        <f ca="1">IF('数据-取费表'!B3="万元",IF(A14="估价对象1（结果表）",结果表!H121,'结果表 (1修多)'!H124),IF(A14="估价对象1（结果表）",结果表!H121,'结果表 (1修多)'!H124)/10000)</f>
        <v>1440</v>
      </c>
      <c r="E14" s="1833">
        <f ca="1">ROUND(D14*10000/B14,0)</f>
        <v>33914</v>
      </c>
      <c r="F14" s="1833" t="e">
        <f ca="1">ROUND(D14*10000/C14,0)</f>
        <v>#DIV/0!</v>
      </c>
      <c r="G14" s="1833" t="str">
        <f>IF('数据-取费表'!B3="万元",IF(A14="估价对象1（结果表）",结果表!D125,'结果表 (1修多)'!D128),IF(A14="估价对象1（结果表）",结果表!D125,'结果表 (1修多)'!D128)/10000)</f>
        <v>——</v>
      </c>
      <c r="H14" s="1833">
        <f ca="1">IF('数据-取费表'!B3="万元",IF(A14="估价对象1（结果表）",结果表!D127,'结果表 (1修多)'!D130),IF(A14="估价对象1（结果表）",结果表!D127,'结果表 (1修多)'!D130)/10000)</f>
        <v>1440</v>
      </c>
      <c r="I14" s="1833" t="str">
        <f>IF('数据-取费表'!B3="万元",IF(A14="估价对象1（结果表）",结果表!D129,'结果表 (1修多)'!D132),IF(A14="估价对象1（结果表）",结果表!D129,'结果表 (1修多)'!D132)/10000)</f>
        <v>——</v>
      </c>
    </row>
    <row r="15" spans="1:9" ht="15.6">
      <c r="A15" s="1831" t="s">
        <v>1242</v>
      </c>
      <c r="B15" s="1837"/>
      <c r="C15" s="1837"/>
      <c r="D15" s="1837"/>
      <c r="E15" s="1833" t="e">
        <f t="shared" ref="E15:E23" si="2">ROUND(D15*10000/B15,0)</f>
        <v>#DIV/0!</v>
      </c>
      <c r="F15" s="1833" t="e">
        <f t="shared" ref="F15:F23" si="3">ROUND(D15*10000/C15,0)</f>
        <v>#DIV/0!</v>
      </c>
      <c r="G15" s="1838"/>
      <c r="H15" s="1838"/>
      <c r="I15" s="1837"/>
    </row>
    <row r="16" spans="1:9" ht="15.6">
      <c r="A16" s="1831" t="s">
        <v>1243</v>
      </c>
      <c r="B16" s="1837"/>
      <c r="C16" s="1837"/>
      <c r="D16" s="1837"/>
      <c r="E16" s="1833" t="e">
        <f t="shared" si="2"/>
        <v>#DIV/0!</v>
      </c>
      <c r="F16" s="1833" t="e">
        <f t="shared" si="3"/>
        <v>#DIV/0!</v>
      </c>
      <c r="G16" s="1838"/>
      <c r="H16" s="1838"/>
      <c r="I16" s="1837"/>
    </row>
    <row r="17" spans="1:9" ht="15.6">
      <c r="A17" s="1831" t="s">
        <v>1244</v>
      </c>
      <c r="B17" s="1837"/>
      <c r="C17" s="1837"/>
      <c r="D17" s="1837"/>
      <c r="E17" s="1833" t="e">
        <f t="shared" si="2"/>
        <v>#DIV/0!</v>
      </c>
      <c r="F17" s="1833" t="e">
        <f t="shared" si="3"/>
        <v>#DIV/0!</v>
      </c>
      <c r="G17" s="1838"/>
      <c r="H17" s="1838"/>
      <c r="I17" s="1837"/>
    </row>
    <row r="18" spans="1:9" ht="15.6">
      <c r="A18" s="1831" t="s">
        <v>1245</v>
      </c>
      <c r="B18" s="1837"/>
      <c r="C18" s="1837"/>
      <c r="D18" s="1837"/>
      <c r="E18" s="1833" t="e">
        <f t="shared" si="2"/>
        <v>#DIV/0!</v>
      </c>
      <c r="F18" s="1833" t="e">
        <f t="shared" si="3"/>
        <v>#DIV/0!</v>
      </c>
      <c r="G18" s="1837"/>
      <c r="H18" s="1837"/>
      <c r="I18" s="1837"/>
    </row>
    <row r="19" spans="1:9" ht="15.6">
      <c r="A19" s="1831" t="s">
        <v>1246</v>
      </c>
      <c r="B19" s="1837"/>
      <c r="C19" s="1837"/>
      <c r="D19" s="1837"/>
      <c r="E19" s="1833" t="e">
        <f t="shared" si="2"/>
        <v>#DIV/0!</v>
      </c>
      <c r="F19" s="1833" t="e">
        <f t="shared" si="3"/>
        <v>#DIV/0!</v>
      </c>
      <c r="G19" s="1837"/>
      <c r="H19" s="1837"/>
      <c r="I19" s="1837"/>
    </row>
    <row r="20" spans="1:9" ht="15.6">
      <c r="A20" s="1831" t="s">
        <v>1247</v>
      </c>
      <c r="B20" s="1837"/>
      <c r="C20" s="1837"/>
      <c r="D20" s="1837"/>
      <c r="E20" s="1833" t="e">
        <f t="shared" si="2"/>
        <v>#DIV/0!</v>
      </c>
      <c r="F20" s="1833" t="e">
        <f t="shared" si="3"/>
        <v>#DIV/0!</v>
      </c>
      <c r="G20" s="1837"/>
      <c r="H20" s="1837"/>
      <c r="I20" s="1837"/>
    </row>
    <row r="21" spans="1:9" ht="15.6">
      <c r="A21" s="1831" t="s">
        <v>1248</v>
      </c>
      <c r="B21" s="1837"/>
      <c r="C21" s="1837"/>
      <c r="D21" s="1837"/>
      <c r="E21" s="1833" t="e">
        <f t="shared" si="2"/>
        <v>#DIV/0!</v>
      </c>
      <c r="F21" s="1833" t="e">
        <f t="shared" si="3"/>
        <v>#DIV/0!</v>
      </c>
      <c r="G21" s="1837"/>
      <c r="H21" s="1837"/>
      <c r="I21" s="1837"/>
    </row>
    <row r="22" spans="1:9" ht="15.6">
      <c r="A22" s="1831" t="s">
        <v>1249</v>
      </c>
      <c r="B22" s="1837"/>
      <c r="C22" s="1837"/>
      <c r="D22" s="1837"/>
      <c r="E22" s="1833" t="e">
        <f t="shared" si="2"/>
        <v>#DIV/0!</v>
      </c>
      <c r="F22" s="1833" t="e">
        <f t="shared" si="3"/>
        <v>#DIV/0!</v>
      </c>
      <c r="G22" s="1837"/>
      <c r="H22" s="1837"/>
      <c r="I22" s="1837"/>
    </row>
    <row r="23" spans="1:9" ht="15.6">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0" sqref="G20"/>
    </sheetView>
  </sheetViews>
  <sheetFormatPr defaultColWidth="12.6640625" defaultRowHeight="21.75" customHeight="1"/>
  <cols>
    <col min="1" max="2" width="12.6640625" style="2196"/>
    <col min="3" max="4" width="12.6640625" style="2196" customWidth="1"/>
    <col min="5" max="9" width="12.6640625" style="2196"/>
    <col min="10" max="11" width="12.6640625" style="797" customWidth="1"/>
    <col min="12" max="12" width="12.6640625" style="797"/>
    <col min="13" max="13" width="14.109375" style="797" bestFit="1" customWidth="1"/>
    <col min="14" max="26" width="12.6640625" style="797"/>
    <col min="27" max="35" width="12.6640625" style="1844"/>
    <col min="36" max="16384" width="12.6640625" style="2196"/>
  </cols>
  <sheetData>
    <row r="1" spans="1:12" ht="21.75" customHeight="1">
      <c r="A1" s="2194" t="s">
        <v>1771</v>
      </c>
      <c r="B1" s="2195"/>
      <c r="C1" s="2195"/>
      <c r="D1" s="2195"/>
      <c r="E1" s="2195"/>
      <c r="F1" s="2195"/>
      <c r="G1" s="2195"/>
      <c r="H1" s="2195"/>
      <c r="I1" s="2195"/>
    </row>
    <row r="2" spans="1:12" ht="21.75" customHeight="1">
      <c r="A2" s="2907" t="str">
        <f>项目基本情况!B1</f>
        <v>北京市房地产抵押价值预评估</v>
      </c>
      <c r="B2" s="2907"/>
      <c r="C2" s="2907"/>
      <c r="D2" s="2907"/>
      <c r="E2" s="2907"/>
      <c r="F2" s="2907"/>
      <c r="G2" s="2907"/>
      <c r="H2" s="2907"/>
      <c r="I2" s="2907"/>
    </row>
    <row r="3" spans="1:12" ht="13.2">
      <c r="A3" s="2913" t="s">
        <v>1772</v>
      </c>
      <c r="B3" s="2914"/>
      <c r="C3" s="2914"/>
      <c r="D3" s="2914"/>
      <c r="E3" s="2914"/>
      <c r="F3" s="2914"/>
      <c r="G3" s="2914"/>
      <c r="H3" s="2914"/>
      <c r="I3" s="2914"/>
    </row>
    <row r="4" spans="1:12" ht="14.4">
      <c r="A4" s="2197" t="s">
        <v>1773</v>
      </c>
      <c r="B4" s="2198" t="s">
        <v>1774</v>
      </c>
      <c r="C4" s="2199" t="s">
        <v>2891</v>
      </c>
      <c r="D4" s="2199" t="s">
        <v>2892</v>
      </c>
      <c r="E4" s="2918" t="s">
        <v>1775</v>
      </c>
      <c r="F4" s="2919"/>
      <c r="G4" s="2919"/>
      <c r="H4" s="2919"/>
      <c r="I4" s="2920"/>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比较法</v>
      </c>
    </row>
    <row r="5" spans="1:12" ht="13.2">
      <c r="A5" s="2908" t="s">
        <v>1776</v>
      </c>
      <c r="B5" s="2853">
        <v>25</v>
      </c>
      <c r="C5" s="2915"/>
      <c r="D5" s="2912"/>
      <c r="E5" s="56" t="s">
        <v>1777</v>
      </c>
      <c r="F5" s="2200"/>
      <c r="G5" s="2200"/>
      <c r="H5" s="2200"/>
      <c r="I5" s="2201"/>
    </row>
    <row r="6" spans="1:12" ht="13.2">
      <c r="A6" s="2908"/>
      <c r="B6" s="2853"/>
      <c r="C6" s="2916"/>
      <c r="D6" s="2912"/>
      <c r="E6" s="56" t="s">
        <v>1778</v>
      </c>
      <c r="F6" s="2200"/>
      <c r="G6" s="2200"/>
      <c r="H6" s="2200"/>
      <c r="I6" s="2201"/>
    </row>
    <row r="7" spans="1:12" ht="13.2">
      <c r="A7" s="2908"/>
      <c r="B7" s="2853"/>
      <c r="C7" s="2917"/>
      <c r="D7" s="2912"/>
      <c r="E7" s="56" t="s">
        <v>1779</v>
      </c>
      <c r="F7" s="2200"/>
      <c r="G7" s="2200"/>
      <c r="H7" s="2200"/>
      <c r="I7" s="2201"/>
    </row>
    <row r="8" spans="1:12" ht="13.2">
      <c r="A8" s="2908" t="s">
        <v>1780</v>
      </c>
      <c r="B8" s="2853">
        <v>15</v>
      </c>
      <c r="C8" s="2915"/>
      <c r="D8" s="2912"/>
      <c r="E8" s="56" t="s">
        <v>1781</v>
      </c>
      <c r="F8" s="2200"/>
      <c r="G8" s="2200"/>
      <c r="H8" s="2200"/>
      <c r="I8" s="2201"/>
    </row>
    <row r="9" spans="1:12" ht="13.2">
      <c r="A9" s="2908"/>
      <c r="B9" s="2853"/>
      <c r="C9" s="2917"/>
      <c r="D9" s="2912"/>
      <c r="E9" s="56" t="s">
        <v>1782</v>
      </c>
      <c r="F9" s="2200"/>
      <c r="G9" s="2200"/>
      <c r="H9" s="2200"/>
      <c r="I9" s="2201"/>
    </row>
    <row r="10" spans="1:12" ht="13.2">
      <c r="A10" s="2908" t="s">
        <v>1783</v>
      </c>
      <c r="B10" s="2853">
        <v>15</v>
      </c>
      <c r="C10" s="2915"/>
      <c r="D10" s="2912"/>
      <c r="E10" s="56" t="s">
        <v>1784</v>
      </c>
      <c r="F10" s="2200"/>
      <c r="G10" s="2200"/>
      <c r="H10" s="2200"/>
      <c r="I10" s="2201"/>
    </row>
    <row r="11" spans="1:12" ht="13.2">
      <c r="A11" s="2908"/>
      <c r="B11" s="2853"/>
      <c r="C11" s="2917"/>
      <c r="D11" s="2912"/>
      <c r="E11" s="56" t="s">
        <v>1785</v>
      </c>
      <c r="F11" s="2200"/>
      <c r="G11" s="2200"/>
      <c r="H11" s="2200"/>
      <c r="I11" s="2201"/>
    </row>
    <row r="12" spans="1:12" ht="13.2">
      <c r="A12" s="2908" t="s">
        <v>1786</v>
      </c>
      <c r="B12" s="2853">
        <v>15</v>
      </c>
      <c r="C12" s="2915"/>
      <c r="D12" s="2912"/>
      <c r="E12" s="56" t="s">
        <v>1787</v>
      </c>
      <c r="F12" s="2200"/>
      <c r="G12" s="2200"/>
      <c r="H12" s="2200"/>
      <c r="I12" s="2201"/>
    </row>
    <row r="13" spans="1:12" ht="13.2">
      <c r="A13" s="2908"/>
      <c r="B13" s="2853"/>
      <c r="C13" s="2917"/>
      <c r="D13" s="2912"/>
      <c r="E13" s="56" t="s">
        <v>1788</v>
      </c>
      <c r="F13" s="2200"/>
      <c r="G13" s="2200"/>
      <c r="H13" s="2200"/>
      <c r="I13" s="2201"/>
    </row>
    <row r="14" spans="1:12" ht="13.2">
      <c r="A14" s="2908" t="s">
        <v>1789</v>
      </c>
      <c r="B14" s="2853">
        <v>30</v>
      </c>
      <c r="C14" s="2915">
        <v>3</v>
      </c>
      <c r="D14" s="2912">
        <v>7</v>
      </c>
      <c r="E14" s="56" t="s">
        <v>1790</v>
      </c>
      <c r="F14" s="2200"/>
      <c r="G14" s="2200"/>
      <c r="H14" s="2200"/>
      <c r="I14" s="2201"/>
    </row>
    <row r="15" spans="1:12" ht="13.2">
      <c r="A15" s="2908"/>
      <c r="B15" s="2853"/>
      <c r="C15" s="2916"/>
      <c r="D15" s="2912"/>
      <c r="E15" s="56" t="s">
        <v>1791</v>
      </c>
      <c r="F15" s="2200"/>
      <c r="G15" s="2200"/>
      <c r="H15" s="2200"/>
      <c r="I15" s="2201"/>
    </row>
    <row r="16" spans="1:12" ht="13.2">
      <c r="A16" s="2908"/>
      <c r="B16" s="2853"/>
      <c r="C16" s="2917"/>
      <c r="D16" s="2912"/>
      <c r="E16" s="56" t="s">
        <v>1792</v>
      </c>
      <c r="F16" s="2200"/>
      <c r="G16" s="2200"/>
      <c r="H16" s="2200"/>
      <c r="I16" s="2201"/>
    </row>
    <row r="17" spans="1:35" ht="14.4">
      <c r="A17" s="2202" t="s">
        <v>1793</v>
      </c>
      <c r="B17" s="2203"/>
      <c r="C17" s="57">
        <f>SUM(C5:C16)</f>
        <v>3</v>
      </c>
      <c r="D17" s="57">
        <f>SUM(D5:D16)</f>
        <v>7</v>
      </c>
      <c r="E17" s="2195"/>
      <c r="F17" s="2195"/>
      <c r="G17" s="2195"/>
      <c r="H17" s="2195"/>
      <c r="I17" s="2195"/>
    </row>
    <row r="18" spans="1:35" ht="15" thickBot="1">
      <c r="A18" s="2204" t="s">
        <v>1794</v>
      </c>
      <c r="B18" s="2205"/>
      <c r="C18" s="58">
        <f>ROUND(C17/SUM(C17:D17),2)</f>
        <v>0.3</v>
      </c>
      <c r="D18" s="58">
        <f>1-C18</f>
        <v>0.7</v>
      </c>
      <c r="E18" s="2195"/>
      <c r="F18" s="2195"/>
      <c r="G18" s="2195"/>
      <c r="H18" s="2195"/>
      <c r="I18" s="2195"/>
    </row>
    <row r="19" spans="1:35" ht="14.4">
      <c r="A19" s="2206" t="s">
        <v>1795</v>
      </c>
      <c r="B19" s="2207" t="s">
        <v>1796</v>
      </c>
      <c r="C19" s="59">
        <f ca="1">SUMIF(INDIRECT("'"&amp;C4&amp;"'"&amp;"!A:A"),结果表!B19,INDIRECT("'"&amp;C4&amp;"'"&amp;"!B:B"))</f>
        <v>451</v>
      </c>
      <c r="D19" s="60">
        <f ca="1">SUMIF(INDIRECT("'"&amp;D4&amp;"'"&amp;"!A:A"),结果表!B19,INDIRECT("'"&amp;D4&amp;"'"&amp;"!B:B"))</f>
        <v>584</v>
      </c>
      <c r="E19" s="2206" t="s">
        <v>1797</v>
      </c>
      <c r="F19" s="2207" t="s">
        <v>1796</v>
      </c>
      <c r="G19" s="61">
        <f ca="1">ROUND(C19*$C$18+D19*$D$18,0)</f>
        <v>544</v>
      </c>
      <c r="H19" s="2208" t="str">
        <f>'数据-取费表'!B3</f>
        <v>万元</v>
      </c>
      <c r="I19" s="2195"/>
    </row>
    <row r="20" spans="1:35" ht="14.4">
      <c r="A20" s="2209"/>
      <c r="B20" s="2210" t="s">
        <v>1798</v>
      </c>
      <c r="C20" s="62">
        <f ca="1">SUMIF(INDIRECT("'"&amp;C4&amp;"'"&amp;"!A:A"),结果表!B20,INDIRECT("'"&amp;C4&amp;"'"&amp;"!B:B"))</f>
        <v>28480</v>
      </c>
      <c r="D20" s="63">
        <f ca="1">SUMIF(INDIRECT("'"&amp;D4&amp;"'"&amp;"!A:A"),结果表!B20,INDIRECT("'"&amp;D4&amp;"'"&amp;"!B:B"))</f>
        <v>36849</v>
      </c>
      <c r="E20" s="2209"/>
      <c r="F20" s="2210" t="s">
        <v>1798</v>
      </c>
      <c r="G20" s="64">
        <f ca="1">ROUND(C20*$C$18+D20*$D$18,0)</f>
        <v>34338</v>
      </c>
      <c r="H20" s="2211" t="s">
        <v>1799</v>
      </c>
      <c r="I20" s="2195"/>
    </row>
    <row r="21" spans="1:35" ht="15" customHeight="1" thickBot="1">
      <c r="A21" s="2212"/>
      <c r="B21" s="2213"/>
      <c r="C21" s="769"/>
      <c r="D21" s="770"/>
      <c r="E21" s="2212"/>
      <c r="F21" s="2213"/>
      <c r="G21" s="65"/>
      <c r="H21" s="2214"/>
      <c r="I21" s="2195"/>
    </row>
    <row r="22" spans="1:35" ht="15" thickBot="1">
      <c r="A22" s="2215" t="s">
        <v>1800</v>
      </c>
      <c r="B22" s="2216"/>
      <c r="C22" s="2217"/>
      <c r="D22" s="771">
        <f ca="1">IF(C19&lt;D19,D19/C19-1,C19/D19-1)</f>
        <v>0.29490022172949004</v>
      </c>
      <c r="E22" s="2195"/>
      <c r="F22" s="2195"/>
      <c r="G22" s="2195"/>
      <c r="H22" s="2195"/>
      <c r="I22" s="2195"/>
    </row>
    <row r="23" spans="1:35" ht="13.8" thickBot="1">
      <c r="A23" s="2195"/>
      <c r="B23" s="2195"/>
      <c r="C23" s="2195"/>
      <c r="D23" s="2195"/>
      <c r="E23" s="2195"/>
      <c r="F23" s="2195"/>
      <c r="G23" s="2195"/>
      <c r="H23" s="2195"/>
      <c r="I23" s="2195"/>
    </row>
    <row r="24" spans="1:35" ht="21.75" customHeight="1">
      <c r="A24" s="2921" t="s">
        <v>1801</v>
      </c>
      <c r="B24" s="2207" t="s">
        <v>1796</v>
      </c>
      <c r="C24" s="61">
        <f>D30</f>
        <v>0</v>
      </c>
      <c r="D24" s="993"/>
      <c r="E24" s="2195"/>
      <c r="F24" s="2195"/>
      <c r="G24" s="2195"/>
      <c r="H24" s="2195"/>
      <c r="I24" s="2195"/>
    </row>
    <row r="25" spans="1:35" ht="21.75" customHeight="1">
      <c r="A25" s="2922"/>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3.8">
      <c r="A27" s="2220"/>
      <c r="B27" s="67">
        <v>0</v>
      </c>
      <c r="C27" s="67">
        <v>0</v>
      </c>
      <c r="D27" s="68">
        <f>ROUND(C27*B27/10000,0)</f>
        <v>0</v>
      </c>
      <c r="E27" s="2195"/>
      <c r="F27" s="2195"/>
      <c r="G27" s="2195"/>
      <c r="H27" s="2195"/>
      <c r="I27" s="2195"/>
    </row>
    <row r="28" spans="1:35" ht="13.8">
      <c r="A28" s="2219"/>
      <c r="B28" s="67"/>
      <c r="C28" s="67"/>
      <c r="D28" s="68">
        <f t="shared" ref="D28:D29" si="0">ROUND(C28*B28/10000,0)</f>
        <v>0</v>
      </c>
      <c r="E28" s="2195"/>
      <c r="F28" s="2195"/>
      <c r="G28" s="2195"/>
      <c r="H28" s="2195"/>
      <c r="I28" s="2195"/>
    </row>
    <row r="29" spans="1:35" ht="13.8">
      <c r="A29" s="2219"/>
      <c r="B29" s="67"/>
      <c r="C29" s="67"/>
      <c r="D29" s="68">
        <f t="shared" si="0"/>
        <v>0</v>
      </c>
      <c r="E29" s="2195"/>
      <c r="F29" s="2195"/>
      <c r="G29" s="2195"/>
      <c r="H29" s="2195"/>
      <c r="I29" s="2195"/>
    </row>
    <row r="30" spans="1:35" ht="14.4">
      <c r="A30" s="67" t="s">
        <v>1806</v>
      </c>
      <c r="B30" s="67"/>
      <c r="C30" s="67"/>
      <c r="D30" s="67"/>
      <c r="E30" s="2715" t="s">
        <v>2806</v>
      </c>
      <c r="F30" s="2195"/>
      <c r="G30" s="2195"/>
      <c r="H30" s="2195"/>
      <c r="I30" s="2195"/>
    </row>
    <row r="31" spans="1:35" s="2222" customFormat="1" ht="14.4" thickBot="1">
      <c r="A31" s="2221"/>
      <c r="B31" s="2221"/>
      <c r="C31" s="2221"/>
      <c r="D31" s="2221"/>
      <c r="E31" s="2195"/>
      <c r="F31" s="2195"/>
      <c r="G31" s="2195"/>
      <c r="H31" s="2195"/>
      <c r="I31" s="2195"/>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 thickBot="1">
      <c r="A32" s="2223" t="s">
        <v>1807</v>
      </c>
      <c r="B32" s="2224" t="str">
        <f>'数据-取费表'!B4</f>
        <v>楼面单价</v>
      </c>
      <c r="C32" s="1144">
        <f ca="1">IF(B32="总价",G19-C24,G20-C25)</f>
        <v>34338</v>
      </c>
      <c r="D32" s="2195" t="str">
        <f>IF(B32="楼面单价","元/平方米",H19)</f>
        <v>元/平方米</v>
      </c>
      <c r="E32" s="2195"/>
      <c r="F32" s="2195"/>
      <c r="G32" s="2195"/>
      <c r="H32" s="2195"/>
      <c r="I32" s="2195"/>
    </row>
    <row r="33" spans="1:16" ht="14.4">
      <c r="A33" s="2225" t="s">
        <v>1808</v>
      </c>
      <c r="B33" s="2226"/>
      <c r="C33" s="2227"/>
      <c r="D33" s="2228"/>
      <c r="E33" s="2229" t="s">
        <v>1809</v>
      </c>
      <c r="F33" s="2230" t="str">
        <f>IF(B32="楼面单价","取值（单价）","取值（总价）")</f>
        <v>取值（单价）</v>
      </c>
      <c r="G33" s="2195"/>
      <c r="H33" s="2195"/>
      <c r="I33" s="2195"/>
    </row>
    <row r="34" spans="1:16" ht="14.4">
      <c r="A34" s="2231"/>
      <c r="B34" s="2232" t="s">
        <v>1810</v>
      </c>
      <c r="C34" s="72">
        <f ca="1">IF(D33="自定义",F34,C32-C35)</f>
        <v>29531</v>
      </c>
      <c r="D34" s="1090">
        <f ca="1">IF(D33="自定义",ROUND(C34/C32,3),1-D35)</f>
        <v>0.86</v>
      </c>
      <c r="E34" s="2233" t="s">
        <v>1811</v>
      </c>
      <c r="F34" s="1827">
        <v>2000</v>
      </c>
      <c r="G34" s="2195"/>
      <c r="H34" s="2195"/>
      <c r="I34" s="2195"/>
    </row>
    <row r="35" spans="1:16" ht="15" thickBot="1">
      <c r="A35" s="2234"/>
      <c r="B35" s="2235" t="s">
        <v>1812</v>
      </c>
      <c r="C35" s="73">
        <f ca="1">IF(D33="自定义",F35,ROUND(C32*D35,0))</f>
        <v>4807</v>
      </c>
      <c r="D35" s="1089">
        <f ca="1">IF(D33="自定义",ROUND(C35/C32,3),IF(D33="成本法成本比率",成本法!C56,IF(D33="收益法收益比率",收益法!J38,收益法!J41)))</f>
        <v>0.14000000000000001</v>
      </c>
      <c r="E35" s="2236" t="s">
        <v>1813</v>
      </c>
      <c r="F35" s="79">
        <v>4460</v>
      </c>
      <c r="G35" s="2195"/>
      <c r="H35" s="2195"/>
      <c r="I35" s="2195"/>
    </row>
    <row r="36" spans="1:16" ht="15" thickBot="1">
      <c r="A36" s="2926" t="s">
        <v>1814</v>
      </c>
      <c r="B36" s="2237" t="s">
        <v>1815</v>
      </c>
      <c r="C36" s="69">
        <v>0</v>
      </c>
      <c r="D36" s="2238"/>
      <c r="E36" s="2239"/>
      <c r="F36" s="2239"/>
      <c r="G36" s="2195"/>
      <c r="H36" s="2195"/>
      <c r="I36" s="2195"/>
    </row>
    <row r="37" spans="1:16" ht="15" thickBot="1">
      <c r="A37" s="2927"/>
      <c r="B37" s="2240" t="s">
        <v>1816</v>
      </c>
      <c r="C37" s="71">
        <v>0</v>
      </c>
      <c r="D37" s="2205"/>
      <c r="E37" s="2205"/>
      <c r="F37" s="2239"/>
      <c r="G37" s="2205"/>
      <c r="H37" s="2205"/>
      <c r="I37" s="2205"/>
    </row>
    <row r="38" spans="1:16" ht="15" thickBot="1">
      <c r="A38" s="2928"/>
      <c r="B38" s="2241" t="s">
        <v>1817</v>
      </c>
      <c r="C38" s="711">
        <v>0</v>
      </c>
      <c r="D38" s="2242" t="s">
        <v>1818</v>
      </c>
      <c r="E38" s="2205"/>
      <c r="F38" s="2239"/>
      <c r="G38" s="2205"/>
      <c r="H38" s="2205"/>
      <c r="I38" s="2205"/>
    </row>
    <row r="39" spans="1:16" ht="14.4">
      <c r="A39" s="2209" t="s">
        <v>1819</v>
      </c>
      <c r="B39" s="2243" t="s">
        <v>1803</v>
      </c>
      <c r="C39" s="2244" t="s">
        <v>1804</v>
      </c>
      <c r="D39" s="2244" t="s">
        <v>1820</v>
      </c>
      <c r="E39" s="2245" t="s">
        <v>1805</v>
      </c>
      <c r="F39" s="2239"/>
      <c r="G39" s="2205"/>
      <c r="H39" s="2205"/>
      <c r="I39" s="2205"/>
    </row>
    <row r="40" spans="1:16" ht="13.8">
      <c r="A40" s="2246" t="s">
        <v>1821</v>
      </c>
      <c r="B40" s="74"/>
      <c r="C40" s="75"/>
      <c r="D40" s="75"/>
      <c r="E40" s="76"/>
      <c r="F40" s="2239"/>
      <c r="G40" s="2205"/>
      <c r="H40" s="2205"/>
      <c r="I40" s="2205"/>
    </row>
    <row r="41" spans="1:16" ht="13.8">
      <c r="A41" s="2246" t="s">
        <v>1822</v>
      </c>
      <c r="B41" s="74"/>
      <c r="C41" s="75"/>
      <c r="D41" s="75"/>
      <c r="E41" s="76"/>
      <c r="F41" s="2239"/>
      <c r="G41" s="2205"/>
      <c r="H41" s="2205"/>
      <c r="I41" s="2205"/>
    </row>
    <row r="42" spans="1:16" ht="14.4" thickBot="1">
      <c r="A42" s="2247"/>
      <c r="B42" s="77"/>
      <c r="C42" s="78"/>
      <c r="D42" s="78"/>
      <c r="E42" s="79"/>
      <c r="F42" s="2239"/>
      <c r="G42" s="2205"/>
      <c r="H42" s="2205"/>
      <c r="I42" s="2205"/>
    </row>
    <row r="43" spans="1:16" ht="13.2">
      <c r="A43" s="2248"/>
      <c r="B43" s="2248"/>
      <c r="C43" s="2248"/>
      <c r="D43" s="2248"/>
      <c r="E43" s="2248"/>
      <c r="F43" s="2249"/>
      <c r="G43" s="2249"/>
      <c r="H43" s="2249"/>
      <c r="I43" s="2250"/>
    </row>
    <row r="44" spans="1:16" ht="17.399999999999999">
      <c r="A44" s="2251" t="s">
        <v>1823</v>
      </c>
      <c r="B44" s="2252"/>
      <c r="C44" s="2252"/>
      <c r="D44" s="2253"/>
      <c r="E44" s="2253"/>
      <c r="F44" s="2254"/>
      <c r="G44" s="2254"/>
      <c r="H44" s="2254"/>
      <c r="I44" s="2254"/>
      <c r="J44" s="2255" t="s">
        <v>1824</v>
      </c>
      <c r="K44" s="2256"/>
      <c r="L44" s="2256"/>
      <c r="M44" s="2256"/>
      <c r="N44" s="2256"/>
      <c r="O44" s="2256"/>
      <c r="P44" s="1844"/>
    </row>
    <row r="45" spans="1:16" ht="14.25" customHeight="1" thickBot="1">
      <c r="A45" s="2931" t="s">
        <v>1825</v>
      </c>
      <c r="B45" s="2932"/>
      <c r="C45" s="2933"/>
      <c r="D45" s="80">
        <f ca="1">ROUND(I102*F45,0)</f>
        <v>1458</v>
      </c>
      <c r="E45" s="81" t="s">
        <v>1826</v>
      </c>
      <c r="F45" s="82">
        <v>1</v>
      </c>
      <c r="G45" s="83" t="s">
        <v>1827</v>
      </c>
      <c r="H45" s="2195"/>
      <c r="I45" s="2195"/>
      <c r="J45" s="2843" t="s">
        <v>1828</v>
      </c>
      <c r="K45" s="2843"/>
      <c r="L45" s="2843"/>
      <c r="M45" s="2843"/>
      <c r="N45" s="2843"/>
      <c r="O45" s="2843"/>
      <c r="P45" s="1844"/>
    </row>
    <row r="46" spans="1:16" ht="14.25" customHeight="1">
      <c r="A46" s="2923" t="s">
        <v>1829</v>
      </c>
      <c r="B46" s="2924"/>
      <c r="C46" s="2924"/>
      <c r="D46" s="2924"/>
      <c r="E46" s="2924"/>
      <c r="F46" s="2924"/>
      <c r="G46" s="2925"/>
      <c r="H46" s="2257"/>
      <c r="I46" s="1143"/>
      <c r="J46" s="1882">
        <v>1</v>
      </c>
      <c r="K46" s="2843" t="s">
        <v>1830</v>
      </c>
      <c r="L46" s="2843"/>
      <c r="M46" s="2844" t="str">
        <f>项目基本情况!B1</f>
        <v>北京市房地产抵押价值预评估</v>
      </c>
      <c r="N46" s="2844"/>
      <c r="O46" s="2844"/>
      <c r="P46" s="1844"/>
    </row>
    <row r="47" spans="1:16" ht="12" customHeight="1">
      <c r="A47" s="85" t="s">
        <v>1831</v>
      </c>
      <c r="B47" s="86"/>
      <c r="C47" s="87"/>
      <c r="D47" s="88" t="s">
        <v>1832</v>
      </c>
      <c r="E47" s="14" t="s">
        <v>1833</v>
      </c>
      <c r="F47" s="89" t="s">
        <v>1834</v>
      </c>
      <c r="G47" s="90" t="s">
        <v>1835</v>
      </c>
      <c r="H47" s="2257"/>
      <c r="I47" s="1143"/>
      <c r="J47" s="1882">
        <v>2</v>
      </c>
      <c r="K47" s="2843" t="s">
        <v>1836</v>
      </c>
      <c r="L47" s="2843"/>
      <c r="M47" s="2845">
        <f>'数据-取费表'!B2</f>
        <v>43328</v>
      </c>
      <c r="N47" s="2845"/>
      <c r="O47" s="2845"/>
      <c r="P47" s="1844"/>
    </row>
    <row r="48" spans="1:16" ht="26.4">
      <c r="A48" s="2929" t="s">
        <v>1837</v>
      </c>
      <c r="B48" s="2930"/>
      <c r="C48" s="2930"/>
      <c r="D48" s="56">
        <f ca="1">IF(H48="情况1",0,IF(H48="情况2",D52,IF(H48="情况3",D53,IF(H48="情况4",D54))))</f>
        <v>78</v>
      </c>
      <c r="E48" s="1892" t="str">
        <f>IF(H48="情况4","(销售额-原购置价)×税（费）率","销售额×税（费）率")</f>
        <v>销售额×税（费）率</v>
      </c>
      <c r="F48" s="91">
        <f>IF(H48="情况1","免征",'数据-取费表'!E29)</f>
        <v>5.6000000000000001E-2</v>
      </c>
      <c r="G48" s="2258" t="s">
        <v>1838</v>
      </c>
      <c r="H48" s="2259" t="s">
        <v>1839</v>
      </c>
      <c r="I48" s="2257"/>
      <c r="J48" s="1882">
        <v>3</v>
      </c>
      <c r="K48" s="2843" t="s">
        <v>1840</v>
      </c>
      <c r="L48" s="2843"/>
      <c r="M48" s="2844">
        <f ca="1">I102</f>
        <v>1458</v>
      </c>
      <c r="N48" s="2844"/>
      <c r="O48" s="2844"/>
      <c r="P48" s="1844"/>
    </row>
    <row r="49" spans="1:16" ht="25.5" customHeight="1">
      <c r="A49" s="92" t="s">
        <v>1841</v>
      </c>
      <c r="B49" s="2910" t="s">
        <v>1842</v>
      </c>
      <c r="C49" s="2910"/>
      <c r="D49" s="93">
        <v>0</v>
      </c>
      <c r="E49" s="13" t="s">
        <v>1843</v>
      </c>
      <c r="F49" s="18" t="s">
        <v>48</v>
      </c>
      <c r="G49" s="2834"/>
      <c r="H49" s="2195"/>
      <c r="I49" s="2260"/>
      <c r="J49" s="1882">
        <v>4</v>
      </c>
      <c r="K49" s="2843" t="str">
        <f>IF(项目基本情况!F5="房地产抵押价值","房地产抵押价值","抵押担保权已注销时的房地产抵押价值")</f>
        <v>抵押担保权已注销时的房地产抵押价值</v>
      </c>
      <c r="L49" s="2843"/>
      <c r="M49" s="2844">
        <f ca="1">IF(项目基本情况!F5="房地产抵押价值",I110,I112)</f>
        <v>1458</v>
      </c>
      <c r="N49" s="2844"/>
      <c r="O49" s="2844"/>
      <c r="P49" s="1844"/>
    </row>
    <row r="50" spans="1:16" ht="25.5" customHeight="1">
      <c r="A50" s="94"/>
      <c r="B50" s="2910" t="s">
        <v>1844</v>
      </c>
      <c r="C50" s="2910"/>
      <c r="D50" s="95"/>
      <c r="E50" s="21"/>
      <c r="F50" s="96"/>
      <c r="G50" s="2835"/>
      <c r="H50" s="2195"/>
      <c r="I50" s="2260"/>
      <c r="J50" s="2843" t="s">
        <v>1845</v>
      </c>
      <c r="K50" s="2843"/>
      <c r="L50" s="2843"/>
      <c r="M50" s="2843"/>
      <c r="N50" s="2843"/>
      <c r="O50" s="2843"/>
      <c r="P50" s="1844"/>
    </row>
    <row r="51" spans="1:16" ht="12" customHeight="1">
      <c r="A51" s="97"/>
      <c r="B51" s="2910" t="s">
        <v>1846</v>
      </c>
      <c r="C51" s="2910"/>
      <c r="D51" s="98"/>
      <c r="E51" s="20"/>
      <c r="F51" s="96"/>
      <c r="G51" s="2836"/>
      <c r="H51" s="2195"/>
      <c r="I51" s="2260"/>
      <c r="J51" s="2261" t="s">
        <v>1847</v>
      </c>
      <c r="K51" s="2843" t="s">
        <v>1848</v>
      </c>
      <c r="L51" s="2843"/>
      <c r="M51" s="2261" t="s">
        <v>1849</v>
      </c>
      <c r="N51" s="2261" t="s">
        <v>1850</v>
      </c>
      <c r="O51" s="2261" t="s">
        <v>1851</v>
      </c>
      <c r="P51" s="1844"/>
    </row>
    <row r="52" spans="1:16" ht="24" customHeight="1">
      <c r="A52" s="99" t="s">
        <v>1852</v>
      </c>
      <c r="B52" s="2910" t="s">
        <v>1853</v>
      </c>
      <c r="C52" s="2910"/>
      <c r="D52" s="98">
        <f ca="1">ROUND(D45*'数据-取费表'!E29/(1+'数据-取费表'!F30),0)</f>
        <v>78</v>
      </c>
      <c r="E52" s="10" t="s">
        <v>1854</v>
      </c>
      <c r="F52" s="100">
        <f>'数据-取费表'!E29</f>
        <v>5.6000000000000001E-2</v>
      </c>
      <c r="G52" s="2262"/>
      <c r="H52" s="2195"/>
      <c r="I52" s="2260"/>
      <c r="J52" s="1882">
        <v>1</v>
      </c>
      <c r="K52" s="2833" t="s">
        <v>1855</v>
      </c>
      <c r="L52" s="2833"/>
      <c r="M52" s="777">
        <f ca="1">D48</f>
        <v>78</v>
      </c>
      <c r="N52" s="1882" t="str">
        <f>E48</f>
        <v>销售额×税（费）率</v>
      </c>
      <c r="O52" s="778">
        <f>F48</f>
        <v>5.6000000000000001E-2</v>
      </c>
      <c r="P52" s="1844"/>
    </row>
    <row r="53" spans="1:16" ht="12" customHeight="1">
      <c r="A53" s="99" t="s">
        <v>1856</v>
      </c>
      <c r="B53" s="2909" t="s">
        <v>1857</v>
      </c>
      <c r="C53" s="2803"/>
      <c r="D53" s="98">
        <f ca="1">ROUND(D45*'数据-取费表'!E29/(1+'数据-取费表'!F30),0)</f>
        <v>78</v>
      </c>
      <c r="E53" s="10" t="s">
        <v>1854</v>
      </c>
      <c r="F53" s="100">
        <f>'数据-取费表'!E29</f>
        <v>5.6000000000000001E-2</v>
      </c>
      <c r="G53" s="2262"/>
      <c r="H53" s="2195"/>
      <c r="I53" s="2260"/>
      <c r="J53" s="1882">
        <v>2</v>
      </c>
      <c r="K53" s="2833" t="s">
        <v>1858</v>
      </c>
      <c r="L53" s="2833"/>
      <c r="M53" s="777">
        <f t="shared" ref="M53:O54" ca="1" si="1">D55</f>
        <v>1</v>
      </c>
      <c r="N53" s="1882" t="str">
        <f t="shared" si="1"/>
        <v>销售额×税（费）率</v>
      </c>
      <c r="O53" s="778">
        <f t="shared" si="1"/>
        <v>5.0000000000000001E-4</v>
      </c>
      <c r="P53" s="1844"/>
    </row>
    <row r="54" spans="1:16" ht="12" customHeight="1">
      <c r="A54" s="99" t="s">
        <v>1859</v>
      </c>
      <c r="B54" s="2909" t="s">
        <v>1860</v>
      </c>
      <c r="C54" s="2803"/>
      <c r="D54" s="98">
        <f ca="1">C68</f>
        <v>78</v>
      </c>
      <c r="E54" s="20" t="s">
        <v>1861</v>
      </c>
      <c r="F54" s="100">
        <f>'数据-取费表'!E29</f>
        <v>5.6000000000000001E-2</v>
      </c>
      <c r="G54" s="2262"/>
      <c r="H54" s="2263"/>
      <c r="I54" s="2260"/>
      <c r="J54" s="1882">
        <v>3</v>
      </c>
      <c r="K54" s="2833" t="s">
        <v>1862</v>
      </c>
      <c r="L54" s="2833"/>
      <c r="M54" s="777">
        <f t="shared" ca="1" si="1"/>
        <v>826</v>
      </c>
      <c r="N54" s="1882" t="str">
        <f t="shared" si="1"/>
        <v>增值额×税（费）率</v>
      </c>
      <c r="O54" s="779" t="str">
        <f t="shared" si="1"/>
        <v>——</v>
      </c>
      <c r="P54" s="1844"/>
    </row>
    <row r="55" spans="1:16" ht="24" customHeight="1">
      <c r="A55" s="2795" t="s">
        <v>1863</v>
      </c>
      <c r="B55" s="2930"/>
      <c r="C55" s="2930"/>
      <c r="D55" s="101">
        <f ca="1">IF(H55="个人住宅",0,ROUND(D45*I55,0))</f>
        <v>1</v>
      </c>
      <c r="E55" s="10" t="s">
        <v>1864</v>
      </c>
      <c r="F55" s="100">
        <f>IF(H55="正常",I55,"免征")</f>
        <v>5.0000000000000001E-4</v>
      </c>
      <c r="G55" s="2262"/>
      <c r="H55" s="2259" t="s">
        <v>1865</v>
      </c>
      <c r="I55" s="102">
        <f>'数据-取费表'!E37</f>
        <v>5.0000000000000001E-4</v>
      </c>
      <c r="J55" s="1882">
        <f>IF(H59="非个人房产","",4)</f>
        <v>4</v>
      </c>
      <c r="K55" s="2833" t="str">
        <f>IF(H59="非个人房产","——","个人所得税")</f>
        <v>个人所得税</v>
      </c>
      <c r="L55" s="2833"/>
      <c r="M55" s="780">
        <f ca="1">D59</f>
        <v>15</v>
      </c>
      <c r="N55" s="1885" t="str">
        <f>E59</f>
        <v>销售额×税（费）率</v>
      </c>
      <c r="O55" s="781">
        <f>F59</f>
        <v>0.01</v>
      </c>
      <c r="P55" s="1844"/>
    </row>
    <row r="56" spans="1:16" ht="25.2">
      <c r="A56" s="2795" t="s">
        <v>1866</v>
      </c>
      <c r="B56" s="2930"/>
      <c r="C56" s="2930"/>
      <c r="D56" s="101">
        <f ca="1">IF(H56="个人住宅",D57,D58)</f>
        <v>826</v>
      </c>
      <c r="E56" s="10" t="s">
        <v>1867</v>
      </c>
      <c r="F56" s="100" t="str">
        <f>IF(H56="正常",F58,"免征")</f>
        <v>——</v>
      </c>
      <c r="G56" s="2264" t="s">
        <v>1868</v>
      </c>
      <c r="H56" s="2265" t="s">
        <v>1865</v>
      </c>
      <c r="I56" s="1021"/>
      <c r="J56" s="1882" t="str">
        <f>IF(项目基本情况!I6="上海银行",IF(J55="",4,J55+1),"")</f>
        <v/>
      </c>
      <c r="K56" s="2850" t="str">
        <f>IF(项目基本情况!I6="上海银行","其他处置费用","")</f>
        <v/>
      </c>
      <c r="L56" s="2851"/>
      <c r="M56" s="777" t="str">
        <f>IF(项目基本情况!I6="上海银行",M69,"")</f>
        <v/>
      </c>
      <c r="N56" s="2831" t="str">
        <f>IF(项目基本情况!I6="上海银行","包含处置中涉及的律师、诉讼、拍卖、评估等费用","")</f>
        <v/>
      </c>
      <c r="O56" s="2832"/>
      <c r="P56" s="1844"/>
    </row>
    <row r="57" spans="1:16" ht="13.2">
      <c r="A57" s="99" t="s">
        <v>1841</v>
      </c>
      <c r="B57" s="2918" t="s">
        <v>1869</v>
      </c>
      <c r="C57" s="2920"/>
      <c r="D57" s="103">
        <v>0</v>
      </c>
      <c r="E57" s="13" t="s">
        <v>1843</v>
      </c>
      <c r="F57" s="70"/>
      <c r="G57" s="2262"/>
      <c r="H57" s="1021"/>
      <c r="I57" s="1021"/>
      <c r="J57" s="2833">
        <f>IF(AND(J55="",J56=""),4,IF(项目基本情况!I6="上海银行",J56+1,J55+1))</f>
        <v>5</v>
      </c>
      <c r="K57" s="2833" t="s">
        <v>1870</v>
      </c>
      <c r="L57" s="2266" t="s">
        <v>1871</v>
      </c>
      <c r="M57" s="782"/>
      <c r="N57" s="783">
        <f ca="1">SUMIF(M52:M56,"&lt;9e307")</f>
        <v>920</v>
      </c>
      <c r="O57" s="2267"/>
      <c r="P57" s="1840">
        <f ca="1">N57/M49</f>
        <v>0.63100137174211246</v>
      </c>
    </row>
    <row r="58" spans="1:16" ht="25.2">
      <c r="A58" s="99" t="s">
        <v>1852</v>
      </c>
      <c r="B58" s="2918" t="s">
        <v>1872</v>
      </c>
      <c r="C58" s="2919"/>
      <c r="D58" s="101">
        <f ca="1">IF(H58="转让取得",C81,C97)</f>
        <v>826</v>
      </c>
      <c r="E58" s="10" t="s">
        <v>1867</v>
      </c>
      <c r="F58" s="14" t="s">
        <v>48</v>
      </c>
      <c r="G58" s="2262"/>
      <c r="H58" s="2265" t="s">
        <v>1873</v>
      </c>
      <c r="I58" s="1021"/>
      <c r="J58" s="2833"/>
      <c r="K58" s="2833"/>
      <c r="L58" s="2266" t="s">
        <v>1874</v>
      </c>
      <c r="M58" s="784"/>
      <c r="N58" s="2268" t="str">
        <f ca="1">IF(H19="元",NUMBERSTRING(INT(N57),2)&amp;"元整",NUMBERSTRING(INT(N57*10000),2)&amp;"元整")</f>
        <v>玖佰贰拾万元整</v>
      </c>
      <c r="O58" s="2269"/>
      <c r="P58" s="1844"/>
    </row>
    <row r="59" spans="1:16" ht="27" thickBot="1">
      <c r="A59" s="2796" t="s">
        <v>1875</v>
      </c>
      <c r="B59" s="2799"/>
      <c r="C59" s="2799"/>
      <c r="D59" s="104">
        <f ca="1">IF(H59="非个人房产","——",IF(H59="个人住宅",0,ROUND(D45*I59,0)))</f>
        <v>15</v>
      </c>
      <c r="E59" s="105" t="str">
        <f>IF(H59="非个人房产","——","销售额×税（费）率")</f>
        <v>销售额×税（费）率</v>
      </c>
      <c r="F59" s="106">
        <f>IF(H59="非个人房产","——",IF(H59="个人住宅","免征",I59))</f>
        <v>0.01</v>
      </c>
      <c r="G59" s="2270" t="s">
        <v>1868</v>
      </c>
      <c r="H59" s="2265" t="s">
        <v>1876</v>
      </c>
      <c r="I59" s="107">
        <v>0.01</v>
      </c>
      <c r="J59" s="2887">
        <f>J57+1</f>
        <v>6</v>
      </c>
      <c r="K59" s="2833" t="s">
        <v>1877</v>
      </c>
      <c r="L59" s="1882" t="s">
        <v>1871</v>
      </c>
      <c r="M59" s="785"/>
      <c r="N59" s="786">
        <f ca="1">M49-N57</f>
        <v>538</v>
      </c>
      <c r="O59" s="2271"/>
      <c r="P59" s="1844"/>
    </row>
    <row r="60" spans="1:16" ht="12" customHeight="1">
      <c r="A60" s="2066"/>
      <c r="B60" s="2195"/>
      <c r="C60" s="2195"/>
      <c r="D60" s="2195"/>
      <c r="E60" s="1021"/>
      <c r="F60" s="1021"/>
      <c r="G60" s="1021"/>
      <c r="H60" s="2248"/>
      <c r="I60" s="2195"/>
      <c r="J60" s="2888"/>
      <c r="K60" s="2833"/>
      <c r="L60" s="2266" t="s">
        <v>1874</v>
      </c>
      <c r="M60" s="784"/>
      <c r="N60" s="2268" t="str">
        <f ca="1">IF(H19="元",NUMBERSTRING(INT(N59),2)&amp;"元整",NUMBERSTRING(INT(N59*10000),2)&amp;"元整")</f>
        <v>伍佰叁拾捌万元整</v>
      </c>
      <c r="O60" s="2269"/>
      <c r="P60" s="1844"/>
    </row>
    <row r="61" spans="1:16" ht="13.8" thickBot="1">
      <c r="A61" s="2934" t="s">
        <v>1878</v>
      </c>
      <c r="B61" s="2934"/>
      <c r="C61" s="2934"/>
      <c r="D61" s="2934"/>
      <c r="E61" s="2934"/>
      <c r="F61" s="1021"/>
      <c r="G61" s="1021"/>
      <c r="H61" s="2248"/>
      <c r="I61" s="2195"/>
      <c r="J61" s="1882">
        <f>J59+1</f>
        <v>7</v>
      </c>
      <c r="K61" s="2833" t="s">
        <v>1879</v>
      </c>
      <c r="L61" s="2833"/>
      <c r="M61" s="787"/>
      <c r="N61" s="788">
        <f ca="1">IF(H19="元",ROUND(N59/项目基本情况!C12,0),ROUND(N59*10000/项目基本情况!C12,0))</f>
        <v>12671</v>
      </c>
      <c r="O61" s="2272"/>
      <c r="P61" s="1844"/>
    </row>
    <row r="62" spans="1:16" ht="13.2">
      <c r="A62" s="2871" t="s">
        <v>1880</v>
      </c>
      <c r="B62" s="2872"/>
      <c r="C62" s="1884"/>
      <c r="D62" s="1884" t="s">
        <v>1881</v>
      </c>
      <c r="E62" s="108" t="s">
        <v>1882</v>
      </c>
      <c r="F62" s="1021"/>
      <c r="G62" s="1021"/>
      <c r="H62" s="2248"/>
      <c r="I62" s="2195"/>
      <c r="J62" s="1844"/>
      <c r="K62" s="1844"/>
      <c r="L62" s="1844"/>
      <c r="M62" s="1844"/>
      <c r="N62" s="1844"/>
      <c r="O62" s="1844"/>
      <c r="P62" s="1844"/>
    </row>
    <row r="63" spans="1:16" ht="13.2">
      <c r="A63" s="109">
        <v>1</v>
      </c>
      <c r="B63" s="110" t="s">
        <v>1883</v>
      </c>
      <c r="C63" s="111">
        <f ca="1">ROUND((C64+C65)/(1+'数据-取费表'!F30),0)</f>
        <v>1389</v>
      </c>
      <c r="D63" s="112"/>
      <c r="E63" s="113"/>
      <c r="F63" s="1021"/>
      <c r="G63" s="1021"/>
      <c r="H63" s="2248"/>
      <c r="I63" s="2195"/>
      <c r="J63" s="2852" t="s">
        <v>1884</v>
      </c>
      <c r="K63" s="2273" t="s">
        <v>1885</v>
      </c>
      <c r="L63" s="1843">
        <f ca="1">IF(M49&gt;10000,M49*0.5%,IF(AND(M49&gt;1000,M49&lt;=10000),M49*1%,IF(AND(M49&gt;100,M49&lt;=1000),M49*3%,IF(AND(M49&gt;10,M49&lt;=100),M49*5%,M49*8%))))</f>
        <v>14.58</v>
      </c>
      <c r="M63" s="14">
        <f ca="1">ROUND(L63,1)</f>
        <v>14.6</v>
      </c>
      <c r="N63" s="1844"/>
      <c r="O63" s="1844"/>
      <c r="P63" s="1844"/>
    </row>
    <row r="64" spans="1:16" ht="13.2">
      <c r="A64" s="114" t="s">
        <v>71</v>
      </c>
      <c r="B64" s="115" t="s">
        <v>1886</v>
      </c>
      <c r="C64" s="116">
        <f ca="1">D45</f>
        <v>1458</v>
      </c>
      <c r="D64" s="117" t="s">
        <v>41</v>
      </c>
      <c r="E64" s="118"/>
      <c r="F64" s="1021"/>
      <c r="G64" s="1021"/>
      <c r="H64" s="2248"/>
      <c r="I64" s="2195"/>
      <c r="J64" s="2852"/>
      <c r="K64" s="2273" t="s">
        <v>1887</v>
      </c>
      <c r="L64" s="1843">
        <f ca="1">IF(M49&gt;2000,M49*0.5%,IF(AND(M49&gt;1000,M49&lt;=2000),M49*0.6%,IF(AND(M49&gt;500,M49&lt;=1000),M49*0.7%,IF(AND(M49&gt;200,M49&lt;=500),M49*0.8%,IF(AND(M49&gt;100,M49&lt;=200),M49*0.9%,IF(AND(M49&gt;50,M49&lt;=100),M49*1%,IF(AND(M49&gt;20,M49&lt;=50),M49*1.5%,IF(AND(M49&gt;10,M49&lt;=20),M49*2%,IF(AND(M49&gt;1,M49&lt;=10),M49*2.5%)))))))))</f>
        <v>8.7479999999999993</v>
      </c>
      <c r="M64" s="14">
        <f t="shared" ref="M64:M65" ca="1" si="2">ROUND(L64,1)</f>
        <v>8.6999999999999993</v>
      </c>
      <c r="N64" s="1844" t="s">
        <v>1888</v>
      </c>
      <c r="O64" s="1844"/>
      <c r="P64" s="1844"/>
    </row>
    <row r="65" spans="1:35" ht="13.2">
      <c r="A65" s="114" t="s">
        <v>72</v>
      </c>
      <c r="B65" s="115" t="s">
        <v>1889</v>
      </c>
      <c r="C65" s="119"/>
      <c r="D65" s="117"/>
      <c r="E65" s="118"/>
      <c r="F65" s="1021"/>
      <c r="G65" s="1021"/>
      <c r="H65" s="2248"/>
      <c r="I65" s="2195"/>
      <c r="J65" s="2852"/>
      <c r="K65" s="2273" t="s">
        <v>1890</v>
      </c>
      <c r="L65" s="1843">
        <f ca="1">IF(M49&gt;1000,M49*0.1%,IF(AND(M49&gt;500,M49&lt;=1000),M49*0.5%,IF(AND(M49&gt;50,M49&lt;=500),M49*1%,IF(AND(M49&gt;1,M49&lt;=50),M49*1.5%))))</f>
        <v>1.458</v>
      </c>
      <c r="M65" s="14">
        <f t="shared" ca="1" si="2"/>
        <v>1.5</v>
      </c>
      <c r="N65" s="1844" t="s">
        <v>1888</v>
      </c>
      <c r="O65" s="1844"/>
      <c r="P65" s="1844"/>
    </row>
    <row r="66" spans="1:35" ht="25.2">
      <c r="A66" s="120" t="s">
        <v>47</v>
      </c>
      <c r="B66" s="121" t="s">
        <v>1891</v>
      </c>
      <c r="C66" s="122"/>
      <c r="D66" s="123" t="s">
        <v>41</v>
      </c>
      <c r="E66" s="1860" t="s">
        <v>1892</v>
      </c>
      <c r="F66" s="1021"/>
      <c r="G66" s="1021"/>
      <c r="H66" s="2248"/>
      <c r="I66" s="2195"/>
      <c r="J66" s="2852"/>
      <c r="K66" s="2273" t="s">
        <v>1893</v>
      </c>
      <c r="L66" s="1843">
        <f ca="1">M49*0.5%</f>
        <v>7.29</v>
      </c>
      <c r="M66" s="14">
        <f ca="1">IF(L66&gt;0.5,0.5,ROUND(L66,0))</f>
        <v>0.5</v>
      </c>
      <c r="N66" s="1844" t="s">
        <v>1894</v>
      </c>
      <c r="O66" s="1844"/>
      <c r="P66" s="1844"/>
    </row>
    <row r="67" spans="1:35" ht="13.2">
      <c r="A67" s="120" t="s">
        <v>42</v>
      </c>
      <c r="B67" s="121" t="s">
        <v>1895</v>
      </c>
      <c r="C67" s="124">
        <f ca="1">C63-C66</f>
        <v>1389</v>
      </c>
      <c r="D67" s="117" t="s">
        <v>41</v>
      </c>
      <c r="E67" s="118"/>
      <c r="F67" s="1021"/>
      <c r="G67" s="1021"/>
      <c r="H67" s="2248"/>
      <c r="I67" s="2195"/>
      <c r="J67" s="2852"/>
      <c r="K67" s="2273" t="s">
        <v>1896</v>
      </c>
      <c r="L67" s="1843">
        <f ca="1">IF(M49&gt;=10000,(8.25+(M49-10000)*0.01%),IF(AND(M49&gt;=8000,M49&lt;10000),(7.85+(M49-8000)*0.02%),IF(AND(M49&gt;=5000,M49&lt;8000),(6.65+(M49-5000)*0.04%),IF(AND(M49&gt;=2000,M49&lt;5000),(4.25+(PM49-2000)*0.08%),IF(AND(M49&gt;=1000,M49&lt;2000),(2.75+(M49-1000)*0.15%),IF(AND(M49&gt;=100,M49&lt;1000),(0.5+(M49-100)*0.25%),IF(AND(M49&gt;0,M49&lt;100),M49*0.5%)))))))</f>
        <v>3.4370000000000003</v>
      </c>
      <c r="M67" s="14">
        <f ca="1">ROUND(L67*0.9,1)</f>
        <v>3.1</v>
      </c>
      <c r="N67" s="1844"/>
      <c r="O67" s="1844"/>
      <c r="P67" s="1844"/>
    </row>
    <row r="68" spans="1:35" ht="13.8" thickBot="1">
      <c r="A68" s="125" t="s">
        <v>46</v>
      </c>
      <c r="B68" s="126" t="s">
        <v>1897</v>
      </c>
      <c r="C68" s="127">
        <f ca="1">IF(C67&lt;=0,0,ROUND(C67*D68,0))</f>
        <v>78</v>
      </c>
      <c r="D68" s="128">
        <f>'数据-取费表'!E29</f>
        <v>5.6000000000000001E-2</v>
      </c>
      <c r="E68" s="129"/>
      <c r="F68" s="1021"/>
      <c r="G68" s="1021"/>
      <c r="H68" s="2248"/>
      <c r="I68" s="2195"/>
      <c r="J68" s="2852"/>
      <c r="K68" s="2273" t="s">
        <v>1898</v>
      </c>
      <c r="L68" s="1843">
        <f ca="1">IF(M49&gt;10000,M49*0.5%,IF(AND(M49&gt;5000,M49&lt;=10000),M49*1%,IF(AND(M49&gt;1000,M49&lt;=5000),M49*2%,IF(AND(M49&gt;200,M49&lt;=1000),M49*3%,M49*5%))))</f>
        <v>29.16</v>
      </c>
      <c r="M68" s="14">
        <f ca="1">ROUND(L68,1)</f>
        <v>29.2</v>
      </c>
      <c r="N68" s="1844"/>
      <c r="O68" s="1844"/>
      <c r="P68" s="1844"/>
    </row>
    <row r="69" spans="1:35" s="2222" customFormat="1" ht="7.5" customHeight="1">
      <c r="A69" s="2274"/>
      <c r="B69" s="2275"/>
      <c r="C69" s="2276"/>
      <c r="D69" s="2277"/>
      <c r="E69" s="2278"/>
      <c r="F69" s="1021"/>
      <c r="G69" s="1021"/>
      <c r="H69" s="2248"/>
      <c r="I69" s="2195"/>
      <c r="J69" s="2852"/>
      <c r="K69" s="2273" t="s">
        <v>1899</v>
      </c>
      <c r="L69" s="2279"/>
      <c r="M69" s="14">
        <f ca="1">ROUND(SUM(M63:M68),0)</f>
        <v>58</v>
      </c>
      <c r="N69" s="1840">
        <f ca="1">M69/M49</f>
        <v>3.9780521262002745E-2</v>
      </c>
      <c r="O69" s="1844"/>
      <c r="P69" s="1844"/>
      <c r="Q69" s="797"/>
      <c r="R69" s="797"/>
      <c r="S69" s="797"/>
      <c r="T69" s="797"/>
      <c r="U69" s="797"/>
      <c r="V69" s="797"/>
      <c r="W69" s="797"/>
      <c r="X69" s="797"/>
      <c r="Y69" s="797"/>
      <c r="Z69" s="797"/>
      <c r="AA69" s="1844"/>
      <c r="AB69" s="1844"/>
      <c r="AC69" s="1844"/>
      <c r="AD69" s="1844"/>
      <c r="AE69" s="1844"/>
      <c r="AF69" s="1844"/>
      <c r="AG69" s="1844"/>
      <c r="AH69" s="1844"/>
      <c r="AI69" s="1844"/>
    </row>
    <row r="70" spans="1:35" s="2281" customFormat="1" ht="14.4" thickBot="1">
      <c r="A70" s="2873" t="s">
        <v>1900</v>
      </c>
      <c r="B70" s="2874"/>
      <c r="C70" s="2874"/>
      <c r="D70" s="2874"/>
      <c r="E70" s="2874"/>
      <c r="F70" s="2874"/>
      <c r="G70" s="2874"/>
      <c r="H70" s="2874"/>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3.8">
      <c r="A71" s="2871" t="s">
        <v>1880</v>
      </c>
      <c r="B71" s="2872"/>
      <c r="C71" s="1884"/>
      <c r="D71" s="1884" t="s">
        <v>1881</v>
      </c>
      <c r="E71" s="130" t="s">
        <v>1882</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3.8">
      <c r="A72" s="133">
        <v>1</v>
      </c>
      <c r="B72" s="121" t="s">
        <v>1901</v>
      </c>
      <c r="C72" s="124">
        <f ca="1">ROUND(D45/(1+'数据-取费表'!F30),0)</f>
        <v>1389</v>
      </c>
      <c r="D72" s="117" t="s">
        <v>41</v>
      </c>
      <c r="E72" s="12" t="s">
        <v>1902</v>
      </c>
      <c r="F72" s="1888"/>
      <c r="G72" s="1888"/>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3.8">
      <c r="A73" s="135">
        <v>2</v>
      </c>
      <c r="B73" s="89" t="s">
        <v>1903</v>
      </c>
      <c r="C73" s="124">
        <f ca="1">C74+C78</f>
        <v>8</v>
      </c>
      <c r="D73" s="117" t="s">
        <v>41</v>
      </c>
      <c r="E73" s="1887"/>
      <c r="F73" s="1888"/>
      <c r="G73" s="1888"/>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1904</v>
      </c>
      <c r="C74" s="117">
        <f>ROUND(IF(G77="2016年5月1日后购买",C75/(1+'数据-取费表'!F30)+C76+C77,C75+C76+C77),0)</f>
        <v>0</v>
      </c>
      <c r="D74" s="117" t="s">
        <v>41</v>
      </c>
      <c r="E74" s="1887"/>
      <c r="F74" s="1888"/>
      <c r="G74" s="1888"/>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28.8">
      <c r="A75" s="136" t="s">
        <v>74</v>
      </c>
      <c r="B75" s="115" t="s">
        <v>1905</v>
      </c>
      <c r="C75" s="137"/>
      <c r="D75" s="117" t="s">
        <v>41</v>
      </c>
      <c r="E75" s="138" t="s">
        <v>1906</v>
      </c>
      <c r="F75" s="2284" t="s">
        <v>1907</v>
      </c>
      <c r="G75" s="138" t="s">
        <v>1908</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1909</v>
      </c>
      <c r="C76" s="117">
        <f>IF(F75="购房发票",ROUND(C75*H75*D76,0),0)</f>
        <v>0</v>
      </c>
      <c r="D76" s="141">
        <v>0.05</v>
      </c>
      <c r="E76" s="2909" t="s">
        <v>1910</v>
      </c>
      <c r="F76" s="2910"/>
      <c r="G76" s="2910"/>
      <c r="H76" s="2911"/>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5" t="s">
        <v>1913</v>
      </c>
      <c r="H77" s="1889"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1914</v>
      </c>
      <c r="C78" s="144">
        <f ca="1">ROUND(D45*D78/(1+'数据-取费表'!F30),0)</f>
        <v>8</v>
      </c>
      <c r="D78" s="145">
        <f>'数据-取费表'!E31</f>
        <v>6.000000000000001E-3</v>
      </c>
      <c r="E78" s="2840" t="s">
        <v>1915</v>
      </c>
      <c r="F78" s="2841"/>
      <c r="G78" s="2841"/>
      <c r="H78" s="2861"/>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3.8">
      <c r="A79" s="146" t="s">
        <v>42</v>
      </c>
      <c r="B79" s="121" t="s">
        <v>1916</v>
      </c>
      <c r="C79" s="124">
        <f ca="1">C72-C73</f>
        <v>1381</v>
      </c>
      <c r="D79" s="117" t="s">
        <v>41</v>
      </c>
      <c r="E79" s="1887"/>
      <c r="F79" s="1888"/>
      <c r="G79" s="1888"/>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1917</v>
      </c>
      <c r="C80" s="147">
        <f ca="1">IF(C79&lt;=0,0,C79/C73)</f>
        <v>172.625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6" thickBot="1">
      <c r="A81" s="148" t="s">
        <v>44</v>
      </c>
      <c r="B81" s="126" t="s">
        <v>1918</v>
      </c>
      <c r="C81" s="149">
        <f ca="1">ROUND(IF(C79&lt;=0,0,IF(C80&gt;=200%,C79*60%-C73*35%,IF(C80&gt;=100%,C79*50%-C73*15%,IF(C80&gt;=50%,C79*40%-C73*5%,IF(C80&lt;50%,C79*30%,0))))),0)</f>
        <v>826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6"/>
      <c r="B82" s="717"/>
      <c r="C82" s="9"/>
      <c r="D82" s="9"/>
      <c r="E82" s="717"/>
      <c r="F82" s="717"/>
      <c r="G82" s="717"/>
      <c r="H82" s="718"/>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4.4" thickBot="1">
      <c r="A83" s="2873" t="s">
        <v>1919</v>
      </c>
      <c r="B83" s="2874"/>
      <c r="C83" s="2874"/>
      <c r="D83" s="2874"/>
      <c r="E83" s="2874"/>
      <c r="F83" s="2874"/>
      <c r="G83" s="2874"/>
      <c r="H83" s="2874"/>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3.8">
      <c r="A84" s="2871" t="s">
        <v>1880</v>
      </c>
      <c r="B84" s="2872"/>
      <c r="C84" s="1884"/>
      <c r="D84" s="1884" t="s">
        <v>1881</v>
      </c>
      <c r="E84" s="130" t="s">
        <v>1882</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1901</v>
      </c>
      <c r="C85" s="124">
        <f ca="1">ROUND(D45/(1+'数据-取费表'!F30),0)</f>
        <v>1389</v>
      </c>
      <c r="D85" s="117" t="s">
        <v>41</v>
      </c>
      <c r="E85" s="1887" t="s">
        <v>1902</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3.8">
      <c r="A86" s="135">
        <v>2</v>
      </c>
      <c r="B86" s="89" t="s">
        <v>1903</v>
      </c>
      <c r="C86" s="124">
        <f ca="1">IF(H88="仅含出让金",C87+C90+C91+C92+C93+C94,C87+C91+C92+C93+C94)</f>
        <v>8</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3.8">
      <c r="A87" s="136" t="s">
        <v>73</v>
      </c>
      <c r="B87" s="115" t="s">
        <v>1920</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3.8">
      <c r="A88" s="136" t="s">
        <v>74</v>
      </c>
      <c r="B88" s="115" t="s">
        <v>1921</v>
      </c>
      <c r="C88" s="157"/>
      <c r="D88" s="145"/>
      <c r="E88" s="158" t="s">
        <v>1922</v>
      </c>
      <c r="F88" s="1881"/>
      <c r="G88" s="159" t="s">
        <v>1923</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3.8">
      <c r="A89" s="136" t="s">
        <v>75</v>
      </c>
      <c r="B89" s="115" t="s">
        <v>1911</v>
      </c>
      <c r="C89" s="144">
        <f>ROUND(C88*D89,0)</f>
        <v>0</v>
      </c>
      <c r="D89" s="145">
        <f>'数据-取费表'!E36+'数据-取费表'!E37</f>
        <v>3.0499999999999999E-2</v>
      </c>
      <c r="E89" s="158" t="s">
        <v>1924</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3.8">
      <c r="A90" s="136" t="s">
        <v>77</v>
      </c>
      <c r="B90" s="115" t="s">
        <v>1925</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1926</v>
      </c>
      <c r="C91" s="144">
        <f>IF(H91="——",成本法!C33,I91)</f>
        <v>0</v>
      </c>
      <c r="D91" s="145"/>
      <c r="E91" s="2840" t="s">
        <v>1927</v>
      </c>
      <c r="F91" s="2841"/>
      <c r="G91" s="2841"/>
      <c r="H91" s="2288" t="s">
        <v>1928</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1929</v>
      </c>
      <c r="C92" s="144">
        <f>ROUND((C87+C90+C91)*D92,0)</f>
        <v>0</v>
      </c>
      <c r="D92" s="145">
        <v>0.1</v>
      </c>
      <c r="E92" s="2840" t="s">
        <v>1930</v>
      </c>
      <c r="F92" s="2841"/>
      <c r="G92" s="2841"/>
      <c r="H92" s="2861"/>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1914</v>
      </c>
      <c r="C93" s="144">
        <f ca="1">ROUND(D45*D93/(1+'数据-取费表'!F30),0)</f>
        <v>8</v>
      </c>
      <c r="D93" s="145">
        <f>'数据-取费表'!E31</f>
        <v>6.000000000000001E-3</v>
      </c>
      <c r="E93" s="2840" t="s">
        <v>1915</v>
      </c>
      <c r="F93" s="2841"/>
      <c r="G93" s="2841"/>
      <c r="H93" s="2861"/>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1931</v>
      </c>
      <c r="C94" s="144">
        <f>ROUND((C87+C90+C91)*D94,0)</f>
        <v>0</v>
      </c>
      <c r="D94" s="145">
        <v>0.2</v>
      </c>
      <c r="E94" s="2840" t="s">
        <v>1932</v>
      </c>
      <c r="F94" s="2841"/>
      <c r="G94" s="2841"/>
      <c r="H94" s="2861"/>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3.8">
      <c r="A95" s="146" t="s">
        <v>42</v>
      </c>
      <c r="B95" s="121" t="s">
        <v>1916</v>
      </c>
      <c r="C95" s="124">
        <f ca="1">ROUND(C85-C86,0)</f>
        <v>1381</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1917</v>
      </c>
      <c r="C96" s="147">
        <f ca="1">IF(C95&lt;=0,0,C95/C86)</f>
        <v>172.625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6" thickBot="1">
      <c r="A97" s="148" t="s">
        <v>44</v>
      </c>
      <c r="B97" s="126" t="s">
        <v>1918</v>
      </c>
      <c r="C97" s="149">
        <f ca="1">ROUND(IF(C95&lt;=0,0,IF(C96&gt;=200%,C95*60%-C86*35%,IF(C96&gt;=100%,C95*50%-C86*15%,IF(C96&gt;=50%,C95*40%-C86*5%,IF(C96&lt;50%,C95*30%,0))))),0)</f>
        <v>826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1933</v>
      </c>
      <c r="B98" s="2195"/>
      <c r="C98" s="2195"/>
      <c r="D98" s="2195"/>
      <c r="E98" s="1021"/>
      <c r="F98" s="1021"/>
      <c r="G98" s="1021"/>
      <c r="H98" s="2248"/>
      <c r="I98" s="2195"/>
    </row>
    <row r="99" spans="1:35" ht="15.6">
      <c r="A99" s="2858" t="s">
        <v>1934</v>
      </c>
      <c r="B99" s="2859"/>
      <c r="C99" s="2859"/>
      <c r="D99" s="2860"/>
      <c r="E99" s="2195"/>
      <c r="F99" s="2868" t="s">
        <v>1935</v>
      </c>
      <c r="G99" s="2869"/>
      <c r="H99" s="2869"/>
      <c r="I99" s="2870"/>
    </row>
    <row r="100" spans="1:35" ht="15.6">
      <c r="A100" s="2875" t="s">
        <v>1936</v>
      </c>
      <c r="B100" s="2876"/>
      <c r="C100" s="719" t="str">
        <f>C4</f>
        <v>收益法</v>
      </c>
      <c r="D100" s="720" t="str">
        <f>D4</f>
        <v>比较法-办公</v>
      </c>
      <c r="E100" s="2195"/>
      <c r="F100" s="2877" t="s">
        <v>1937</v>
      </c>
      <c r="G100" s="2879"/>
      <c r="H100" s="2877" t="s">
        <v>1938</v>
      </c>
      <c r="I100" s="2878"/>
    </row>
    <row r="101" spans="1:35" ht="15.6">
      <c r="A101" s="2897" t="s">
        <v>1939</v>
      </c>
      <c r="B101" s="2290" t="str">
        <f>IF(H19="元","总价（元）","总价（万元）")</f>
        <v>总价（万元）</v>
      </c>
      <c r="C101" s="719">
        <f ca="1">C19</f>
        <v>451</v>
      </c>
      <c r="D101" s="720">
        <f ca="1">D19</f>
        <v>584</v>
      </c>
      <c r="E101" s="2195"/>
      <c r="F101" s="2877" t="str">
        <f>项目基本情况!I1</f>
        <v>北京市房地产</v>
      </c>
      <c r="G101" s="2879"/>
      <c r="H101" s="2938">
        <f>项目基本情况!C12</f>
        <v>424.6</v>
      </c>
      <c r="I101" s="2878"/>
    </row>
    <row r="102" spans="1:35" ht="15.6">
      <c r="A102" s="2897"/>
      <c r="B102" s="2290" t="s">
        <v>1940</v>
      </c>
      <c r="C102" s="721">
        <f ca="1">C20</f>
        <v>28480</v>
      </c>
      <c r="D102" s="722">
        <f ca="1">D20</f>
        <v>36849</v>
      </c>
      <c r="E102" s="2195"/>
      <c r="F102" s="2952" t="s">
        <v>1941</v>
      </c>
      <c r="G102" s="2953"/>
      <c r="H102" s="2291" t="str">
        <f>C106</f>
        <v>总价（万元）</v>
      </c>
      <c r="I102" s="1861">
        <f ca="1">H121</f>
        <v>1458</v>
      </c>
    </row>
    <row r="103" spans="1:35" ht="15.6">
      <c r="A103" s="2897" t="s">
        <v>1942</v>
      </c>
      <c r="B103" s="2292" t="str">
        <f>B101</f>
        <v>总价（万元）</v>
      </c>
      <c r="C103" s="723">
        <f ca="1">H121</f>
        <v>1458</v>
      </c>
      <c r="D103" s="724"/>
      <c r="E103" s="2195"/>
      <c r="F103" s="2952"/>
      <c r="G103" s="2953"/>
      <c r="H103" s="2291" t="s">
        <v>1940</v>
      </c>
      <c r="I103" s="1049">
        <f ca="1">I121</f>
        <v>34338</v>
      </c>
    </row>
    <row r="104" spans="1:35" ht="16.2" thickBot="1">
      <c r="A104" s="2898"/>
      <c r="B104" s="2293" t="s">
        <v>1940</v>
      </c>
      <c r="C104" s="725">
        <f ca="1">I121</f>
        <v>34338</v>
      </c>
      <c r="D104" s="726"/>
      <c r="E104" s="2195"/>
      <c r="F104" s="2864"/>
      <c r="G104" s="2865"/>
      <c r="H104" s="2899"/>
      <c r="I104" s="2900"/>
    </row>
    <row r="105" spans="1:35" ht="15.6">
      <c r="A105" s="2858" t="s">
        <v>1943</v>
      </c>
      <c r="B105" s="2859"/>
      <c r="C105" s="2859"/>
      <c r="D105" s="2860"/>
      <c r="E105" s="2195"/>
      <c r="F105" s="2903" t="s">
        <v>1944</v>
      </c>
      <c r="G105" s="2904"/>
      <c r="H105" s="2294" t="str">
        <f>C108</f>
        <v>总额（万元）</v>
      </c>
      <c r="I105" s="1861">
        <f>SUMIF(I106:I108,"&lt;9E307")</f>
        <v>0</v>
      </c>
    </row>
    <row r="106" spans="1:35" ht="15.6">
      <c r="A106" s="2905" t="s">
        <v>1945</v>
      </c>
      <c r="B106" s="2906"/>
      <c r="C106" s="2291" t="str">
        <f>B101</f>
        <v>总价（万元）</v>
      </c>
      <c r="D106" s="1050">
        <f ca="1">H121</f>
        <v>1458</v>
      </c>
      <c r="E106" s="2195"/>
      <c r="F106" s="2866" t="s">
        <v>1946</v>
      </c>
      <c r="G106" s="2867"/>
      <c r="H106" s="2294" t="str">
        <f>C109</f>
        <v>总额（万元）</v>
      </c>
      <c r="I106" s="1049">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6">
      <c r="A107" s="2905"/>
      <c r="B107" s="2906"/>
      <c r="C107" s="2291" t="s">
        <v>1940</v>
      </c>
      <c r="D107" s="1051">
        <f ca="1">I121</f>
        <v>34338</v>
      </c>
      <c r="E107" s="2195"/>
      <c r="F107" s="2866" t="s">
        <v>1947</v>
      </c>
      <c r="G107" s="2867"/>
      <c r="H107" s="2294" t="str">
        <f>C110</f>
        <v>总额（万元）</v>
      </c>
      <c r="I107" s="1049">
        <f>C37</f>
        <v>0</v>
      </c>
      <c r="K107" s="2295"/>
    </row>
    <row r="108" spans="1:35" ht="15.6">
      <c r="A108" s="2948" t="s">
        <v>1948</v>
      </c>
      <c r="B108" s="2949"/>
      <c r="C108" s="2294" t="str">
        <f>IF(H19="元","总额（元）","总额（万元）")</f>
        <v>总额（万元）</v>
      </c>
      <c r="D108" s="1050">
        <f>IF(D36="正常操作",I106+I107+I108,I107+I108)</f>
        <v>0</v>
      </c>
      <c r="E108" s="2195"/>
      <c r="F108" s="2866" t="s">
        <v>1949</v>
      </c>
      <c r="G108" s="2867"/>
      <c r="H108" s="2294" t="str">
        <f>C111</f>
        <v>总额（万元）</v>
      </c>
      <c r="I108" s="1049">
        <f>C38</f>
        <v>0</v>
      </c>
    </row>
    <row r="109" spans="1:35" ht="15.6">
      <c r="A109" s="2866" t="s">
        <v>1946</v>
      </c>
      <c r="B109" s="2867"/>
      <c r="C109" s="2294" t="str">
        <f>C108</f>
        <v>总额（万元）</v>
      </c>
      <c r="D109" s="637">
        <f>IF(D36="同一抵押权人同一抵押物续贷",C36&amp;"（未扣减，详见特别提示）",C36)</f>
        <v>0</v>
      </c>
      <c r="E109" s="2195"/>
      <c r="F109" s="2864"/>
      <c r="G109" s="2865"/>
      <c r="H109" s="2901"/>
      <c r="I109" s="2902"/>
    </row>
    <row r="110" spans="1:35" ht="28.5" customHeight="1">
      <c r="A110" s="2866" t="s">
        <v>1947</v>
      </c>
      <c r="B110" s="2867"/>
      <c r="C110" s="2294" t="str">
        <f>C108</f>
        <v>总额（万元）</v>
      </c>
      <c r="D110" s="637">
        <f>C37</f>
        <v>0</v>
      </c>
      <c r="E110" s="2195"/>
      <c r="F110" s="2846" t="str">
        <f>IF(项目基本情况!F5="已注销","——","3.房地产抵押价值")</f>
        <v>——</v>
      </c>
      <c r="G110" s="2847"/>
      <c r="H110" s="2296" t="str">
        <f>C112</f>
        <v>总价（万元）</v>
      </c>
      <c r="I110" s="1862" t="str">
        <f>IF(F110="——","——",I102-I105)</f>
        <v>——</v>
      </c>
    </row>
    <row r="111" spans="1:35" ht="15.6">
      <c r="A111" s="2866" t="s">
        <v>1949</v>
      </c>
      <c r="B111" s="2867"/>
      <c r="C111" s="2294" t="str">
        <f>C108</f>
        <v>总额（万元）</v>
      </c>
      <c r="D111" s="637">
        <f>C38</f>
        <v>0</v>
      </c>
      <c r="E111" s="2195"/>
      <c r="F111" s="2848"/>
      <c r="G111" s="2849"/>
      <c r="H111" s="2291" t="s">
        <v>1940</v>
      </c>
      <c r="I111" s="2297" t="e">
        <f ca="1">D113</f>
        <v>#VALUE!</v>
      </c>
    </row>
    <row r="112" spans="1:35" ht="26.25" customHeight="1">
      <c r="A112" s="2905" t="str">
        <f>IF(项目基本情况!F5="已注销","——","3.房地产抵押价值")</f>
        <v>——</v>
      </c>
      <c r="B112" s="2906"/>
      <c r="C112" s="2291" t="str">
        <f>B101</f>
        <v>总价（万元）</v>
      </c>
      <c r="D112" s="1050" t="str">
        <f>IF(A112="——","——",D106-D108)</f>
        <v>——</v>
      </c>
      <c r="E112" s="2195"/>
      <c r="F112" s="2846" t="str">
        <f>IF(项目基本情况!F5="已注销及未注销","4.抵押担保权已注销时的房地产抵押价值",IF(项目基本情况!F5="已注销","3.抵押担保权已注销时的房地产抵押价值","——"))</f>
        <v>3.抵押担保权已注销时的房地产抵押价值</v>
      </c>
      <c r="G112" s="2847"/>
      <c r="H112" s="2296" t="str">
        <f>C114</f>
        <v>总价（万元）</v>
      </c>
      <c r="I112" s="1862">
        <f ca="1">IF(F112="——","——",I102-I107-I108)</f>
        <v>1458</v>
      </c>
    </row>
    <row r="113" spans="1:15" ht="15.6">
      <c r="A113" s="2905"/>
      <c r="B113" s="2906"/>
      <c r="C113" s="2291" t="s">
        <v>1940</v>
      </c>
      <c r="D113" s="1051" t="e">
        <f ca="1">ROUND(IF(D112=D106,D107,IF(H19="元",D112/项目基本情况!C12,D112*10000/项目基本情况!C12)),0)</f>
        <v>#VALUE!</v>
      </c>
      <c r="E113" s="2195"/>
      <c r="F113" s="2848"/>
      <c r="G113" s="2849"/>
      <c r="H113" s="2291" t="s">
        <v>1940</v>
      </c>
      <c r="I113" s="2298">
        <f ca="1">D115</f>
        <v>34338</v>
      </c>
    </row>
    <row r="114" spans="1:15" ht="15.6">
      <c r="A114" s="2905" t="str">
        <f>IF(项目基本情况!F5="已注销及未注销","4.抵押担保权已注销时的房地产抵押价值",IF(项目基本情况!F5="已注销","3.抵押担保权已注销时的房地产抵押价值","——"))</f>
        <v>3.抵押担保权已注销时的房地产抵押价值</v>
      </c>
      <c r="B114" s="2906"/>
      <c r="C114" s="2291" t="str">
        <f>B101</f>
        <v>总价（万元）</v>
      </c>
      <c r="D114" s="1050">
        <f ca="1">IF(A114="——","——",D106-D110-D111)</f>
        <v>1458</v>
      </c>
      <c r="E114" s="2195"/>
      <c r="F114" s="2846" t="str">
        <f>IF(项目基本情况!G5="抵押净值",IF(OR(项目基本情况!F5="已注销",项目基本情况!F5="房地产抵押价值"),"4.抵押净值","5.抵押净值"),"——")</f>
        <v>——</v>
      </c>
      <c r="G114" s="2847"/>
      <c r="H114" s="2291" t="str">
        <f>C116</f>
        <v>总价（万元）</v>
      </c>
      <c r="I114" s="1861" t="str">
        <f>IF(F114="——","——",N59)</f>
        <v>——</v>
      </c>
    </row>
    <row r="115" spans="1:15" ht="16.2" thickBot="1">
      <c r="A115" s="2905"/>
      <c r="B115" s="2906"/>
      <c r="C115" s="2291" t="s">
        <v>1940</v>
      </c>
      <c r="D115" s="1051">
        <f ca="1">IF(A114="——","——",ROUND(IF(D114=D106,D107,IF(H19="元",D114/项目基本情况!C12,D114*10000/项目基本情况!C12)),0))</f>
        <v>34338</v>
      </c>
      <c r="E115" s="2195"/>
      <c r="F115" s="2939"/>
      <c r="G115" s="2940"/>
      <c r="H115" s="2299" t="s">
        <v>1940</v>
      </c>
      <c r="I115" s="1863" t="e">
        <f ca="1">D117</f>
        <v>#VALUE!</v>
      </c>
    </row>
    <row r="116" spans="1:15" ht="15.6">
      <c r="A116" s="2905" t="str">
        <f>IF(项目基本情况!G5="抵押净值",IF(OR(项目基本情况!F5="已注销",项目基本情况!F5="房地产抵押价值"),"4.抵押净值","5.抵押净值"),"——")</f>
        <v>——</v>
      </c>
      <c r="B116" s="2906"/>
      <c r="C116" s="2291" t="str">
        <f>B101</f>
        <v>总价（万元）</v>
      </c>
      <c r="D116" s="1050" t="str">
        <f>IF(A116="——","——",N59)</f>
        <v>——</v>
      </c>
      <c r="E116" s="2195"/>
      <c r="F116" s="2842"/>
      <c r="G116" s="2842"/>
      <c r="H116" s="2884"/>
      <c r="I116" s="2884"/>
      <c r="N116" s="55"/>
      <c r="O116" s="55"/>
    </row>
    <row r="117" spans="1:15" ht="16.2" thickBot="1">
      <c r="A117" s="2946"/>
      <c r="B117" s="2947"/>
      <c r="C117" s="2299" t="s">
        <v>1940</v>
      </c>
      <c r="D117" s="1052" t="e">
        <f ca="1">IF(D116=D112,D113,IF(A116="——","——",N61))</f>
        <v>#VALUE!</v>
      </c>
      <c r="E117" s="2195"/>
      <c r="F117" s="2936" t="str">
        <f>IF(B32="总价","（以上估价结果中单价为总价除以建筑面积得出）","（以上估价结果中总价为楼面单价乘以建筑面积得出）")</f>
        <v>（以上估价结果中总价为楼面单价乘以建筑面积得出）</v>
      </c>
      <c r="G117" s="2936"/>
      <c r="H117" s="2936"/>
      <c r="I117" s="2936"/>
      <c r="N117" s="55"/>
      <c r="O117" s="55"/>
    </row>
    <row r="118" spans="1:15" ht="14.4">
      <c r="A118" s="2885" t="s">
        <v>1950</v>
      </c>
      <c r="B118" s="2886"/>
      <c r="C118" s="2886"/>
      <c r="D118" s="2886"/>
      <c r="E118" s="2886"/>
      <c r="F118" s="2886"/>
      <c r="G118" s="2886"/>
      <c r="H118" s="2886"/>
      <c r="I118" s="2886"/>
    </row>
    <row r="119" spans="1:15" ht="13.8">
      <c r="A119" s="2857" t="s">
        <v>1951</v>
      </c>
      <c r="B119" s="2855" t="s">
        <v>1952</v>
      </c>
      <c r="C119" s="2855" t="s">
        <v>1953</v>
      </c>
      <c r="D119" s="2862" t="s">
        <v>1954</v>
      </c>
      <c r="E119" s="2863"/>
      <c r="F119" s="2853" t="s">
        <v>1812</v>
      </c>
      <c r="G119" s="2853"/>
      <c r="H119" s="2853" t="s">
        <v>1955</v>
      </c>
      <c r="I119" s="2854"/>
    </row>
    <row r="120" spans="1:15" ht="14.4">
      <c r="A120" s="2857"/>
      <c r="B120" s="2856"/>
      <c r="C120" s="2856"/>
      <c r="D120" s="1886" t="s">
        <v>1956</v>
      </c>
      <c r="E120" s="1886" t="s">
        <v>1957</v>
      </c>
      <c r="F120" s="1886" t="s">
        <v>1956</v>
      </c>
      <c r="G120" s="1886" t="s">
        <v>1958</v>
      </c>
      <c r="H120" s="1886" t="s">
        <v>1956</v>
      </c>
      <c r="I120" s="637" t="s">
        <v>1958</v>
      </c>
    </row>
    <row r="121" spans="1:15" ht="27.6">
      <c r="A121" s="2181" t="str">
        <f>项目基本情况!I1</f>
        <v>北京市房地产</v>
      </c>
      <c r="B121" s="1886">
        <f>项目基本情况!C12</f>
        <v>424.6</v>
      </c>
      <c r="C121" s="1886">
        <f>项目基本情况!C13</f>
        <v>0</v>
      </c>
      <c r="D121" s="1886">
        <f ca="1">ROUND(IF(B32="总价",C34,IF('数据-取费表'!B3="万元",E121*B121/10000,E121*B121)),0)</f>
        <v>1254</v>
      </c>
      <c r="E121" s="1886">
        <f ca="1">ROUND(IF(B32="楼面单价",C34,IF(H19="元",D121/B121,D121*10000/B121)),0)</f>
        <v>29531</v>
      </c>
      <c r="F121" s="1886">
        <f ca="1">ROUND(IF(B32="总价",C35,IF('数据-取费表'!B3="万元",G121*B121/10000,G121*B121)),0)</f>
        <v>204</v>
      </c>
      <c r="G121" s="1886">
        <f ca="1">ROUND(IF(B32="楼面单价",C35,IF(H19="元",F121/B121,F121*10000/B121)),0)</f>
        <v>4807</v>
      </c>
      <c r="H121" s="1886">
        <f ca="1">ROUND(IF(B32="总价",C32,IF('数据-取费表'!B3="万元",I121*B121/10000,I121*B121)),0)</f>
        <v>1458</v>
      </c>
      <c r="I121" s="637">
        <f ca="1">ROUND(IF(B32="楼面单价",C32,IF(H19="元",H121/B121,H121*10000/B121)),0)</f>
        <v>34338</v>
      </c>
    </row>
    <row r="122" spans="1:15" ht="13.8">
      <c r="A122" s="2857" t="s">
        <v>1959</v>
      </c>
      <c r="B122" s="2853"/>
      <c r="C122" s="2853"/>
      <c r="D122" s="2889" t="str">
        <f ca="1">IF(H19="元",NUMBERSTRING(INT(D121),2)&amp;"元整",NUMBERSTRING(INT(D121*10000),2)&amp;"元整")</f>
        <v>壹仟贰佰伍拾肆万元整</v>
      </c>
      <c r="E122" s="2890"/>
      <c r="F122" s="2889" t="str">
        <f ca="1">IF(H19="元",NUMBERSTRING(INT(F121),2)&amp;"元整",NUMBERSTRING(INT(F121*10000),2)&amp;"元整")</f>
        <v>贰佰零肆万元整</v>
      </c>
      <c r="G122" s="2890"/>
      <c r="H122" s="2889" t="str">
        <f ca="1">IF(H19="元",NUMBERSTRING(INT(H121),2)&amp;"元整",NUMBERSTRING(INT(H121*10000),2)&amp;"元整")</f>
        <v>壹仟肆佰伍拾捌万元整</v>
      </c>
      <c r="I122" s="2954"/>
    </row>
    <row r="123" spans="1:15" ht="13.8">
      <c r="A123" s="2891" t="str">
        <f>IF(项目基本情况!D5="房地产市场价值","——",MID(A108,3,LEN(A108)-2))</f>
        <v>估价师所知悉的法定优先受偿款</v>
      </c>
      <c r="B123" s="2892"/>
      <c r="C123" s="2893"/>
      <c r="D123" s="2882">
        <f>I105</f>
        <v>0</v>
      </c>
      <c r="E123" s="2892"/>
      <c r="F123" s="2892"/>
      <c r="G123" s="2892"/>
      <c r="H123" s="2892"/>
      <c r="I123" s="2941"/>
    </row>
    <row r="124" spans="1:15" ht="13.8">
      <c r="A124" s="2894" t="s">
        <v>1959</v>
      </c>
      <c r="B124" s="2895"/>
      <c r="C124" s="2896"/>
      <c r="D124" s="2942">
        <f>H109</f>
        <v>0</v>
      </c>
      <c r="E124" s="2943"/>
      <c r="F124" s="2943"/>
      <c r="G124" s="2943"/>
      <c r="H124" s="2943"/>
      <c r="I124" s="2944"/>
    </row>
    <row r="125" spans="1:15" ht="13.8">
      <c r="A125" s="2880" t="str">
        <f>IF(项目基本情况!D5="房地产市场价值","——",MID(A112,3,LEN(A112)-2))</f>
        <v/>
      </c>
      <c r="B125" s="2881"/>
      <c r="C125" s="2881"/>
      <c r="D125" s="2882" t="str">
        <f>I110</f>
        <v>——</v>
      </c>
      <c r="E125" s="2892"/>
      <c r="F125" s="2892"/>
      <c r="G125" s="2892"/>
      <c r="H125" s="2892"/>
      <c r="I125" s="2941"/>
    </row>
    <row r="126" spans="1:15" ht="13.8">
      <c r="A126" s="2857" t="s">
        <v>1959</v>
      </c>
      <c r="B126" s="2853"/>
      <c r="C126" s="2853"/>
      <c r="D126" s="2942" t="e">
        <f ca="1">I111</f>
        <v>#VALUE!</v>
      </c>
      <c r="E126" s="2943"/>
      <c r="F126" s="2943"/>
      <c r="G126" s="2943"/>
      <c r="H126" s="2943"/>
      <c r="I126" s="2944"/>
    </row>
    <row r="127" spans="1:15" ht="14.4" thickBot="1">
      <c r="A127" s="2880" t="str">
        <f>IF(项目基本情况!D5="房地产市场价值","——",MID(A114,3,LEN(A114)-2))</f>
        <v>抵押担保权已注销时的房地产抵押价值</v>
      </c>
      <c r="B127" s="2881"/>
      <c r="C127" s="2881"/>
      <c r="D127" s="2837">
        <f ca="1">I112</f>
        <v>1458</v>
      </c>
      <c r="E127" s="2838"/>
      <c r="F127" s="2838"/>
      <c r="G127" s="2838"/>
      <c r="H127" s="2838"/>
      <c r="I127" s="2839"/>
    </row>
    <row r="128" spans="1:15" ht="15" thickTop="1" thickBot="1">
      <c r="A128" s="2857" t="s">
        <v>1959</v>
      </c>
      <c r="B128" s="2853"/>
      <c r="C128" s="2937"/>
      <c r="D128" s="2883">
        <f ca="1">I113</f>
        <v>34338</v>
      </c>
      <c r="E128" s="2883"/>
      <c r="F128" s="2883"/>
      <c r="G128" s="2883"/>
      <c r="H128" s="2883"/>
      <c r="I128" s="2883"/>
    </row>
    <row r="129" spans="1:9" ht="15" thickTop="1" thickBot="1">
      <c r="A129" s="2880" t="str">
        <f>IF(项目基本情况!D5="房地产市场价值","——",MID(F114,3,LEN(F114)-2))</f>
        <v/>
      </c>
      <c r="B129" s="2881"/>
      <c r="C129" s="2882"/>
      <c r="D129" s="2945" t="str">
        <f>I114</f>
        <v>——</v>
      </c>
      <c r="E129" s="2945"/>
      <c r="F129" s="2945"/>
      <c r="G129" s="2945"/>
      <c r="H129" s="2945"/>
      <c r="I129" s="2945"/>
    </row>
    <row r="130" spans="1:9" ht="15" thickTop="1" thickBot="1">
      <c r="A130" s="2950" t="s">
        <v>1959</v>
      </c>
      <c r="B130" s="2951"/>
      <c r="C130" s="2951"/>
      <c r="D130" s="2955">
        <f>H116</f>
        <v>0</v>
      </c>
      <c r="E130" s="2956"/>
      <c r="F130" s="2956"/>
      <c r="G130" s="2956"/>
      <c r="H130" s="2956"/>
      <c r="I130" s="2957"/>
    </row>
    <row r="131" spans="1:9" ht="13.2">
      <c r="A131" s="2278" t="str">
        <f>IF(H19="元","单位：平方米、元、元/平方米（币种：人民币）","单位：平方米、万元、元/平方米（币种：人民币）")</f>
        <v>单位：平方米、万元、元/平方米（币种：人民币）</v>
      </c>
      <c r="B131" s="2278"/>
      <c r="C131" s="2278"/>
      <c r="D131" s="2278"/>
      <c r="E131" s="2278"/>
      <c r="F131" s="2278"/>
      <c r="G131" s="2278"/>
      <c r="H131" s="2278"/>
      <c r="I131" s="2278"/>
    </row>
    <row r="132" spans="1:9" ht="13.8" thickBot="1">
      <c r="A132" s="2935" t="str">
        <f>IF(B32="总价","（以上估价结果中楼面单价为总价除以建筑面积得出）","（以上估价结果中总价为楼面单价乘以建筑面积得出）")</f>
        <v>（以上估价结果中总价为楼面单价乘以建筑面积得出）</v>
      </c>
      <c r="B132" s="2935"/>
      <c r="C132" s="2935"/>
      <c r="D132" s="2935"/>
      <c r="E132" s="2935"/>
      <c r="F132" s="2935"/>
      <c r="G132" s="2935"/>
      <c r="H132" s="2935"/>
      <c r="I132" s="2935"/>
    </row>
    <row r="133" spans="1:9" ht="21.75" customHeight="1">
      <c r="A133" s="2300" t="s">
        <v>1960</v>
      </c>
      <c r="B133" s="2301"/>
      <c r="C133" s="2302" t="s">
        <v>1961</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7"/>
    </row>
    <row r="139" spans="1:9" ht="21.75" customHeight="1">
      <c r="A139" s="797"/>
      <c r="B139" s="797"/>
      <c r="C139" s="797"/>
      <c r="D139" s="797"/>
      <c r="E139" s="797"/>
      <c r="F139" s="2313" t="s">
        <v>1962</v>
      </c>
      <c r="G139" s="2314"/>
      <c r="H139" s="2314"/>
      <c r="I139" s="2315" t="s">
        <v>1963</v>
      </c>
    </row>
    <row r="140" spans="1:9" ht="21.75" customHeight="1">
      <c r="A140" s="797"/>
      <c r="B140" s="2316" t="s">
        <v>1964</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4"/>
      <c r="C142" s="2314"/>
      <c r="D142" s="2314"/>
      <c r="E142" s="2314"/>
      <c r="F142" s="2314"/>
      <c r="G142" s="2314"/>
      <c r="H142" s="2314"/>
      <c r="I142" s="2315" t="s">
        <v>1965</v>
      </c>
    </row>
    <row r="143" spans="1:9" ht="21.75" customHeight="1">
      <c r="A143" s="797"/>
      <c r="B143" s="2316" t="s">
        <v>1966</v>
      </c>
      <c r="C143" s="797"/>
      <c r="D143" s="797"/>
      <c r="E143" s="797"/>
      <c r="F143" s="797"/>
      <c r="G143" s="797"/>
      <c r="H143" s="797"/>
      <c r="I143" s="797"/>
    </row>
    <row r="144" spans="1:9" ht="21.75" customHeight="1">
      <c r="A144" s="797"/>
      <c r="B144" s="2316"/>
      <c r="C144" s="797"/>
      <c r="D144" s="797"/>
      <c r="E144" s="797"/>
      <c r="F144" s="797"/>
      <c r="G144" s="797"/>
      <c r="H144" s="797"/>
      <c r="I144" s="797"/>
    </row>
    <row r="145" spans="1:35" ht="21.75" customHeight="1">
      <c r="A145" s="797"/>
      <c r="B145" s="2314"/>
      <c r="C145" s="2314"/>
      <c r="D145" s="2314"/>
      <c r="E145" s="2314"/>
      <c r="F145" s="2314"/>
      <c r="G145" s="2314"/>
      <c r="H145" s="2314"/>
      <c r="I145" s="2315" t="s">
        <v>1965</v>
      </c>
    </row>
    <row r="146" spans="1:35" ht="21.75" customHeight="1">
      <c r="A146" s="797"/>
      <c r="B146" s="2316"/>
      <c r="C146" s="2317"/>
      <c r="D146" s="2318"/>
      <c r="E146" s="2318"/>
      <c r="F146" s="2319"/>
      <c r="G146" s="797"/>
      <c r="H146" s="797"/>
      <c r="I146" s="797"/>
    </row>
    <row r="147" spans="1:35" s="55" customFormat="1" ht="21.75" customHeight="1">
      <c r="A147" s="797"/>
      <c r="B147" s="2316"/>
      <c r="C147" s="2317"/>
      <c r="D147" s="2318"/>
      <c r="E147" s="2318"/>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F516" s="2196"/>
      <c r="G516" s="2196"/>
      <c r="H516" s="2196"/>
      <c r="I516" s="2196"/>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640625" defaultRowHeight="21.75" customHeight="1"/>
  <cols>
    <col min="1" max="1" width="12.6640625" style="2196"/>
    <col min="2" max="2" width="17.6640625" style="2196" customWidth="1"/>
    <col min="3" max="4" width="12.6640625" style="2196" customWidth="1"/>
    <col min="5" max="9" width="12.6640625" style="2196"/>
    <col min="10" max="11" width="12.6640625" style="797" customWidth="1"/>
    <col min="12" max="12" width="12.6640625" style="797"/>
    <col min="13" max="13" width="14.109375" style="797" bestFit="1" customWidth="1"/>
    <col min="14" max="26" width="12.6640625" style="797"/>
    <col min="27" max="35" width="12.6640625" style="1844"/>
    <col min="36" max="16384" width="12.6640625" style="2196"/>
  </cols>
  <sheetData>
    <row r="1" spans="1:12" ht="21.75" customHeight="1">
      <c r="A1" s="2194" t="s">
        <v>1967</v>
      </c>
      <c r="B1" s="2195"/>
      <c r="C1" s="2195"/>
      <c r="D1" s="2195"/>
      <c r="E1" s="2195"/>
      <c r="F1" s="2195"/>
      <c r="G1" s="2195"/>
      <c r="H1" s="2195"/>
      <c r="I1" s="2195"/>
    </row>
    <row r="2" spans="1:12" ht="21.75" customHeight="1">
      <c r="A2" s="2959" t="s">
        <v>1968</v>
      </c>
      <c r="B2" s="2959"/>
      <c r="C2" s="2959"/>
      <c r="D2" s="2959"/>
      <c r="E2" s="2959"/>
      <c r="F2" s="2959"/>
      <c r="G2" s="2959"/>
      <c r="H2" s="2959"/>
      <c r="I2" s="2959"/>
    </row>
    <row r="3" spans="1:12" ht="13.2">
      <c r="A3" s="2913" t="s">
        <v>1772</v>
      </c>
      <c r="B3" s="2914"/>
      <c r="C3" s="2914"/>
      <c r="D3" s="2914"/>
      <c r="E3" s="2914"/>
      <c r="F3" s="2914"/>
      <c r="G3" s="2914"/>
      <c r="H3" s="2914"/>
      <c r="I3" s="2914"/>
    </row>
    <row r="4" spans="1:12" ht="14.4">
      <c r="A4" s="2197" t="s">
        <v>1773</v>
      </c>
      <c r="B4" s="2198" t="s">
        <v>1774</v>
      </c>
      <c r="C4" s="2199"/>
      <c r="D4" s="2199"/>
      <c r="E4" s="2918" t="s">
        <v>1969</v>
      </c>
      <c r="F4" s="2919"/>
      <c r="G4" s="2919"/>
      <c r="H4" s="2919"/>
      <c r="I4" s="2920"/>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908" t="s">
        <v>1776</v>
      </c>
      <c r="B5" s="2853">
        <v>25</v>
      </c>
      <c r="C5" s="2915"/>
      <c r="D5" s="2912"/>
      <c r="E5" s="56" t="s">
        <v>1777</v>
      </c>
      <c r="F5" s="2200"/>
      <c r="G5" s="2200"/>
      <c r="H5" s="2200"/>
      <c r="I5" s="2201"/>
    </row>
    <row r="6" spans="1:12" ht="13.2">
      <c r="A6" s="2908"/>
      <c r="B6" s="2853"/>
      <c r="C6" s="2916"/>
      <c r="D6" s="2912"/>
      <c r="E6" s="56" t="s">
        <v>1778</v>
      </c>
      <c r="F6" s="2200"/>
      <c r="G6" s="2200"/>
      <c r="H6" s="2200"/>
      <c r="I6" s="2201"/>
    </row>
    <row r="7" spans="1:12" ht="13.2">
      <c r="A7" s="2908"/>
      <c r="B7" s="2853"/>
      <c r="C7" s="2917"/>
      <c r="D7" s="2912"/>
      <c r="E7" s="56" t="s">
        <v>1779</v>
      </c>
      <c r="F7" s="2200"/>
      <c r="G7" s="2200"/>
      <c r="H7" s="2200"/>
      <c r="I7" s="2201"/>
    </row>
    <row r="8" spans="1:12" ht="13.2">
      <c r="A8" s="2908" t="s">
        <v>1780</v>
      </c>
      <c r="B8" s="2853">
        <v>15</v>
      </c>
      <c r="C8" s="2915"/>
      <c r="D8" s="2912"/>
      <c r="E8" s="56" t="s">
        <v>1781</v>
      </c>
      <c r="F8" s="2200"/>
      <c r="G8" s="2200"/>
      <c r="H8" s="2200"/>
      <c r="I8" s="2201"/>
    </row>
    <row r="9" spans="1:12" ht="13.2">
      <c r="A9" s="2908"/>
      <c r="B9" s="2853"/>
      <c r="C9" s="2917"/>
      <c r="D9" s="2912"/>
      <c r="E9" s="56" t="s">
        <v>1782</v>
      </c>
      <c r="F9" s="2200"/>
      <c r="G9" s="2200"/>
      <c r="H9" s="2200"/>
      <c r="I9" s="2201"/>
    </row>
    <row r="10" spans="1:12" ht="13.2">
      <c r="A10" s="2908" t="s">
        <v>1783</v>
      </c>
      <c r="B10" s="2853">
        <v>15</v>
      </c>
      <c r="C10" s="2915"/>
      <c r="D10" s="2912"/>
      <c r="E10" s="56" t="s">
        <v>1784</v>
      </c>
      <c r="F10" s="2200"/>
      <c r="G10" s="2200"/>
      <c r="H10" s="2200"/>
      <c r="I10" s="2201"/>
    </row>
    <row r="11" spans="1:12" ht="13.2">
      <c r="A11" s="2908"/>
      <c r="B11" s="2853"/>
      <c r="C11" s="2917"/>
      <c r="D11" s="2912"/>
      <c r="E11" s="56" t="s">
        <v>1785</v>
      </c>
      <c r="F11" s="2200"/>
      <c r="G11" s="2200"/>
      <c r="H11" s="2200"/>
      <c r="I11" s="2201"/>
    </row>
    <row r="12" spans="1:12" ht="13.2">
      <c r="A12" s="2908" t="s">
        <v>1786</v>
      </c>
      <c r="B12" s="2853">
        <v>15</v>
      </c>
      <c r="C12" s="2915"/>
      <c r="D12" s="2912"/>
      <c r="E12" s="56" t="s">
        <v>1787</v>
      </c>
      <c r="F12" s="2200"/>
      <c r="G12" s="2200"/>
      <c r="H12" s="2200"/>
      <c r="I12" s="2201"/>
    </row>
    <row r="13" spans="1:12" ht="13.2">
      <c r="A13" s="2908"/>
      <c r="B13" s="2853"/>
      <c r="C13" s="2917"/>
      <c r="D13" s="2912"/>
      <c r="E13" s="56" t="s">
        <v>1788</v>
      </c>
      <c r="F13" s="2200"/>
      <c r="G13" s="2200"/>
      <c r="H13" s="2200"/>
      <c r="I13" s="2201"/>
    </row>
    <row r="14" spans="1:12" ht="13.2">
      <c r="A14" s="2908" t="s">
        <v>1789</v>
      </c>
      <c r="B14" s="2853">
        <v>30</v>
      </c>
      <c r="C14" s="2915"/>
      <c r="D14" s="2912"/>
      <c r="E14" s="56" t="s">
        <v>1790</v>
      </c>
      <c r="F14" s="2200"/>
      <c r="G14" s="2200"/>
      <c r="H14" s="2200"/>
      <c r="I14" s="2201"/>
    </row>
    <row r="15" spans="1:12" ht="13.2">
      <c r="A15" s="2908"/>
      <c r="B15" s="2853"/>
      <c r="C15" s="2916"/>
      <c r="D15" s="2912"/>
      <c r="E15" s="56" t="s">
        <v>1791</v>
      </c>
      <c r="F15" s="2200"/>
      <c r="G15" s="2200"/>
      <c r="H15" s="2200"/>
      <c r="I15" s="2201"/>
    </row>
    <row r="16" spans="1:12" ht="13.2">
      <c r="A16" s="2908"/>
      <c r="B16" s="2853"/>
      <c r="C16" s="2917"/>
      <c r="D16" s="2912"/>
      <c r="E16" s="56" t="s">
        <v>1792</v>
      </c>
      <c r="F16" s="2200"/>
      <c r="G16" s="2200"/>
      <c r="H16" s="2200"/>
      <c r="I16" s="2201"/>
    </row>
    <row r="17" spans="1:35" ht="14.4">
      <c r="A17" s="2202" t="s">
        <v>1793</v>
      </c>
      <c r="B17" s="2203"/>
      <c r="C17" s="57">
        <f>SUM(C5:C16)</f>
        <v>0</v>
      </c>
      <c r="D17" s="57">
        <f>SUM(D5:D16)</f>
        <v>0</v>
      </c>
      <c r="E17" s="2195"/>
      <c r="F17" s="2195"/>
      <c r="G17" s="2195"/>
      <c r="H17" s="2195"/>
      <c r="I17" s="2195"/>
    </row>
    <row r="18" spans="1:35" ht="15" thickBot="1">
      <c r="A18" s="2204" t="s">
        <v>1794</v>
      </c>
      <c r="B18" s="2205"/>
      <c r="C18" s="58" t="e">
        <f>ROUND(C17/SUM(C17:D17),2)</f>
        <v>#DIV/0!</v>
      </c>
      <c r="D18" s="58" t="e">
        <f>1-C18</f>
        <v>#DIV/0!</v>
      </c>
      <c r="E18" s="2195"/>
      <c r="F18" s="2195"/>
      <c r="G18" s="2195"/>
      <c r="H18" s="2195"/>
      <c r="I18" s="2195"/>
    </row>
    <row r="19" spans="1:35" ht="14.4">
      <c r="A19" s="2206" t="s">
        <v>1795</v>
      </c>
      <c r="B19" s="2207" t="s">
        <v>1796</v>
      </c>
      <c r="C19" s="59" t="e">
        <f ca="1">SUMIF(INDIRECT("'"&amp;C4&amp;"'"&amp;"!A:A"),'结果表 (1修多)'!B19,INDIRECT("'"&amp;C4&amp;"'"&amp;"!B:B"))</f>
        <v>#REF!</v>
      </c>
      <c r="D19" s="60" t="e">
        <f ca="1">SUMIF(INDIRECT("'"&amp;D4&amp;"'"&amp;"!A:A"),'结果表 (1修多)'!B19,INDIRECT("'"&amp;D4&amp;"'"&amp;"!B:B"))</f>
        <v>#REF!</v>
      </c>
      <c r="E19" s="2206" t="s">
        <v>1797</v>
      </c>
      <c r="F19" s="2207" t="s">
        <v>1796</v>
      </c>
      <c r="G19" s="61" t="e">
        <f ca="1">ROUND(C19*$C$18+D19*$D$18,0)</f>
        <v>#REF!</v>
      </c>
      <c r="H19" s="2208" t="str">
        <f>'数据-取费表'!B3</f>
        <v>万元</v>
      </c>
      <c r="I19" s="2195"/>
    </row>
    <row r="20" spans="1:35" ht="14.4">
      <c r="A20" s="2209"/>
      <c r="B20" s="2210" t="s">
        <v>1798</v>
      </c>
      <c r="C20" s="62" t="e">
        <f ca="1">SUMIF(INDIRECT("'"&amp;C4&amp;"'"&amp;"!A:A"),'结果表 (1修多)'!B20,INDIRECT("'"&amp;C4&amp;"'"&amp;"!B:B"))</f>
        <v>#REF!</v>
      </c>
      <c r="D20" s="63" t="e">
        <f ca="1">SUMIF(INDIRECT("'"&amp;D4&amp;"'"&amp;"!A:A"),'结果表 (1修多)'!B20,INDIRECT("'"&amp;D4&amp;"'"&amp;"!B:B"))</f>
        <v>#REF!</v>
      </c>
      <c r="E20" s="2209"/>
      <c r="F20" s="2210" t="s">
        <v>1798</v>
      </c>
      <c r="G20" s="64" t="e">
        <f ca="1">ROUND(C20*$C$18+D20*$D$18,0)</f>
        <v>#REF!</v>
      </c>
      <c r="H20" s="2211" t="s">
        <v>1799</v>
      </c>
      <c r="I20" s="2195"/>
    </row>
    <row r="21" spans="1:35" ht="15" customHeight="1" thickBot="1">
      <c r="A21" s="2212"/>
      <c r="B21" s="2213"/>
      <c r="C21" s="769"/>
      <c r="D21" s="770"/>
      <c r="E21" s="2212"/>
      <c r="F21" s="2213"/>
      <c r="G21" s="65"/>
      <c r="H21" s="2214"/>
      <c r="I21" s="2195"/>
    </row>
    <row r="22" spans="1:35" ht="15" thickBot="1">
      <c r="A22" s="2215" t="s">
        <v>1800</v>
      </c>
      <c r="B22" s="2216"/>
      <c r="C22" s="2217"/>
      <c r="D22" s="771" t="e">
        <f ca="1">IF(C19&lt;D19,D19/C19-1,C19/D19-1)</f>
        <v>#REF!</v>
      </c>
      <c r="E22" s="2195"/>
      <c r="F22" s="2195"/>
      <c r="G22" s="2195"/>
      <c r="H22" s="2195"/>
      <c r="I22" s="2195"/>
    </row>
    <row r="23" spans="1:35" ht="13.8" thickBot="1">
      <c r="A23" s="2195"/>
      <c r="B23" s="2195"/>
      <c r="C23" s="2195"/>
      <c r="D23" s="2195"/>
      <c r="E23" s="2195"/>
      <c r="F23" s="2195"/>
      <c r="G23" s="2195"/>
      <c r="H23" s="2195"/>
      <c r="I23" s="2195"/>
    </row>
    <row r="24" spans="1:35" ht="21.75" customHeight="1">
      <c r="A24" s="2921" t="s">
        <v>1801</v>
      </c>
      <c r="B24" s="2207" t="s">
        <v>1796</v>
      </c>
      <c r="C24" s="61">
        <f>D30</f>
        <v>0</v>
      </c>
      <c r="D24" s="993"/>
      <c r="E24" s="2195"/>
      <c r="F24" s="2195"/>
      <c r="G24" s="2195"/>
      <c r="H24" s="2195"/>
      <c r="I24" s="2195"/>
    </row>
    <row r="25" spans="1:35" ht="21.75" customHeight="1">
      <c r="A25" s="2922"/>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4">
      <c r="A27" s="2220" t="s">
        <v>1970</v>
      </c>
      <c r="B27" s="67">
        <v>0</v>
      </c>
      <c r="C27" s="67">
        <v>0</v>
      </c>
      <c r="D27" s="68">
        <f>ROUND(C27*B27/10000,0)</f>
        <v>0</v>
      </c>
      <c r="E27" s="2195"/>
      <c r="F27" s="2195"/>
      <c r="G27" s="2195"/>
      <c r="H27" s="2195"/>
      <c r="I27" s="2195"/>
    </row>
    <row r="28" spans="1:35" ht="13.8">
      <c r="A28" s="2219"/>
      <c r="B28" s="67"/>
      <c r="C28" s="67"/>
      <c r="D28" s="68">
        <f>ROUND(C28*B28/10000,0)</f>
        <v>0</v>
      </c>
      <c r="E28" s="2195"/>
      <c r="F28" s="2195"/>
      <c r="G28" s="2195"/>
      <c r="H28" s="2195"/>
      <c r="I28" s="2195"/>
    </row>
    <row r="29" spans="1:35" ht="13.8">
      <c r="A29" s="2219"/>
      <c r="B29" s="67"/>
      <c r="C29" s="67"/>
      <c r="D29" s="68">
        <f t="shared" ref="D29" si="0">ROUND(C29*B29/10000,0)</f>
        <v>0</v>
      </c>
      <c r="E29" s="2195"/>
      <c r="F29" s="2195"/>
      <c r="G29" s="2195"/>
      <c r="H29" s="2195"/>
      <c r="I29" s="2195"/>
    </row>
    <row r="30" spans="1:35" ht="15" thickBot="1">
      <c r="A30" s="2716" t="s">
        <v>1971</v>
      </c>
      <c r="B30" s="2717"/>
      <c r="C30" s="2717"/>
      <c r="D30" s="2717"/>
      <c r="E30" s="2715" t="s">
        <v>2807</v>
      </c>
      <c r="F30" s="2195"/>
      <c r="G30" s="2195"/>
      <c r="H30" s="2195"/>
      <c r="I30" s="2195"/>
    </row>
    <row r="31" spans="1:35" s="2222" customFormat="1" ht="15" thickBot="1">
      <c r="A31" s="2969" t="s">
        <v>1972</v>
      </c>
      <c r="B31" s="2969"/>
      <c r="C31" s="2969"/>
      <c r="D31" s="2969"/>
      <c r="E31" s="2969"/>
      <c r="F31" s="2969"/>
      <c r="G31" s="2969"/>
      <c r="H31" s="2969"/>
      <c r="I31" s="2969"/>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4.4">
      <c r="A32" s="2320"/>
      <c r="B32" s="2321" t="s">
        <v>1973</v>
      </c>
      <c r="C32" s="1307">
        <f ca="1">典型户型修正!R27</f>
        <v>34338</v>
      </c>
      <c r="D32" s="2195" t="s">
        <v>1974</v>
      </c>
      <c r="E32" s="2195"/>
      <c r="F32" s="2195"/>
      <c r="G32" s="2195"/>
      <c r="H32" s="2195"/>
      <c r="I32" s="2195"/>
    </row>
    <row r="33" spans="1:16" ht="14.4">
      <c r="A33" s="2322" t="s">
        <v>1975</v>
      </c>
      <c r="B33" s="2323" t="s">
        <v>1976</v>
      </c>
      <c r="C33" s="1308">
        <f ca="1">典型户型修正!B2</f>
        <v>1440</v>
      </c>
      <c r="D33" s="2324" t="str">
        <f>IF('数据-取费表'!B3="万元","万元","元")</f>
        <v>万元</v>
      </c>
      <c r="E33" s="2195"/>
      <c r="F33" s="2195"/>
      <c r="G33" s="2195"/>
      <c r="H33" s="2195"/>
      <c r="I33" s="2195"/>
    </row>
    <row r="34" spans="1:16" ht="15" thickBot="1">
      <c r="A34" s="2325"/>
      <c r="B34" s="2326" t="s">
        <v>1977</v>
      </c>
      <c r="C34" s="770">
        <f ca="1">典型户型修正!B3</f>
        <v>33914</v>
      </c>
      <c r="D34" s="2195" t="s">
        <v>1978</v>
      </c>
      <c r="E34" s="2195"/>
      <c r="F34" s="2195"/>
      <c r="G34" s="2195"/>
      <c r="H34" s="2195"/>
      <c r="I34" s="2195"/>
    </row>
    <row r="35" spans="1:16" ht="14.4">
      <c r="A35" s="2327"/>
      <c r="B35" s="2328" t="s">
        <v>1979</v>
      </c>
      <c r="C35" s="1315">
        <f>IF('数据-取费表'!B3="万元",典型户型修正!V25,典型户型修正!U25)</f>
        <v>0</v>
      </c>
      <c r="D35" s="2195" t="str">
        <f>D33</f>
        <v>万元</v>
      </c>
      <c r="E35" s="2195"/>
      <c r="F35" s="2195"/>
      <c r="G35" s="2195"/>
      <c r="H35" s="2195"/>
      <c r="I35" s="2195"/>
    </row>
    <row r="36" spans="1:16" ht="15" thickBot="1">
      <c r="A36" s="2234"/>
      <c r="B36" s="2329" t="s">
        <v>1980</v>
      </c>
      <c r="C36" s="1316">
        <f>IF('数据-取费表'!B3="万元",典型户型修正!Y25,典型户型修正!X25)</f>
        <v>0</v>
      </c>
      <c r="D36" s="2195" t="str">
        <f>D33</f>
        <v>万元</v>
      </c>
      <c r="E36" s="2195"/>
      <c r="F36" s="2195"/>
      <c r="G36" s="2195"/>
      <c r="H36" s="2195"/>
      <c r="I36" s="2195"/>
    </row>
    <row r="37" spans="1:16" ht="15" thickBot="1">
      <c r="A37" s="2926" t="s">
        <v>1981</v>
      </c>
      <c r="B37" s="2237" t="s">
        <v>1982</v>
      </c>
      <c r="C37" s="69"/>
      <c r="D37" s="2238"/>
      <c r="E37" s="2239"/>
      <c r="F37" s="2239"/>
      <c r="G37" s="2195"/>
      <c r="H37" s="2195"/>
      <c r="I37" s="2195"/>
    </row>
    <row r="38" spans="1:16" ht="15" thickBot="1">
      <c r="A38" s="2927"/>
      <c r="B38" s="2240" t="s">
        <v>1983</v>
      </c>
      <c r="C38" s="71"/>
      <c r="D38" s="2205"/>
      <c r="E38" s="2205"/>
      <c r="F38" s="2239"/>
      <c r="G38" s="2205"/>
      <c r="H38" s="2205"/>
      <c r="I38" s="2205"/>
    </row>
    <row r="39" spans="1:16" ht="15" thickBot="1">
      <c r="A39" s="2928"/>
      <c r="B39" s="2241" t="s">
        <v>1984</v>
      </c>
      <c r="C39" s="711"/>
      <c r="D39" s="2242" t="s">
        <v>1985</v>
      </c>
      <c r="E39" s="2205"/>
      <c r="F39" s="2239"/>
      <c r="G39" s="2205"/>
      <c r="H39" s="2205"/>
      <c r="I39" s="2205"/>
    </row>
    <row r="40" spans="1:16" ht="14.4">
      <c r="A40" s="2209" t="s">
        <v>1986</v>
      </c>
      <c r="B40" s="2243" t="s">
        <v>1987</v>
      </c>
      <c r="C40" s="2244" t="s">
        <v>1988</v>
      </c>
      <c r="D40" s="2244" t="s">
        <v>1989</v>
      </c>
      <c r="E40" s="2245" t="s">
        <v>1990</v>
      </c>
      <c r="F40" s="2239"/>
      <c r="G40" s="2205"/>
      <c r="H40" s="2205"/>
      <c r="I40" s="2205"/>
    </row>
    <row r="41" spans="1:16" ht="13.8">
      <c r="A41" s="2246" t="s">
        <v>1991</v>
      </c>
      <c r="B41" s="74"/>
      <c r="C41" s="75"/>
      <c r="D41" s="75"/>
      <c r="E41" s="76"/>
      <c r="F41" s="2239"/>
      <c r="G41" s="2205"/>
      <c r="H41" s="2205"/>
      <c r="I41" s="2205"/>
    </row>
    <row r="42" spans="1:16" ht="13.8">
      <c r="A42" s="2246" t="s">
        <v>1992</v>
      </c>
      <c r="B42" s="74"/>
      <c r="C42" s="75"/>
      <c r="D42" s="75"/>
      <c r="E42" s="76"/>
      <c r="F42" s="2239"/>
      <c r="G42" s="2205"/>
      <c r="H42" s="2205"/>
      <c r="I42" s="2205"/>
    </row>
    <row r="43" spans="1:16" ht="14.4" thickBot="1">
      <c r="A43" s="2247"/>
      <c r="B43" s="77"/>
      <c r="C43" s="78"/>
      <c r="D43" s="78"/>
      <c r="E43" s="79"/>
      <c r="F43" s="2239"/>
      <c r="G43" s="2205"/>
      <c r="H43" s="2205"/>
      <c r="I43" s="2205"/>
    </row>
    <row r="44" spans="1:16" ht="13.2">
      <c r="A44" s="2248"/>
      <c r="B44" s="2248"/>
      <c r="C44" s="2248"/>
      <c r="D44" s="2248"/>
      <c r="E44" s="2248"/>
      <c r="F44" s="2249"/>
      <c r="G44" s="2249"/>
      <c r="H44" s="2249"/>
      <c r="I44" s="2250"/>
    </row>
    <row r="45" spans="1:16" ht="17.399999999999999">
      <c r="A45" s="2251" t="s">
        <v>1993</v>
      </c>
      <c r="B45" s="2252"/>
      <c r="C45" s="2252"/>
      <c r="D45" s="2253"/>
      <c r="E45" s="2253"/>
      <c r="F45" s="2254"/>
      <c r="G45" s="2254"/>
      <c r="H45" s="2254"/>
      <c r="I45" s="2254"/>
      <c r="J45" s="2255" t="s">
        <v>1824</v>
      </c>
      <c r="K45" s="2256"/>
      <c r="L45" s="2256"/>
      <c r="M45" s="2256"/>
      <c r="N45" s="2256"/>
      <c r="O45" s="2256"/>
      <c r="P45" s="1844"/>
    </row>
    <row r="46" spans="1:16" ht="14.25" customHeight="1" thickBot="1">
      <c r="A46" s="2931" t="s">
        <v>1994</v>
      </c>
      <c r="B46" s="2932"/>
      <c r="C46" s="2933"/>
      <c r="D46" s="80">
        <f ca="1">ROUND(I103*F46,0)</f>
        <v>1440</v>
      </c>
      <c r="E46" s="81" t="s">
        <v>1995</v>
      </c>
      <c r="F46" s="82">
        <v>1</v>
      </c>
      <c r="G46" s="83" t="s">
        <v>1996</v>
      </c>
      <c r="H46" s="2195"/>
      <c r="I46" s="2195"/>
      <c r="J46" s="2843" t="s">
        <v>1828</v>
      </c>
      <c r="K46" s="2843"/>
      <c r="L46" s="2843"/>
      <c r="M46" s="2843"/>
      <c r="N46" s="2843"/>
      <c r="O46" s="2843"/>
      <c r="P46" s="1844"/>
    </row>
    <row r="47" spans="1:16" ht="14.25" customHeight="1">
      <c r="A47" s="2923" t="s">
        <v>1829</v>
      </c>
      <c r="B47" s="2924"/>
      <c r="C47" s="2924"/>
      <c r="D47" s="2924"/>
      <c r="E47" s="2924"/>
      <c r="F47" s="2924"/>
      <c r="G47" s="2925"/>
      <c r="H47" s="2257"/>
      <c r="I47" s="1143"/>
      <c r="J47" s="1882">
        <v>1</v>
      </c>
      <c r="K47" s="2843" t="s">
        <v>1830</v>
      </c>
      <c r="L47" s="2843"/>
      <c r="M47" s="2958"/>
      <c r="N47" s="2958"/>
      <c r="O47" s="2958"/>
      <c r="P47" s="1844"/>
    </row>
    <row r="48" spans="1:16" ht="12" customHeight="1">
      <c r="A48" s="85" t="s">
        <v>1831</v>
      </c>
      <c r="B48" s="86"/>
      <c r="C48" s="87"/>
      <c r="D48" s="88" t="s">
        <v>1832</v>
      </c>
      <c r="E48" s="14" t="s">
        <v>1833</v>
      </c>
      <c r="F48" s="89" t="s">
        <v>1834</v>
      </c>
      <c r="G48" s="90" t="s">
        <v>1835</v>
      </c>
      <c r="H48" s="2257"/>
      <c r="I48" s="1143"/>
      <c r="J48" s="1882">
        <v>2</v>
      </c>
      <c r="K48" s="2843" t="s">
        <v>1836</v>
      </c>
      <c r="L48" s="2843"/>
      <c r="M48" s="2845">
        <f>'数据-取费表'!B2</f>
        <v>43328</v>
      </c>
      <c r="N48" s="2845"/>
      <c r="O48" s="2845"/>
      <c r="P48" s="1844"/>
    </row>
    <row r="49" spans="1:16" ht="26.4">
      <c r="A49" s="2929" t="s">
        <v>1837</v>
      </c>
      <c r="B49" s="2930"/>
      <c r="C49" s="2930"/>
      <c r="D49" s="56">
        <f ca="1">IF(H49="情况1",0,IF(H49="情况2",D53,IF(H49="情况3",D54,IF(H49="情况4",D55))))</f>
        <v>77</v>
      </c>
      <c r="E49" s="1892" t="str">
        <f>IF(H49="情况4","(销售额-原购置价)×税（费）率","销售额×税（费）率")</f>
        <v>销售额×税（费）率</v>
      </c>
      <c r="F49" s="91">
        <f>IF(H49="情况1","免征",'数据-取费表'!E29)</f>
        <v>5.6000000000000001E-2</v>
      </c>
      <c r="G49" s="2258" t="s">
        <v>1838</v>
      </c>
      <c r="H49" s="2259" t="s">
        <v>1839</v>
      </c>
      <c r="I49" s="2257"/>
      <c r="J49" s="1882">
        <v>3</v>
      </c>
      <c r="K49" s="2843" t="s">
        <v>1840</v>
      </c>
      <c r="L49" s="2843"/>
      <c r="M49" s="2844">
        <f ca="1">I103</f>
        <v>1440</v>
      </c>
      <c r="N49" s="2844"/>
      <c r="O49" s="2844"/>
      <c r="P49" s="1844"/>
    </row>
    <row r="50" spans="1:16" ht="25.5" customHeight="1">
      <c r="A50" s="92" t="s">
        <v>1841</v>
      </c>
      <c r="B50" s="2910" t="s">
        <v>1842</v>
      </c>
      <c r="C50" s="2910"/>
      <c r="D50" s="93">
        <v>0</v>
      </c>
      <c r="E50" s="13" t="s">
        <v>1843</v>
      </c>
      <c r="F50" s="18" t="s">
        <v>48</v>
      </c>
      <c r="G50" s="2834"/>
      <c r="H50" s="2195"/>
      <c r="I50" s="2260"/>
      <c r="J50" s="1882">
        <v>4</v>
      </c>
      <c r="K50" s="2843" t="str">
        <f>IF(项目基本情况!F5="房地产抵押价值","房地产抵押价值","抵押担保权已注销时的房地产抵押价值")</f>
        <v>抵押担保权已注销时的房地产抵押价值</v>
      </c>
      <c r="L50" s="2843"/>
      <c r="M50" s="2844">
        <f ca="1">IF(项目基本情况!F5="房地产抵押价值",I111,I113)</f>
        <v>1440</v>
      </c>
      <c r="N50" s="2844"/>
      <c r="O50" s="2844"/>
      <c r="P50" s="1844"/>
    </row>
    <row r="51" spans="1:16" ht="25.5" customHeight="1">
      <c r="A51" s="94"/>
      <c r="B51" s="2910" t="s">
        <v>1844</v>
      </c>
      <c r="C51" s="2910"/>
      <c r="D51" s="95"/>
      <c r="E51" s="21"/>
      <c r="F51" s="96"/>
      <c r="G51" s="2835"/>
      <c r="H51" s="2195"/>
      <c r="I51" s="2260"/>
      <c r="J51" s="2843" t="s">
        <v>1845</v>
      </c>
      <c r="K51" s="2843"/>
      <c r="L51" s="2843"/>
      <c r="M51" s="2843"/>
      <c r="N51" s="2843"/>
      <c r="O51" s="2843"/>
      <c r="P51" s="1844"/>
    </row>
    <row r="52" spans="1:16" ht="12" customHeight="1">
      <c r="A52" s="97"/>
      <c r="B52" s="2910" t="s">
        <v>1846</v>
      </c>
      <c r="C52" s="2910"/>
      <c r="D52" s="98"/>
      <c r="E52" s="20"/>
      <c r="F52" s="96"/>
      <c r="G52" s="2836"/>
      <c r="H52" s="2195"/>
      <c r="I52" s="2260"/>
      <c r="J52" s="2261" t="s">
        <v>1847</v>
      </c>
      <c r="K52" s="2843" t="s">
        <v>1848</v>
      </c>
      <c r="L52" s="2843"/>
      <c r="M52" s="2261" t="s">
        <v>1849</v>
      </c>
      <c r="N52" s="2261" t="s">
        <v>1850</v>
      </c>
      <c r="O52" s="2261" t="s">
        <v>1851</v>
      </c>
      <c r="P52" s="1844"/>
    </row>
    <row r="53" spans="1:16" ht="24" customHeight="1">
      <c r="A53" s="99" t="s">
        <v>1852</v>
      </c>
      <c r="B53" s="2910" t="s">
        <v>1853</v>
      </c>
      <c r="C53" s="2910"/>
      <c r="D53" s="98">
        <f ca="1">ROUND(D46*'数据-取费表'!E29/(1+'数据-取费表'!F30),0)</f>
        <v>77</v>
      </c>
      <c r="E53" s="10" t="s">
        <v>1854</v>
      </c>
      <c r="F53" s="100">
        <f>'数据-取费表'!E29</f>
        <v>5.6000000000000001E-2</v>
      </c>
      <c r="G53" s="2262"/>
      <c r="H53" s="2195"/>
      <c r="I53" s="2260"/>
      <c r="J53" s="1882">
        <v>1</v>
      </c>
      <c r="K53" s="2833" t="s">
        <v>1855</v>
      </c>
      <c r="L53" s="2833"/>
      <c r="M53" s="777">
        <f ca="1">D49</f>
        <v>77</v>
      </c>
      <c r="N53" s="1882" t="str">
        <f>E49</f>
        <v>销售额×税（费）率</v>
      </c>
      <c r="O53" s="778">
        <f>F49</f>
        <v>5.6000000000000001E-2</v>
      </c>
      <c r="P53" s="1844"/>
    </row>
    <row r="54" spans="1:16" ht="12" customHeight="1">
      <c r="A54" s="99" t="s">
        <v>1856</v>
      </c>
      <c r="B54" s="2909" t="s">
        <v>1857</v>
      </c>
      <c r="C54" s="2803"/>
      <c r="D54" s="98">
        <f ca="1">ROUND(D46*'数据-取费表'!E29/(1+'数据-取费表'!F30),0)</f>
        <v>77</v>
      </c>
      <c r="E54" s="10" t="s">
        <v>1854</v>
      </c>
      <c r="F54" s="100">
        <f>'数据-取费表'!E29</f>
        <v>5.6000000000000001E-2</v>
      </c>
      <c r="G54" s="2262"/>
      <c r="H54" s="2195"/>
      <c r="I54" s="2260"/>
      <c r="J54" s="1882">
        <v>2</v>
      </c>
      <c r="K54" s="2833" t="s">
        <v>1858</v>
      </c>
      <c r="L54" s="2833"/>
      <c r="M54" s="777">
        <f t="shared" ref="M54:O55" ca="1" si="1">D56</f>
        <v>1</v>
      </c>
      <c r="N54" s="1882" t="str">
        <f t="shared" si="1"/>
        <v>销售额×税（费）率</v>
      </c>
      <c r="O54" s="778">
        <f t="shared" si="1"/>
        <v>5.0000000000000001E-4</v>
      </c>
      <c r="P54" s="1844"/>
    </row>
    <row r="55" spans="1:16" ht="12" customHeight="1">
      <c r="A55" s="99" t="s">
        <v>1859</v>
      </c>
      <c r="B55" s="2909" t="s">
        <v>1860</v>
      </c>
      <c r="C55" s="2803"/>
      <c r="D55" s="98">
        <f ca="1">C69</f>
        <v>77</v>
      </c>
      <c r="E55" s="20" t="s">
        <v>1861</v>
      </c>
      <c r="F55" s="100">
        <f>'数据-取费表'!E29</f>
        <v>5.6000000000000001E-2</v>
      </c>
      <c r="G55" s="2262"/>
      <c r="H55" s="2263"/>
      <c r="I55" s="2260"/>
      <c r="J55" s="1882">
        <v>3</v>
      </c>
      <c r="K55" s="2833" t="s">
        <v>1862</v>
      </c>
      <c r="L55" s="2833"/>
      <c r="M55" s="777">
        <f t="shared" ca="1" si="1"/>
        <v>815</v>
      </c>
      <c r="N55" s="1882" t="str">
        <f t="shared" si="1"/>
        <v>增值额×税（费）率</v>
      </c>
      <c r="O55" s="779" t="str">
        <f t="shared" si="1"/>
        <v>——</v>
      </c>
      <c r="P55" s="1844"/>
    </row>
    <row r="56" spans="1:16" ht="24" customHeight="1">
      <c r="A56" s="2795" t="s">
        <v>1863</v>
      </c>
      <c r="B56" s="2930"/>
      <c r="C56" s="2930"/>
      <c r="D56" s="101">
        <f ca="1">IF(H56="个人住宅",0,ROUND(D46*I56,0))</f>
        <v>1</v>
      </c>
      <c r="E56" s="10" t="s">
        <v>1864</v>
      </c>
      <c r="F56" s="100">
        <f>IF(H56="正常",I56,"免征")</f>
        <v>5.0000000000000001E-4</v>
      </c>
      <c r="G56" s="2262"/>
      <c r="H56" s="2259" t="s">
        <v>1865</v>
      </c>
      <c r="I56" s="102">
        <f>'数据-取费表'!E37</f>
        <v>5.0000000000000001E-4</v>
      </c>
      <c r="J56" s="1882" t="str">
        <f>IF(H60="非个人房产","",4)</f>
        <v/>
      </c>
      <c r="K56" s="2833" t="str">
        <f>IF(H60="非个人房产","——","个人所得税")</f>
        <v>——</v>
      </c>
      <c r="L56" s="2833"/>
      <c r="M56" s="780" t="str">
        <f>D60</f>
        <v>——</v>
      </c>
      <c r="N56" s="1885" t="str">
        <f>E60</f>
        <v>——</v>
      </c>
      <c r="O56" s="781" t="str">
        <f>F60</f>
        <v>——</v>
      </c>
      <c r="P56" s="1844"/>
    </row>
    <row r="57" spans="1:16" ht="25.2">
      <c r="A57" s="2795" t="s">
        <v>1866</v>
      </c>
      <c r="B57" s="2930"/>
      <c r="C57" s="2930"/>
      <c r="D57" s="101">
        <f ca="1">IF(H57="个人住宅",D58,D59)</f>
        <v>815</v>
      </c>
      <c r="E57" s="10" t="s">
        <v>1867</v>
      </c>
      <c r="F57" s="100" t="str">
        <f>IF(H57="正常",F59,"免征")</f>
        <v>——</v>
      </c>
      <c r="G57" s="2264" t="s">
        <v>1868</v>
      </c>
      <c r="H57" s="2265" t="s">
        <v>1865</v>
      </c>
      <c r="I57" s="1021"/>
      <c r="J57" s="1882" t="str">
        <f>IF(项目基本情况!I6="上海银行",IF(J56="",4,J56+1),"")</f>
        <v/>
      </c>
      <c r="K57" s="2850" t="str">
        <f>IF(项目基本情况!I6="上海银行","其他处置费用","")</f>
        <v/>
      </c>
      <c r="L57" s="2851"/>
      <c r="M57" s="777" t="str">
        <f>IF(项目基本情况!I6="上海银行",M70,"")</f>
        <v/>
      </c>
      <c r="N57" s="2831" t="str">
        <f>IF(项目基本情况!I6="上海银行","包含处置中涉及的律师、诉讼、拍卖、评估等费用","")</f>
        <v/>
      </c>
      <c r="O57" s="2832"/>
      <c r="P57" s="1844"/>
    </row>
    <row r="58" spans="1:16" ht="13.2">
      <c r="A58" s="99" t="s">
        <v>1841</v>
      </c>
      <c r="B58" s="2918" t="s">
        <v>1869</v>
      </c>
      <c r="C58" s="2920"/>
      <c r="D58" s="103">
        <v>0</v>
      </c>
      <c r="E58" s="13" t="s">
        <v>1843</v>
      </c>
      <c r="F58" s="70"/>
      <c r="G58" s="2262"/>
      <c r="H58" s="1021"/>
      <c r="I58" s="1021"/>
      <c r="J58" s="2833">
        <f>IF(AND(J56="",J57=""),4,IF(项目基本情况!I6="上海银行",J57+1,J56+1))</f>
        <v>4</v>
      </c>
      <c r="K58" s="2833" t="s">
        <v>1870</v>
      </c>
      <c r="L58" s="2266" t="s">
        <v>1871</v>
      </c>
      <c r="M58" s="782"/>
      <c r="N58" s="783">
        <f ca="1">SUMIF(M53:M57,"&lt;9e307")</f>
        <v>893</v>
      </c>
      <c r="O58" s="2267"/>
      <c r="P58" s="1840">
        <f ca="1">N58/M50</f>
        <v>0.62013888888888891</v>
      </c>
    </row>
    <row r="59" spans="1:16" ht="25.2">
      <c r="A59" s="99" t="s">
        <v>1852</v>
      </c>
      <c r="B59" s="2918" t="s">
        <v>1872</v>
      </c>
      <c r="C59" s="2919"/>
      <c r="D59" s="101">
        <f ca="1">IF(H59="转让取得",C82,C98)</f>
        <v>815</v>
      </c>
      <c r="E59" s="10" t="s">
        <v>1867</v>
      </c>
      <c r="F59" s="14" t="s">
        <v>48</v>
      </c>
      <c r="G59" s="2262"/>
      <c r="H59" s="2265" t="s">
        <v>1873</v>
      </c>
      <c r="I59" s="1021"/>
      <c r="J59" s="2833"/>
      <c r="K59" s="2833"/>
      <c r="L59" s="2266" t="s">
        <v>1874</v>
      </c>
      <c r="M59" s="784"/>
      <c r="N59" s="2268" t="str">
        <f ca="1">IF(H19="元",NUMBERSTRING(INT(N58),2)&amp;"元整",NUMBERSTRING(INT(N58*10000),2)&amp;"元整")</f>
        <v>捌佰玖拾叁万元整</v>
      </c>
      <c r="O59" s="2269"/>
      <c r="P59" s="1844"/>
    </row>
    <row r="60" spans="1:16" ht="24.6" thickBot="1">
      <c r="A60" s="2796" t="s">
        <v>1875</v>
      </c>
      <c r="B60" s="2799"/>
      <c r="C60" s="2799"/>
      <c r="D60" s="104" t="str">
        <f>IF(H60="非个人房产","——",IF(H60="个人住宅",0,ROUND(D46*I60,0)))</f>
        <v>——</v>
      </c>
      <c r="E60" s="105" t="str">
        <f>IF(H60="非个人房产","——","销售额×税（费）率")</f>
        <v>——</v>
      </c>
      <c r="F60" s="106" t="str">
        <f>IF(H60="非个人房产","——",IF(H60="个人住宅","免征",I60))</f>
        <v>——</v>
      </c>
      <c r="G60" s="2270" t="s">
        <v>1868</v>
      </c>
      <c r="H60" s="2265" t="s">
        <v>1997</v>
      </c>
      <c r="I60" s="107">
        <v>0.01</v>
      </c>
      <c r="J60" s="2887">
        <f>J58+1</f>
        <v>5</v>
      </c>
      <c r="K60" s="2833" t="s">
        <v>1877</v>
      </c>
      <c r="L60" s="1882" t="s">
        <v>1871</v>
      </c>
      <c r="M60" s="785"/>
      <c r="N60" s="786">
        <f ca="1">M50-N58</f>
        <v>547</v>
      </c>
      <c r="O60" s="2271"/>
      <c r="P60" s="1844"/>
    </row>
    <row r="61" spans="1:16" ht="12" customHeight="1">
      <c r="A61" s="2066"/>
      <c r="B61" s="2195"/>
      <c r="C61" s="2195"/>
      <c r="D61" s="2195"/>
      <c r="E61" s="1021"/>
      <c r="F61" s="1021"/>
      <c r="G61" s="1021"/>
      <c r="H61" s="2248"/>
      <c r="I61" s="2195"/>
      <c r="J61" s="2888"/>
      <c r="K61" s="2833"/>
      <c r="L61" s="2266" t="s">
        <v>1874</v>
      </c>
      <c r="M61" s="784"/>
      <c r="N61" s="2268" t="str">
        <f ca="1">IF(H19="元",NUMBERSTRING(INT(N60),2)&amp;"元整",NUMBERSTRING(INT(N60*10000),2)&amp;"元整")</f>
        <v>伍佰肆拾柒万元整</v>
      </c>
      <c r="O61" s="2269"/>
      <c r="P61" s="1844"/>
    </row>
    <row r="62" spans="1:16" ht="13.8" thickBot="1">
      <c r="A62" s="2934" t="s">
        <v>1878</v>
      </c>
      <c r="B62" s="2934"/>
      <c r="C62" s="2934"/>
      <c r="D62" s="2934"/>
      <c r="E62" s="2934"/>
      <c r="F62" s="1021"/>
      <c r="G62" s="1021"/>
      <c r="H62" s="2248"/>
      <c r="I62" s="2195"/>
      <c r="J62" s="1882">
        <f>J60+1</f>
        <v>6</v>
      </c>
      <c r="K62" s="2833" t="s">
        <v>1879</v>
      </c>
      <c r="L62" s="2833"/>
      <c r="M62" s="787"/>
      <c r="N62" s="788">
        <f ca="1">IF(H19="元",ROUND(N60/项目基本情况!C12,0),ROUND(N60*10000/项目基本情况!C12,0))</f>
        <v>12883</v>
      </c>
      <c r="O62" s="2272"/>
      <c r="P62" s="1844"/>
    </row>
    <row r="63" spans="1:16" ht="13.2">
      <c r="A63" s="2871" t="s">
        <v>1880</v>
      </c>
      <c r="B63" s="2872"/>
      <c r="C63" s="1884"/>
      <c r="D63" s="1884" t="s">
        <v>1881</v>
      </c>
      <c r="E63" s="108" t="s">
        <v>1882</v>
      </c>
      <c r="F63" s="1021"/>
      <c r="G63" s="1021"/>
      <c r="H63" s="2248"/>
      <c r="I63" s="2195"/>
      <c r="J63" s="1844"/>
      <c r="K63" s="1844"/>
      <c r="L63" s="1844"/>
      <c r="M63" s="1844"/>
      <c r="N63" s="1844"/>
      <c r="O63" s="1844"/>
      <c r="P63" s="1844"/>
    </row>
    <row r="64" spans="1:16" ht="13.2">
      <c r="A64" s="109">
        <v>1</v>
      </c>
      <c r="B64" s="110" t="s">
        <v>1883</v>
      </c>
      <c r="C64" s="111">
        <f ca="1">ROUND((C65+C66)/(1+'数据-取费表'!F30),0)</f>
        <v>1371</v>
      </c>
      <c r="D64" s="112"/>
      <c r="E64" s="113"/>
      <c r="F64" s="1021"/>
      <c r="G64" s="1021"/>
      <c r="H64" s="2248"/>
      <c r="I64" s="2195"/>
      <c r="J64" s="2852" t="s">
        <v>1884</v>
      </c>
      <c r="K64" s="2273" t="s">
        <v>1885</v>
      </c>
      <c r="L64" s="1843">
        <f ca="1">IF(M50&gt;10000,M50*0.5%,IF(AND(M50&gt;1000,M50&lt;=10000),M50*1%,IF(AND(M50&gt;100,M50&lt;=1000),M50*3%,IF(AND(M50&gt;10,M50&lt;=100),M50*5%,M50*8%))))</f>
        <v>14.4</v>
      </c>
      <c r="M64" s="14">
        <f ca="1">ROUND(L64,1)</f>
        <v>14.4</v>
      </c>
      <c r="N64" s="1844"/>
      <c r="O64" s="1844"/>
      <c r="P64" s="1844"/>
    </row>
    <row r="65" spans="1:35" ht="13.2">
      <c r="A65" s="114" t="s">
        <v>71</v>
      </c>
      <c r="B65" s="115" t="s">
        <v>1886</v>
      </c>
      <c r="C65" s="116">
        <f ca="1">D46</f>
        <v>1440</v>
      </c>
      <c r="D65" s="117" t="s">
        <v>41</v>
      </c>
      <c r="E65" s="118"/>
      <c r="F65" s="1021"/>
      <c r="G65" s="1021"/>
      <c r="H65" s="2248"/>
      <c r="I65" s="2195"/>
      <c r="J65" s="2852"/>
      <c r="K65" s="2273" t="s">
        <v>1887</v>
      </c>
      <c r="L65" s="1843">
        <f ca="1">IF(M50&gt;2000,M50*0.5%,IF(AND(M50&gt;1000,M50&lt;=2000),M50*0.6%,IF(AND(M50&gt;500,M50&lt;=1000),M50*0.7%,IF(AND(M50&gt;200,M50&lt;=500),M50*0.8%,IF(AND(M50&gt;100,M50&lt;=200),M50*0.9%,IF(AND(M50&gt;50,M50&lt;=100),M50*1%,IF(AND(M50&gt;20,M50&lt;=50),M50*1.5%,IF(AND(M50&gt;10,M50&lt;=20),M50*2%,IF(AND(M50&gt;1,M50&lt;=10),M50*2.5%)))))))))</f>
        <v>8.64</v>
      </c>
      <c r="M65" s="14">
        <f t="shared" ref="M65:M66" ca="1" si="2">ROUND(L65,1)</f>
        <v>8.6</v>
      </c>
      <c r="N65" s="1844" t="s">
        <v>1888</v>
      </c>
      <c r="O65" s="1844"/>
      <c r="P65" s="1844"/>
    </row>
    <row r="66" spans="1:35" ht="13.2">
      <c r="A66" s="114" t="s">
        <v>72</v>
      </c>
      <c r="B66" s="115" t="s">
        <v>1889</v>
      </c>
      <c r="C66" s="119"/>
      <c r="D66" s="117"/>
      <c r="E66" s="118"/>
      <c r="F66" s="1021"/>
      <c r="G66" s="1021"/>
      <c r="H66" s="2248"/>
      <c r="I66" s="2195"/>
      <c r="J66" s="2852"/>
      <c r="K66" s="2273" t="s">
        <v>1890</v>
      </c>
      <c r="L66" s="1843">
        <f ca="1">IF(M50&gt;1000,M50*0.1%,IF(AND(M50&gt;500,M50&lt;=1000),M50*0.5%,IF(AND(M50&gt;50,M50&lt;=500),M50*1%,IF(AND(M50&gt;1,M50&lt;=50),M50*1.5%))))</f>
        <v>1.44</v>
      </c>
      <c r="M66" s="14">
        <f t="shared" ca="1" si="2"/>
        <v>1.4</v>
      </c>
      <c r="N66" s="1844" t="s">
        <v>1888</v>
      </c>
      <c r="O66" s="1844"/>
      <c r="P66" s="1844"/>
    </row>
    <row r="67" spans="1:35" ht="13.2">
      <c r="A67" s="120" t="s">
        <v>47</v>
      </c>
      <c r="B67" s="121" t="s">
        <v>1891</v>
      </c>
      <c r="C67" s="122"/>
      <c r="D67" s="123" t="s">
        <v>41</v>
      </c>
      <c r="E67" s="1860" t="s">
        <v>1892</v>
      </c>
      <c r="F67" s="1021"/>
      <c r="G67" s="1021"/>
      <c r="H67" s="2248"/>
      <c r="I67" s="2195"/>
      <c r="J67" s="2852"/>
      <c r="K67" s="2273" t="s">
        <v>1893</v>
      </c>
      <c r="L67" s="1843">
        <f ca="1">M50*0.5%</f>
        <v>7.2</v>
      </c>
      <c r="M67" s="14">
        <f ca="1">IF(L67&gt;0.5,0.5,ROUND(L67,0))</f>
        <v>0.5</v>
      </c>
      <c r="N67" s="1844" t="s">
        <v>1894</v>
      </c>
      <c r="O67" s="1844"/>
      <c r="P67" s="1844"/>
    </row>
    <row r="68" spans="1:35" ht="13.2">
      <c r="A68" s="120" t="s">
        <v>42</v>
      </c>
      <c r="B68" s="121" t="s">
        <v>1895</v>
      </c>
      <c r="C68" s="124">
        <f ca="1">C64-C67</f>
        <v>1371</v>
      </c>
      <c r="D68" s="117" t="s">
        <v>41</v>
      </c>
      <c r="E68" s="118"/>
      <c r="F68" s="1021"/>
      <c r="G68" s="1021"/>
      <c r="H68" s="2248"/>
      <c r="I68" s="2195"/>
      <c r="J68" s="2852"/>
      <c r="K68" s="2273" t="s">
        <v>1896</v>
      </c>
      <c r="L68" s="1843">
        <f ca="1">IF(M50&gt;=10000,(8.25+(M50-10000)*0.01%),IF(AND(M50&gt;=8000,M50&lt;10000),(7.85+(M50-8000)*0.02%),IF(AND(M50&gt;=5000,M50&lt;8000),(6.65+(M50-5000)*0.04%),IF(AND(M50&gt;=2000,M50&lt;5000),(4.25+(PM50-2000)*0.08%),IF(AND(M50&gt;=1000,M50&lt;2000),(2.75+(M50-1000)*0.15%),IF(AND(M50&gt;=100,M50&lt;1000),(0.5+(M50-100)*0.25%),IF(AND(M50&gt;0,M50&lt;100),M50*0.5%)))))))</f>
        <v>3.41</v>
      </c>
      <c r="M68" s="14">
        <f ca="1">ROUND(L68*0.9,1)</f>
        <v>3.1</v>
      </c>
      <c r="N68" s="1844"/>
      <c r="O68" s="1844"/>
      <c r="P68" s="1844"/>
    </row>
    <row r="69" spans="1:35" ht="13.8" thickBot="1">
      <c r="A69" s="125" t="s">
        <v>46</v>
      </c>
      <c r="B69" s="126" t="s">
        <v>1897</v>
      </c>
      <c r="C69" s="127">
        <f ca="1">IF(C68&lt;=0,0,ROUND(C68*D69,0))</f>
        <v>77</v>
      </c>
      <c r="D69" s="128">
        <f>'数据-取费表'!E29</f>
        <v>5.6000000000000001E-2</v>
      </c>
      <c r="E69" s="129"/>
      <c r="F69" s="1021"/>
      <c r="G69" s="1021"/>
      <c r="H69" s="2248"/>
      <c r="I69" s="2195"/>
      <c r="J69" s="2852"/>
      <c r="K69" s="2273" t="s">
        <v>1898</v>
      </c>
      <c r="L69" s="1843">
        <f ca="1">IF(M50&gt;10000,M50*0.5%,IF(AND(M50&gt;5000,M50&lt;=10000),M50*1%,IF(AND(M50&gt;1000,M50&lt;=5000),M50*2%,IF(AND(M50&gt;200,M50&lt;=1000),M50*3%,M50*5%))))</f>
        <v>28.8</v>
      </c>
      <c r="M69" s="14">
        <f ca="1">ROUND(L69,1)</f>
        <v>28.8</v>
      </c>
      <c r="N69" s="1844"/>
      <c r="O69" s="1844"/>
      <c r="P69" s="1844"/>
    </row>
    <row r="70" spans="1:35" s="2222" customFormat="1" ht="7.5" customHeight="1">
      <c r="A70" s="2274"/>
      <c r="B70" s="2275"/>
      <c r="C70" s="2276"/>
      <c r="D70" s="2277"/>
      <c r="E70" s="2278"/>
      <c r="F70" s="1021"/>
      <c r="G70" s="1021"/>
      <c r="H70" s="2248"/>
      <c r="I70" s="2195"/>
      <c r="J70" s="2852"/>
      <c r="K70" s="2273" t="s">
        <v>1899</v>
      </c>
      <c r="L70" s="2279"/>
      <c r="M70" s="14">
        <f ca="1">ROUND(SUM(M64:M69),0)</f>
        <v>57</v>
      </c>
      <c r="N70" s="1840">
        <f ca="1">M70/M50</f>
        <v>3.9583333333333331E-2</v>
      </c>
      <c r="O70" s="1844"/>
      <c r="P70" s="1844"/>
      <c r="Q70" s="797"/>
      <c r="R70" s="797"/>
      <c r="S70" s="797"/>
      <c r="T70" s="797"/>
      <c r="U70" s="797"/>
      <c r="V70" s="797"/>
      <c r="W70" s="797"/>
      <c r="X70" s="797"/>
      <c r="Y70" s="797"/>
      <c r="Z70" s="797"/>
      <c r="AA70" s="1844"/>
      <c r="AB70" s="1844"/>
      <c r="AC70" s="1844"/>
      <c r="AD70" s="1844"/>
      <c r="AE70" s="1844"/>
      <c r="AF70" s="1844"/>
      <c r="AG70" s="1844"/>
      <c r="AH70" s="1844"/>
      <c r="AI70" s="1844"/>
    </row>
    <row r="71" spans="1:35" s="2281" customFormat="1" ht="14.4" thickBot="1">
      <c r="A71" s="2873" t="s">
        <v>1900</v>
      </c>
      <c r="B71" s="2874"/>
      <c r="C71" s="2874"/>
      <c r="D71" s="2874"/>
      <c r="E71" s="2874"/>
      <c r="F71" s="2874"/>
      <c r="G71" s="2874"/>
      <c r="H71" s="2874"/>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3.8">
      <c r="A72" s="2871" t="s">
        <v>1880</v>
      </c>
      <c r="B72" s="2872"/>
      <c r="C72" s="1884"/>
      <c r="D72" s="1884" t="s">
        <v>1881</v>
      </c>
      <c r="E72" s="130" t="s">
        <v>1882</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3.8">
      <c r="A73" s="133">
        <v>1</v>
      </c>
      <c r="B73" s="121" t="s">
        <v>1901</v>
      </c>
      <c r="C73" s="124">
        <f ca="1">ROUND(D46/(1+'数据-取费表'!F30),0)</f>
        <v>1371</v>
      </c>
      <c r="D73" s="117" t="s">
        <v>41</v>
      </c>
      <c r="E73" s="1887"/>
      <c r="F73" s="1888"/>
      <c r="G73" s="1888"/>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3.8">
      <c r="A74" s="135">
        <v>2</v>
      </c>
      <c r="B74" s="89" t="s">
        <v>1903</v>
      </c>
      <c r="C74" s="124">
        <f ca="1">C75+C79</f>
        <v>8</v>
      </c>
      <c r="D74" s="117" t="s">
        <v>41</v>
      </c>
      <c r="E74" s="1887"/>
      <c r="F74" s="1888"/>
      <c r="G74" s="1888"/>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24">
      <c r="A75" s="136" t="s">
        <v>73</v>
      </c>
      <c r="B75" s="115" t="s">
        <v>1904</v>
      </c>
      <c r="C75" s="117">
        <f>ROUND(IF(G78="2016年5月1日后购买",C76/(1+'数据-取费表'!F30)+C77+C78,C76+C77+C78),0)</f>
        <v>0</v>
      </c>
      <c r="D75" s="117" t="s">
        <v>41</v>
      </c>
      <c r="E75" s="1887"/>
      <c r="F75" s="1888"/>
      <c r="G75" s="1888"/>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8.8">
      <c r="A76" s="136" t="s">
        <v>74</v>
      </c>
      <c r="B76" s="115" t="s">
        <v>1905</v>
      </c>
      <c r="C76" s="137"/>
      <c r="D76" s="117" t="s">
        <v>41</v>
      </c>
      <c r="E76" s="138" t="s">
        <v>1906</v>
      </c>
      <c r="F76" s="2284" t="s">
        <v>1907</v>
      </c>
      <c r="G76" s="138" t="s">
        <v>1908</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1909</v>
      </c>
      <c r="C77" s="117">
        <f>IF(F76="购房发票",ROUND(C76*H76*D77,0),0)</f>
        <v>0</v>
      </c>
      <c r="D77" s="141">
        <v>0.05</v>
      </c>
      <c r="E77" s="2909" t="s">
        <v>1910</v>
      </c>
      <c r="F77" s="2910"/>
      <c r="G77" s="2910"/>
      <c r="H77" s="2911"/>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5" t="s">
        <v>1913</v>
      </c>
      <c r="H78" s="1889"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1914</v>
      </c>
      <c r="C79" s="144">
        <f ca="1">ROUND(D46*D79/(1+'数据-取费表'!F30),0)</f>
        <v>8</v>
      </c>
      <c r="D79" s="145">
        <f>'数据-取费表'!E31</f>
        <v>6.000000000000001E-3</v>
      </c>
      <c r="E79" s="2840" t="s">
        <v>1915</v>
      </c>
      <c r="F79" s="2841"/>
      <c r="G79" s="2841"/>
      <c r="H79" s="2861"/>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3.8">
      <c r="A80" s="146" t="s">
        <v>42</v>
      </c>
      <c r="B80" s="121" t="s">
        <v>1916</v>
      </c>
      <c r="C80" s="124">
        <f ca="1">C73-C74</f>
        <v>1363</v>
      </c>
      <c r="D80" s="117" t="s">
        <v>41</v>
      </c>
      <c r="E80" s="1887"/>
      <c r="F80" s="1888"/>
      <c r="G80" s="1888"/>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
      <c r="A81" s="146" t="s">
        <v>43</v>
      </c>
      <c r="B81" s="121" t="s">
        <v>1917</v>
      </c>
      <c r="C81" s="147">
        <f ca="1">IF(C80&lt;=0,0,C80/C74)</f>
        <v>170.375</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4.4" thickBot="1">
      <c r="A82" s="148" t="s">
        <v>44</v>
      </c>
      <c r="B82" s="126" t="s">
        <v>1918</v>
      </c>
      <c r="C82" s="149">
        <f ca="1">ROUND(IF(C80&lt;=0,0,IF(C81&gt;=200%,C80*60%-C74*35%,IF(C81&gt;=100%,C80*50%-C74*15%,IF(C81&gt;=50%,C80*40%-C74*5%,IF(C81&lt;50%,C80*30%,0))))),0)</f>
        <v>815</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6"/>
      <c r="B83" s="717"/>
      <c r="C83" s="9"/>
      <c r="D83" s="9"/>
      <c r="E83" s="717"/>
      <c r="F83" s="717"/>
      <c r="G83" s="717"/>
      <c r="H83" s="718"/>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4" thickBot="1">
      <c r="A84" s="2873" t="s">
        <v>1919</v>
      </c>
      <c r="B84" s="2874"/>
      <c r="C84" s="2874"/>
      <c r="D84" s="2874"/>
      <c r="E84" s="2874"/>
      <c r="F84" s="2874"/>
      <c r="G84" s="2874"/>
      <c r="H84" s="287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3.8">
      <c r="A85" s="2871" t="s">
        <v>1880</v>
      </c>
      <c r="B85" s="2872"/>
      <c r="C85" s="1884"/>
      <c r="D85" s="1884" t="s">
        <v>1881</v>
      </c>
      <c r="E85" s="130" t="s">
        <v>1882</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3.8">
      <c r="A86" s="133">
        <v>1</v>
      </c>
      <c r="B86" s="121" t="s">
        <v>1901</v>
      </c>
      <c r="C86" s="124">
        <f ca="1">ROUND(D46/(1+'数据-取费表'!F30),0)</f>
        <v>1371</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3.8">
      <c r="A87" s="135">
        <v>2</v>
      </c>
      <c r="B87" s="89" t="s">
        <v>1903</v>
      </c>
      <c r="C87" s="124">
        <f ca="1">IF(H89="仅含出让金",C88+C91+C92+C93+C94+C95,C88+C92+C93+C94+C95)</f>
        <v>8</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3.8">
      <c r="A88" s="136" t="s">
        <v>73</v>
      </c>
      <c r="B88" s="115" t="s">
        <v>1920</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3.8">
      <c r="A89" s="136" t="s">
        <v>74</v>
      </c>
      <c r="B89" s="115" t="s">
        <v>1921</v>
      </c>
      <c r="C89" s="157"/>
      <c r="D89" s="145"/>
      <c r="E89" s="158" t="s">
        <v>1922</v>
      </c>
      <c r="F89" s="1881"/>
      <c r="G89" s="159" t="s">
        <v>1923</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3.8">
      <c r="A90" s="136" t="s">
        <v>75</v>
      </c>
      <c r="B90" s="115" t="s">
        <v>1911</v>
      </c>
      <c r="C90" s="144">
        <f>ROUND(C89*D90,0)</f>
        <v>0</v>
      </c>
      <c r="D90" s="145">
        <f>'数据-取费表'!E36+'数据-取费表'!E37</f>
        <v>3.0499999999999999E-2</v>
      </c>
      <c r="E90" s="158" t="s">
        <v>1924</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3.8">
      <c r="A91" s="136" t="s">
        <v>77</v>
      </c>
      <c r="B91" s="115" t="s">
        <v>1925</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1926</v>
      </c>
      <c r="C92" s="144">
        <f>IF(H92="——",成本法!C33,I92)</f>
        <v>0</v>
      </c>
      <c r="D92" s="145"/>
      <c r="E92" s="2840" t="s">
        <v>1927</v>
      </c>
      <c r="F92" s="2841"/>
      <c r="G92" s="2841"/>
      <c r="H92" s="2288" t="s">
        <v>1928</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1929</v>
      </c>
      <c r="C93" s="144">
        <f>ROUND((C88+C91+C92)*D93,0)</f>
        <v>0</v>
      </c>
      <c r="D93" s="145">
        <v>0.1</v>
      </c>
      <c r="E93" s="2840" t="s">
        <v>1930</v>
      </c>
      <c r="F93" s="2841"/>
      <c r="G93" s="2841"/>
      <c r="H93" s="2861"/>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1914</v>
      </c>
      <c r="C94" s="144">
        <f ca="1">ROUND(D46*D94/(1+'数据-取费表'!F30),0)</f>
        <v>8</v>
      </c>
      <c r="D94" s="145">
        <f>'数据-取费表'!E31</f>
        <v>6.000000000000001E-3</v>
      </c>
      <c r="E94" s="2840" t="s">
        <v>1915</v>
      </c>
      <c r="F94" s="2841"/>
      <c r="G94" s="2841"/>
      <c r="H94" s="2861"/>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1931</v>
      </c>
      <c r="C95" s="144">
        <f>ROUND((C88+C91+C92)*D95,0)</f>
        <v>0</v>
      </c>
      <c r="D95" s="145">
        <v>0.2</v>
      </c>
      <c r="E95" s="2840" t="s">
        <v>1932</v>
      </c>
      <c r="F95" s="2841"/>
      <c r="G95" s="2841"/>
      <c r="H95" s="2861"/>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3.8">
      <c r="A96" s="146" t="s">
        <v>42</v>
      </c>
      <c r="B96" s="121" t="s">
        <v>1916</v>
      </c>
      <c r="C96" s="124">
        <f ca="1">ROUND(C86-C87,0)</f>
        <v>1363</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
      <c r="A97" s="146" t="s">
        <v>43</v>
      </c>
      <c r="B97" s="121" t="s">
        <v>1917</v>
      </c>
      <c r="C97" s="147">
        <f ca="1">IF(C96&lt;=0,0,C96/C87)</f>
        <v>170.375</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4.4" thickBot="1">
      <c r="A98" s="148" t="s">
        <v>44</v>
      </c>
      <c r="B98" s="126" t="s">
        <v>1918</v>
      </c>
      <c r="C98" s="149">
        <f ca="1">ROUND(IF(C96&lt;=0,0,IF(C97&gt;=200%,C96*60%-C87*35%,IF(C97&gt;=100%,C96*50%-C87*15%,IF(C97&gt;=50%,C96*40%-C87*5%,IF(C97&lt;50%,C96*30%,0))))),0)</f>
        <v>815</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1933</v>
      </c>
      <c r="B99" s="2195"/>
      <c r="C99" s="2195"/>
      <c r="D99" s="2195"/>
      <c r="E99" s="1021"/>
      <c r="F99" s="1021"/>
      <c r="G99" s="1021"/>
      <c r="H99" s="2248"/>
      <c r="I99" s="2195"/>
    </row>
    <row r="100" spans="1:35" ht="15.6">
      <c r="A100" s="2858" t="s">
        <v>1934</v>
      </c>
      <c r="B100" s="2859"/>
      <c r="C100" s="2859"/>
      <c r="D100" s="2860"/>
      <c r="E100" s="2195"/>
      <c r="F100" s="2868" t="s">
        <v>1935</v>
      </c>
      <c r="G100" s="2869"/>
      <c r="H100" s="2869"/>
      <c r="I100" s="2870"/>
    </row>
    <row r="101" spans="1:35" ht="15.6">
      <c r="A101" s="2875" t="s">
        <v>1936</v>
      </c>
      <c r="B101" s="2876"/>
      <c r="C101" s="719">
        <f>C4</f>
        <v>0</v>
      </c>
      <c r="D101" s="720">
        <f>D4</f>
        <v>0</v>
      </c>
      <c r="E101" s="2195"/>
      <c r="F101" s="2877" t="s">
        <v>1937</v>
      </c>
      <c r="G101" s="2879"/>
      <c r="H101" s="2960" t="s">
        <v>1938</v>
      </c>
      <c r="I101" s="2878"/>
    </row>
    <row r="102" spans="1:35" ht="15.6">
      <c r="A102" s="2961" t="s">
        <v>1998</v>
      </c>
      <c r="B102" s="2290" t="str">
        <f>IF(H19="元","总价（元）","总价（万元）")</f>
        <v>总价（万元）</v>
      </c>
      <c r="C102" s="719" t="e">
        <f ca="1">C19</f>
        <v>#REF!</v>
      </c>
      <c r="D102" s="720" t="e">
        <f ca="1">D19</f>
        <v>#REF!</v>
      </c>
      <c r="E102" s="2195"/>
      <c r="F102" s="2962"/>
      <c r="G102" s="2963"/>
      <c r="H102" s="2938">
        <f>典型户型修正!B25</f>
        <v>424.6</v>
      </c>
      <c r="I102" s="2878"/>
    </row>
    <row r="103" spans="1:35" ht="15.6">
      <c r="A103" s="2961"/>
      <c r="B103" s="2290" t="s">
        <v>1940</v>
      </c>
      <c r="C103" s="721" t="e">
        <f ca="1">C20</f>
        <v>#REF!</v>
      </c>
      <c r="D103" s="722" t="e">
        <f ca="1">D20</f>
        <v>#REF!</v>
      </c>
      <c r="E103" s="2195"/>
      <c r="F103" s="2952" t="s">
        <v>1941</v>
      </c>
      <c r="G103" s="2953"/>
      <c r="H103" s="2291" t="str">
        <f>C109</f>
        <v>总价（万元）</v>
      </c>
      <c r="I103" s="1861">
        <f ca="1">H124</f>
        <v>1440</v>
      </c>
    </row>
    <row r="104" spans="1:35" ht="15.6">
      <c r="A104" s="2961" t="s">
        <v>1999</v>
      </c>
      <c r="B104" s="2292" t="str">
        <f>B102</f>
        <v>总价（万元）</v>
      </c>
      <c r="C104" s="1189" t="e">
        <f ca="1">ROUND(IF('数据-取费表'!B4="总价",G19,IF(H19="元",G20*'数据-取费表'!E5,G20*'数据-取费表'!E5/10000)),0)</f>
        <v>#REF!</v>
      </c>
      <c r="D104" s="724"/>
      <c r="E104" s="2195"/>
      <c r="F104" s="2952"/>
      <c r="G104" s="2953"/>
      <c r="H104" s="2291" t="s">
        <v>1940</v>
      </c>
      <c r="I104" s="1049">
        <f ca="1">I124</f>
        <v>33914</v>
      </c>
    </row>
    <row r="105" spans="1:35" ht="15.6">
      <c r="A105" s="2961"/>
      <c r="B105" s="2290" t="s">
        <v>1940</v>
      </c>
      <c r="C105" s="1190" t="e">
        <f ca="1">ROUND(IF('数据-取费表'!B4="楼面单价",G20,IF(H19="元",G19/'数据-取费表'!E5,G19*10000/'数据-取费表'!E5)),0)</f>
        <v>#REF!</v>
      </c>
      <c r="D105" s="724"/>
      <c r="E105" s="2195"/>
      <c r="F105" s="2864"/>
      <c r="G105" s="2865"/>
      <c r="H105" s="2899"/>
      <c r="I105" s="2900"/>
    </row>
    <row r="106" spans="1:35" ht="15.6">
      <c r="A106" s="2968" t="s">
        <v>2000</v>
      </c>
      <c r="B106" s="2330" t="str">
        <f>B102</f>
        <v>总价（万元）</v>
      </c>
      <c r="C106" s="723">
        <f ca="1">H124</f>
        <v>1440</v>
      </c>
      <c r="D106" s="1188"/>
      <c r="E106" s="2195"/>
      <c r="F106" s="2903" t="s">
        <v>1944</v>
      </c>
      <c r="G106" s="2904"/>
      <c r="H106" s="2294" t="str">
        <f>C111</f>
        <v>总额（万元）</v>
      </c>
      <c r="I106" s="1861">
        <f>SUMIF(I107:I109,"&lt;9E307")</f>
        <v>0</v>
      </c>
    </row>
    <row r="107" spans="1:35" ht="16.2" thickBot="1">
      <c r="A107" s="2898"/>
      <c r="B107" s="2293" t="s">
        <v>1940</v>
      </c>
      <c r="C107" s="725">
        <f ca="1">I124</f>
        <v>33914</v>
      </c>
      <c r="D107" s="726"/>
      <c r="E107" s="2195"/>
      <c r="F107" s="2866" t="s">
        <v>1946</v>
      </c>
      <c r="G107" s="2867"/>
      <c r="H107" s="2294" t="str">
        <f>C112</f>
        <v>总额（万元）</v>
      </c>
      <c r="I107" s="1049">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6">
      <c r="A108" s="2964" t="s">
        <v>1943</v>
      </c>
      <c r="B108" s="2965"/>
      <c r="C108" s="2965"/>
      <c r="D108" s="2966"/>
      <c r="E108" s="2195"/>
      <c r="F108" s="2866" t="s">
        <v>1947</v>
      </c>
      <c r="G108" s="2867"/>
      <c r="H108" s="2294" t="str">
        <f>C113</f>
        <v>总额（万元）</v>
      </c>
      <c r="I108" s="1049">
        <f>C38</f>
        <v>0</v>
      </c>
      <c r="K108" s="2295"/>
    </row>
    <row r="109" spans="1:35" ht="15.6">
      <c r="A109" s="2905" t="s">
        <v>2001</v>
      </c>
      <c r="B109" s="2906"/>
      <c r="C109" s="2291" t="str">
        <f>B102</f>
        <v>总价（万元）</v>
      </c>
      <c r="D109" s="1050">
        <f ca="1">H124</f>
        <v>1440</v>
      </c>
      <c r="E109" s="2195"/>
      <c r="F109" s="2866" t="s">
        <v>1949</v>
      </c>
      <c r="G109" s="2867"/>
      <c r="H109" s="2294" t="str">
        <f>C114</f>
        <v>总额（万元）</v>
      </c>
      <c r="I109" s="1049">
        <f>C39</f>
        <v>0</v>
      </c>
    </row>
    <row r="110" spans="1:35" ht="15.6">
      <c r="A110" s="2905"/>
      <c r="B110" s="2906"/>
      <c r="C110" s="2291" t="s">
        <v>1940</v>
      </c>
      <c r="D110" s="1051">
        <f ca="1">I124</f>
        <v>33914</v>
      </c>
      <c r="E110" s="2195"/>
      <c r="F110" s="2864"/>
      <c r="G110" s="2865"/>
      <c r="H110" s="2901"/>
      <c r="I110" s="2902"/>
    </row>
    <row r="111" spans="1:35" ht="28.5" customHeight="1">
      <c r="A111" s="2948" t="s">
        <v>1948</v>
      </c>
      <c r="B111" s="2949"/>
      <c r="C111" s="2294" t="str">
        <f>IF(H19="元","总额（元）","总额（万元）")</f>
        <v>总额（万元）</v>
      </c>
      <c r="D111" s="1050">
        <f>IF(D37="正常操作",I107+I108+I109,I108+I109)</f>
        <v>0</v>
      </c>
      <c r="E111" s="2195"/>
      <c r="F111" s="2846" t="str">
        <f>IF(项目基本情况!F5="已注销","——","3.房地产抵押价值")</f>
        <v>——</v>
      </c>
      <c r="G111" s="2847"/>
      <c r="H111" s="2331" t="str">
        <f>C115</f>
        <v>总价（万元）</v>
      </c>
      <c r="I111" s="1861" t="str">
        <f>IF(F111="——","——",I103-I106)</f>
        <v>——</v>
      </c>
    </row>
    <row r="112" spans="1:35" ht="15.6">
      <c r="A112" s="2866" t="s">
        <v>1946</v>
      </c>
      <c r="B112" s="2867"/>
      <c r="C112" s="2294" t="str">
        <f>C111</f>
        <v>总额（万元）</v>
      </c>
      <c r="D112" s="637">
        <f>IF(D37="同一抵押权人同一抵押物续贷",C37&amp;"（未扣减，详见特别提示）",C37)</f>
        <v>0</v>
      </c>
      <c r="E112" s="2195"/>
      <c r="F112" s="2848"/>
      <c r="G112" s="2849"/>
      <c r="H112" s="2291" t="s">
        <v>1940</v>
      </c>
      <c r="I112" s="2297" t="e">
        <f ca="1">D116</f>
        <v>#VALUE!</v>
      </c>
    </row>
    <row r="113" spans="1:26" ht="15.6">
      <c r="A113" s="2866" t="s">
        <v>1947</v>
      </c>
      <c r="B113" s="2867"/>
      <c r="C113" s="2294" t="str">
        <f>C111</f>
        <v>总额（万元）</v>
      </c>
      <c r="D113" s="637">
        <f>C38</f>
        <v>0</v>
      </c>
      <c r="E113" s="2195"/>
      <c r="F113" s="2846" t="str">
        <f>IF(项目基本情况!F5="已注销及未注销","4.抵押担保权已注销时的房地产抵押价值",IF(项目基本情况!F5="已注销","3.抵押担保权已注销时的房地产抵押价值","——"))</f>
        <v>3.抵押担保权已注销时的房地产抵押价值</v>
      </c>
      <c r="G113" s="2847"/>
      <c r="H113" s="2331" t="str">
        <f>C117</f>
        <v>总价（万元）</v>
      </c>
      <c r="I113" s="1861">
        <f ca="1">IF(F113="——","——",I103-I108-I109)</f>
        <v>1440</v>
      </c>
    </row>
    <row r="114" spans="1:26" ht="15.6">
      <c r="A114" s="2866" t="s">
        <v>1949</v>
      </c>
      <c r="B114" s="2867"/>
      <c r="C114" s="2294" t="str">
        <f>C111</f>
        <v>总额（万元）</v>
      </c>
      <c r="D114" s="637">
        <f>C39</f>
        <v>0</v>
      </c>
      <c r="E114" s="2195"/>
      <c r="F114" s="2848"/>
      <c r="G114" s="2849"/>
      <c r="H114" s="2291" t="s">
        <v>1940</v>
      </c>
      <c r="I114" s="1049">
        <f ca="1">D118</f>
        <v>33914</v>
      </c>
    </row>
    <row r="115" spans="1:26" ht="15.6">
      <c r="A115" s="2905" t="str">
        <f>IF(项目基本情况!F5="已注销","——","3.房地产抵押价值")</f>
        <v>——</v>
      </c>
      <c r="B115" s="2906"/>
      <c r="C115" s="2291" t="str">
        <f>B102</f>
        <v>总价（万元）</v>
      </c>
      <c r="D115" s="1050" t="str">
        <f>IF(A115="——","——",D109-D111)</f>
        <v>——</v>
      </c>
      <c r="E115" s="2195"/>
      <c r="F115" s="2846" t="str">
        <f>IF(项目基本情况!G5="抵押净值",IF(OR(项目基本情况!F5="已注销",项目基本情况!F5="房地产抵押价值"),"4.抵押净值","5.抵押净值"),"——")</f>
        <v>——</v>
      </c>
      <c r="G115" s="2847"/>
      <c r="H115" s="2291" t="str">
        <f>C119</f>
        <v>总价（万元）</v>
      </c>
      <c r="I115" s="1861" t="str">
        <f>IF(F115="——","——",N60)</f>
        <v>——</v>
      </c>
    </row>
    <row r="116" spans="1:26" ht="16.2" thickBot="1">
      <c r="A116" s="2905"/>
      <c r="B116" s="2906"/>
      <c r="C116" s="2291" t="s">
        <v>2002</v>
      </c>
      <c r="D116" s="1051" t="e">
        <f ca="1">ROUND(IF(D115=D109,D110,IF(H19="元",D115/B124,D115*10000/B124)),0)</f>
        <v>#VALUE!</v>
      </c>
      <c r="E116" s="2195"/>
      <c r="F116" s="2939"/>
      <c r="G116" s="2940"/>
      <c r="H116" s="2299" t="s">
        <v>2002</v>
      </c>
      <c r="I116" s="1863" t="str">
        <f ca="1">D120</f>
        <v>——</v>
      </c>
    </row>
    <row r="117" spans="1:26" ht="15.6">
      <c r="A117" s="2905" t="str">
        <f>IF(项目基本情况!F5="已注销及未注销","4.抵押担保权已注销时的房地产抵押价值",IF(项目基本情况!F5="已注销","3.抵押担保权已注销时的房地产抵押价值","——"))</f>
        <v>3.抵押担保权已注销时的房地产抵押价值</v>
      </c>
      <c r="B117" s="2906"/>
      <c r="C117" s="2291" t="str">
        <f>B102</f>
        <v>总价（万元）</v>
      </c>
      <c r="D117" s="1050">
        <f ca="1">IF(A117="——","——",D109-D113-D114)</f>
        <v>1440</v>
      </c>
      <c r="E117" s="2195"/>
      <c r="F117" s="2842"/>
      <c r="G117" s="2842"/>
      <c r="H117" s="2884"/>
      <c r="I117" s="2884"/>
      <c r="N117" s="55"/>
      <c r="O117" s="55"/>
    </row>
    <row r="118" spans="1:26" s="1844" customFormat="1" ht="15.6">
      <c r="A118" s="2905"/>
      <c r="B118" s="2906"/>
      <c r="C118" s="2291" t="s">
        <v>2002</v>
      </c>
      <c r="D118" s="1051">
        <f ca="1">IF(A117="——","——",IF(H19="元",ROUND(D117/B124,0),ROUND(D117*10000/B124,0)))</f>
        <v>33914</v>
      </c>
      <c r="E118" s="2195"/>
      <c r="F118" s="2967" t="str">
        <f>IF(B32="总价","（以上估价结果中楼面单价为总价除以建筑面积得出）","（以上估价结果中总价为楼面单价乘以建筑面积得出）")</f>
        <v>（以上估价结果中总价为楼面单价乘以建筑面积得出）</v>
      </c>
      <c r="G118" s="2967"/>
      <c r="H118" s="2967"/>
      <c r="I118" s="2967"/>
      <c r="J118" s="797"/>
      <c r="K118" s="797"/>
      <c r="L118" s="797"/>
      <c r="M118" s="797"/>
      <c r="N118" s="55"/>
      <c r="O118" s="55"/>
      <c r="P118" s="797"/>
      <c r="Q118" s="797"/>
      <c r="R118" s="797"/>
      <c r="S118" s="797"/>
      <c r="T118" s="797"/>
      <c r="U118" s="797"/>
      <c r="V118" s="797"/>
      <c r="W118" s="797"/>
      <c r="X118" s="797"/>
      <c r="Y118" s="797"/>
      <c r="Z118" s="797"/>
    </row>
    <row r="119" spans="1:26" s="1844" customFormat="1" ht="15">
      <c r="A119" s="2905" t="str">
        <f>IF(项目基本情况!G5="抵押净值",IF(OR(项目基本情况!F5="已注销",项目基本情况!F5="房地产抵押价值"),"4.抵押净值","5.抵押净值"),"——")</f>
        <v>——</v>
      </c>
      <c r="B119" s="2906"/>
      <c r="C119" s="2291" t="str">
        <f>B102</f>
        <v>总价（万元）</v>
      </c>
      <c r="D119" s="1050" t="str">
        <f>IF(A119="——","——",N60)</f>
        <v>——</v>
      </c>
      <c r="E119" s="2195"/>
      <c r="F119" s="2332"/>
      <c r="G119" s="2332"/>
      <c r="H119" s="2332"/>
      <c r="I119" s="2332"/>
      <c r="J119" s="797"/>
      <c r="K119" s="797"/>
      <c r="L119" s="797"/>
      <c r="M119" s="797"/>
      <c r="N119" s="55"/>
      <c r="O119" s="55"/>
      <c r="P119" s="797"/>
      <c r="Q119" s="797"/>
      <c r="R119" s="797"/>
      <c r="S119" s="797"/>
      <c r="T119" s="797"/>
      <c r="U119" s="797"/>
      <c r="V119" s="797"/>
      <c r="W119" s="797"/>
      <c r="X119" s="797"/>
      <c r="Y119" s="797"/>
      <c r="Z119" s="797"/>
    </row>
    <row r="120" spans="1:26" s="1844" customFormat="1" ht="16.2" thickBot="1">
      <c r="A120" s="2946"/>
      <c r="B120" s="2947"/>
      <c r="C120" s="2299" t="s">
        <v>2002</v>
      </c>
      <c r="D120" s="1052" t="str">
        <f ca="1">IF(D119=D109,D110,IF(A119="——","——",N62))</f>
        <v>——</v>
      </c>
      <c r="E120" s="2195"/>
      <c r="F120" s="2332"/>
      <c r="G120" s="2332"/>
      <c r="H120" s="2332"/>
      <c r="I120" s="2332"/>
      <c r="J120" s="797"/>
      <c r="K120" s="797"/>
      <c r="L120" s="797"/>
      <c r="M120" s="797"/>
      <c r="N120" s="55"/>
      <c r="O120" s="55"/>
      <c r="P120" s="797"/>
      <c r="Q120" s="797"/>
      <c r="R120" s="797"/>
      <c r="S120" s="797"/>
      <c r="T120" s="797"/>
      <c r="U120" s="797"/>
      <c r="V120" s="797"/>
      <c r="W120" s="797"/>
      <c r="X120" s="797"/>
      <c r="Y120" s="797"/>
      <c r="Z120" s="797"/>
    </row>
    <row r="121" spans="1:26" s="1844" customFormat="1" ht="14.4">
      <c r="A121" s="2885" t="s">
        <v>2003</v>
      </c>
      <c r="B121" s="2886"/>
      <c r="C121" s="2886"/>
      <c r="D121" s="2886"/>
      <c r="E121" s="2886"/>
      <c r="F121" s="2886"/>
      <c r="G121" s="2886"/>
      <c r="H121" s="2886"/>
      <c r="I121" s="2886"/>
      <c r="J121" s="797"/>
      <c r="K121" s="797"/>
      <c r="L121" s="797"/>
      <c r="M121" s="797"/>
      <c r="N121" s="797"/>
      <c r="O121" s="797"/>
      <c r="P121" s="797"/>
      <c r="Q121" s="797"/>
      <c r="R121" s="797"/>
      <c r="S121" s="797"/>
      <c r="T121" s="797"/>
      <c r="U121" s="797"/>
      <c r="V121" s="797"/>
      <c r="W121" s="797"/>
      <c r="X121" s="797"/>
      <c r="Y121" s="797"/>
      <c r="Z121" s="797"/>
    </row>
    <row r="122" spans="1:26" s="1844" customFormat="1" ht="13.8">
      <c r="A122" s="2857" t="s">
        <v>1951</v>
      </c>
      <c r="B122" s="2855" t="s">
        <v>2004</v>
      </c>
      <c r="C122" s="2855" t="s">
        <v>2005</v>
      </c>
      <c r="D122" s="2862" t="s">
        <v>1954</v>
      </c>
      <c r="E122" s="2863"/>
      <c r="F122" s="2853" t="s">
        <v>2006</v>
      </c>
      <c r="G122" s="2853"/>
      <c r="H122" s="2853" t="s">
        <v>1955</v>
      </c>
      <c r="I122" s="2854"/>
      <c r="J122" s="797"/>
      <c r="K122" s="797"/>
      <c r="L122" s="797"/>
      <c r="M122" s="797"/>
      <c r="N122" s="797"/>
      <c r="O122" s="797"/>
      <c r="P122" s="797"/>
      <c r="Q122" s="797"/>
      <c r="R122" s="797"/>
      <c r="S122" s="797"/>
      <c r="T122" s="797"/>
      <c r="U122" s="797"/>
      <c r="V122" s="797"/>
      <c r="W122" s="797"/>
      <c r="X122" s="797"/>
      <c r="Y122" s="797"/>
      <c r="Z122" s="797"/>
    </row>
    <row r="123" spans="1:26" s="1844" customFormat="1" ht="14.4">
      <c r="A123" s="2857"/>
      <c r="B123" s="2856"/>
      <c r="C123" s="2856"/>
      <c r="D123" s="1886" t="s">
        <v>1956</v>
      </c>
      <c r="E123" s="1886" t="s">
        <v>1957</v>
      </c>
      <c r="F123" s="1886" t="s">
        <v>1956</v>
      </c>
      <c r="G123" s="1886" t="s">
        <v>1958</v>
      </c>
      <c r="H123" s="1886" t="s">
        <v>1956</v>
      </c>
      <c r="I123" s="637" t="s">
        <v>1958</v>
      </c>
      <c r="J123" s="797"/>
      <c r="K123" s="797"/>
      <c r="L123" s="797"/>
      <c r="M123" s="797"/>
      <c r="N123" s="797"/>
      <c r="O123" s="797"/>
      <c r="P123" s="797"/>
      <c r="Q123" s="797"/>
      <c r="R123" s="797"/>
      <c r="S123" s="797"/>
      <c r="T123" s="797"/>
      <c r="U123" s="797"/>
      <c r="V123" s="797"/>
      <c r="W123" s="797"/>
      <c r="X123" s="797"/>
      <c r="Y123" s="797"/>
      <c r="Z123" s="797"/>
    </row>
    <row r="124" spans="1:26" s="1844" customFormat="1" ht="27.6">
      <c r="A124" s="2181" t="str">
        <f>项目基本情况!I1</f>
        <v>北京市房地产</v>
      </c>
      <c r="B124" s="1886">
        <f>典型户型修正!B25</f>
        <v>424.6</v>
      </c>
      <c r="C124" s="400"/>
      <c r="D124" s="1886">
        <f>C35</f>
        <v>0</v>
      </c>
      <c r="E124" s="1886">
        <f>ROUND(IF(H19="元",D124/B124,D124*10000/B124),0)</f>
        <v>0</v>
      </c>
      <c r="F124" s="1886">
        <f>C36</f>
        <v>0</v>
      </c>
      <c r="G124" s="1886">
        <f>ROUND(IF(H19="元",F124/B124,F124*10000/B124),0)</f>
        <v>0</v>
      </c>
      <c r="H124" s="1886">
        <f ca="1">C33</f>
        <v>1440</v>
      </c>
      <c r="I124" s="637">
        <f ca="1">C34</f>
        <v>33914</v>
      </c>
      <c r="J124" s="797"/>
      <c r="K124" s="797"/>
      <c r="L124" s="797"/>
      <c r="M124" s="797"/>
      <c r="N124" s="797"/>
      <c r="O124" s="797"/>
      <c r="P124" s="797"/>
      <c r="Q124" s="797"/>
      <c r="R124" s="797"/>
      <c r="S124" s="797"/>
      <c r="T124" s="797"/>
      <c r="U124" s="797"/>
      <c r="V124" s="797"/>
      <c r="W124" s="797"/>
      <c r="X124" s="797"/>
      <c r="Y124" s="797"/>
      <c r="Z124" s="797"/>
    </row>
    <row r="125" spans="1:26" s="1844" customFormat="1" ht="13.8">
      <c r="A125" s="2857" t="s">
        <v>1959</v>
      </c>
      <c r="B125" s="2853"/>
      <c r="C125" s="2853"/>
      <c r="D125" s="2889" t="str">
        <f>IF(H19="元",NUMBERSTRING(INT(D124),2)&amp;"元整",NUMBERSTRING(INT(D124*10000),2)&amp;"元整")</f>
        <v>零元整</v>
      </c>
      <c r="E125" s="2890"/>
      <c r="F125" s="2889" t="str">
        <f>IF(H19="元",NUMBERSTRING(INT(F124),2)&amp;"元整",NUMBERSTRING(INT(F124*10000),2)&amp;"元整")</f>
        <v>零元整</v>
      </c>
      <c r="G125" s="2890"/>
      <c r="H125" s="2889" t="str">
        <f ca="1">IF(H19="元",NUMBERSTRING(INT(H124),2)&amp;"元整",NUMBERSTRING(INT(H124*10000),2)&amp;"元整")</f>
        <v>壹仟肆佰肆拾万元整</v>
      </c>
      <c r="I125" s="2954"/>
      <c r="J125" s="797"/>
      <c r="K125" s="797"/>
      <c r="L125" s="797"/>
      <c r="M125" s="797"/>
      <c r="N125" s="797"/>
      <c r="O125" s="797"/>
      <c r="P125" s="797"/>
      <c r="Q125" s="797"/>
      <c r="R125" s="797"/>
      <c r="S125" s="797"/>
      <c r="T125" s="797"/>
      <c r="U125" s="797"/>
      <c r="V125" s="797"/>
      <c r="W125" s="797"/>
      <c r="X125" s="797"/>
      <c r="Y125" s="797"/>
      <c r="Z125" s="797"/>
    </row>
    <row r="126" spans="1:26" s="1844" customFormat="1" ht="13.8">
      <c r="A126" s="2891" t="str">
        <f>IF(项目基本情况!D5="房地产市场价值","——",MID(A111,3,LEN(A111)-2))</f>
        <v>估价师所知悉的法定优先受偿款</v>
      </c>
      <c r="B126" s="2892"/>
      <c r="C126" s="2893"/>
      <c r="D126" s="2882">
        <f>I106</f>
        <v>0</v>
      </c>
      <c r="E126" s="2892"/>
      <c r="F126" s="2892"/>
      <c r="G126" s="2892"/>
      <c r="H126" s="2892"/>
      <c r="I126" s="2941"/>
      <c r="J126" s="797"/>
      <c r="K126" s="797"/>
      <c r="L126" s="797"/>
      <c r="M126" s="797"/>
      <c r="N126" s="797"/>
      <c r="O126" s="797"/>
      <c r="P126" s="797"/>
      <c r="Q126" s="797"/>
      <c r="R126" s="797"/>
      <c r="S126" s="797"/>
      <c r="T126" s="797"/>
      <c r="U126" s="797"/>
      <c r="V126" s="797"/>
      <c r="W126" s="797"/>
      <c r="X126" s="797"/>
      <c r="Y126" s="797"/>
      <c r="Z126" s="797"/>
    </row>
    <row r="127" spans="1:26" s="1844" customFormat="1" ht="13.8">
      <c r="A127" s="2894" t="s">
        <v>1959</v>
      </c>
      <c r="B127" s="2895"/>
      <c r="C127" s="2896"/>
      <c r="D127" s="2942">
        <f>H110</f>
        <v>0</v>
      </c>
      <c r="E127" s="2943"/>
      <c r="F127" s="2943"/>
      <c r="G127" s="2943"/>
      <c r="H127" s="2943"/>
      <c r="I127" s="2944"/>
      <c r="J127" s="797"/>
      <c r="K127" s="797"/>
      <c r="L127" s="797"/>
      <c r="M127" s="797"/>
      <c r="N127" s="797"/>
      <c r="O127" s="797"/>
      <c r="P127" s="797"/>
      <c r="Q127" s="797"/>
      <c r="R127" s="797"/>
      <c r="S127" s="797"/>
      <c r="T127" s="797"/>
      <c r="U127" s="797"/>
      <c r="V127" s="797"/>
      <c r="W127" s="797"/>
      <c r="X127" s="797"/>
      <c r="Y127" s="797"/>
      <c r="Z127" s="797"/>
    </row>
    <row r="128" spans="1:26" s="1844" customFormat="1" ht="13.8">
      <c r="A128" s="2880" t="str">
        <f>IF(项目基本情况!D5="房地产市场价值","——",MID(A115,3,LEN(A115)-2))</f>
        <v/>
      </c>
      <c r="B128" s="2881"/>
      <c r="C128" s="2881"/>
      <c r="D128" s="2882" t="str">
        <f>I111</f>
        <v>——</v>
      </c>
      <c r="E128" s="2892"/>
      <c r="F128" s="2892"/>
      <c r="G128" s="2892"/>
      <c r="H128" s="2892"/>
      <c r="I128" s="2941"/>
      <c r="J128" s="797"/>
      <c r="K128" s="797"/>
      <c r="L128" s="797"/>
      <c r="M128" s="797"/>
      <c r="N128" s="797"/>
      <c r="O128" s="797"/>
      <c r="P128" s="797"/>
      <c r="Q128" s="797"/>
      <c r="R128" s="797"/>
      <c r="S128" s="797"/>
      <c r="T128" s="797"/>
      <c r="U128" s="797"/>
      <c r="V128" s="797"/>
      <c r="W128" s="797"/>
      <c r="X128" s="797"/>
      <c r="Y128" s="797"/>
      <c r="Z128" s="797"/>
    </row>
    <row r="129" spans="1:26" s="1844" customFormat="1" ht="13.8">
      <c r="A129" s="2857" t="s">
        <v>1959</v>
      </c>
      <c r="B129" s="2853"/>
      <c r="C129" s="2853"/>
      <c r="D129" s="2942" t="e">
        <f ca="1">I112</f>
        <v>#VALUE!</v>
      </c>
      <c r="E129" s="2943"/>
      <c r="F129" s="2943"/>
      <c r="G129" s="2943"/>
      <c r="H129" s="2943"/>
      <c r="I129" s="2944"/>
      <c r="J129" s="797"/>
      <c r="K129" s="797"/>
      <c r="L129" s="797"/>
      <c r="M129" s="797"/>
      <c r="N129" s="797"/>
      <c r="O129" s="797"/>
      <c r="P129" s="797"/>
      <c r="Q129" s="797"/>
      <c r="R129" s="797"/>
      <c r="S129" s="797"/>
      <c r="T129" s="797"/>
      <c r="U129" s="797"/>
      <c r="V129" s="797"/>
      <c r="W129" s="797"/>
      <c r="X129" s="797"/>
      <c r="Y129" s="797"/>
      <c r="Z129" s="797"/>
    </row>
    <row r="130" spans="1:26" s="1844" customFormat="1" ht="14.4" thickBot="1">
      <c r="A130" s="2880" t="str">
        <f>IF(项目基本情况!D5="房地产市场价值","——",MID(A117,3,LEN(A117)-2))</f>
        <v>抵押担保权已注销时的房地产抵押价值</v>
      </c>
      <c r="B130" s="2881"/>
      <c r="C130" s="2881"/>
      <c r="D130" s="2837">
        <f ca="1">I113</f>
        <v>1440</v>
      </c>
      <c r="E130" s="2838"/>
      <c r="F130" s="2838"/>
      <c r="G130" s="2838"/>
      <c r="H130" s="2838"/>
      <c r="I130" s="2839"/>
      <c r="J130" s="797"/>
      <c r="K130" s="797"/>
      <c r="L130" s="797"/>
      <c r="M130" s="797"/>
      <c r="N130" s="797"/>
      <c r="O130" s="797"/>
      <c r="P130" s="797"/>
      <c r="Q130" s="797"/>
      <c r="R130" s="797"/>
      <c r="S130" s="797"/>
      <c r="T130" s="797"/>
      <c r="U130" s="797"/>
      <c r="V130" s="797"/>
      <c r="W130" s="797"/>
      <c r="X130" s="797"/>
      <c r="Y130" s="797"/>
      <c r="Z130" s="797"/>
    </row>
    <row r="131" spans="1:26" s="1844" customFormat="1" ht="15" thickTop="1" thickBot="1">
      <c r="A131" s="2857" t="s">
        <v>1959</v>
      </c>
      <c r="B131" s="2853"/>
      <c r="C131" s="2937"/>
      <c r="D131" s="2883">
        <f ca="1">I114</f>
        <v>33914</v>
      </c>
      <c r="E131" s="2883"/>
      <c r="F131" s="2883"/>
      <c r="G131" s="2883"/>
      <c r="H131" s="2883"/>
      <c r="I131" s="2883"/>
      <c r="J131" s="797"/>
      <c r="K131" s="797"/>
      <c r="L131" s="797"/>
      <c r="M131" s="797"/>
      <c r="N131" s="797"/>
      <c r="O131" s="797"/>
      <c r="P131" s="797"/>
      <c r="Q131" s="797"/>
      <c r="R131" s="797"/>
      <c r="S131" s="797"/>
      <c r="T131" s="797"/>
      <c r="U131" s="797"/>
      <c r="V131" s="797"/>
      <c r="W131" s="797"/>
      <c r="X131" s="797"/>
      <c r="Y131" s="797"/>
      <c r="Z131" s="797"/>
    </row>
    <row r="132" spans="1:26" s="1844" customFormat="1" ht="15" thickTop="1" thickBot="1">
      <c r="A132" s="2880" t="str">
        <f>IF(项目基本情况!D5="房地产市场价值","——",MID(F115,3,LEN(F115)-2))</f>
        <v/>
      </c>
      <c r="B132" s="2881"/>
      <c r="C132" s="2882"/>
      <c r="D132" s="2945" t="str">
        <f>I115</f>
        <v>——</v>
      </c>
      <c r="E132" s="2945"/>
      <c r="F132" s="2945"/>
      <c r="G132" s="2945"/>
      <c r="H132" s="2945"/>
      <c r="I132" s="2945"/>
      <c r="J132" s="797"/>
      <c r="K132" s="797"/>
      <c r="L132" s="797"/>
      <c r="M132" s="797"/>
      <c r="N132" s="797"/>
      <c r="O132" s="797"/>
      <c r="P132" s="797"/>
      <c r="Q132" s="797"/>
      <c r="R132" s="797"/>
      <c r="S132" s="797"/>
      <c r="T132" s="797"/>
      <c r="U132" s="797"/>
      <c r="V132" s="797"/>
      <c r="W132" s="797"/>
      <c r="X132" s="797"/>
      <c r="Y132" s="797"/>
      <c r="Z132" s="797"/>
    </row>
    <row r="133" spans="1:26" s="1844" customFormat="1" ht="15" thickTop="1" thickBot="1">
      <c r="A133" s="2950" t="s">
        <v>1959</v>
      </c>
      <c r="B133" s="2951"/>
      <c r="C133" s="2951"/>
      <c r="D133" s="2955">
        <f>H117</f>
        <v>0</v>
      </c>
      <c r="E133" s="2956"/>
      <c r="F133" s="2956"/>
      <c r="G133" s="2956"/>
      <c r="H133" s="2956"/>
      <c r="I133" s="2957"/>
      <c r="J133" s="797"/>
      <c r="K133" s="797"/>
      <c r="L133" s="797"/>
      <c r="M133" s="797"/>
      <c r="N133" s="797"/>
      <c r="O133" s="797"/>
      <c r="P133" s="797"/>
      <c r="Q133" s="797"/>
      <c r="R133" s="797"/>
      <c r="S133" s="797"/>
      <c r="T133" s="797"/>
      <c r="U133" s="797"/>
      <c r="V133" s="797"/>
      <c r="W133" s="797"/>
      <c r="X133" s="797"/>
      <c r="Y133" s="797"/>
      <c r="Z133" s="797"/>
    </row>
    <row r="134" spans="1:26" s="1844" customFormat="1" ht="13.2">
      <c r="A134" s="2278" t="str">
        <f>IF(H19="元","单位：平方米、元、元/平方米（币种：人民币）","单位：平方米、万元、元/平方米（币种：人民币）")</f>
        <v>单位：平方米、万元、元/平方米（币种：人民币）</v>
      </c>
      <c r="B134" s="2278"/>
      <c r="C134" s="2278"/>
      <c r="D134" s="2278"/>
      <c r="E134" s="2278"/>
      <c r="F134" s="2278"/>
      <c r="G134" s="2278"/>
      <c r="H134" s="2278"/>
      <c r="I134" s="2278"/>
      <c r="J134" s="797"/>
      <c r="K134" s="797"/>
      <c r="L134" s="797"/>
      <c r="M134" s="797"/>
      <c r="N134" s="797"/>
      <c r="O134" s="797"/>
      <c r="P134" s="797"/>
      <c r="Q134" s="797"/>
      <c r="R134" s="797"/>
      <c r="S134" s="797"/>
      <c r="T134" s="797"/>
      <c r="U134" s="797"/>
      <c r="V134" s="797"/>
      <c r="W134" s="797"/>
      <c r="X134" s="797"/>
      <c r="Y134" s="797"/>
      <c r="Z134" s="797"/>
    </row>
    <row r="135" spans="1:26" s="1844" customFormat="1" ht="13.8" thickBot="1">
      <c r="A135" s="2935" t="str">
        <f>IF(B32="总价","（以上估价结果中楼面单价为总价除以建筑面积得出）","（以上估价结果中总价为楼面单价乘以建筑面积得出）")</f>
        <v>（以上估价结果中总价为楼面单价乘以建筑面积得出）</v>
      </c>
      <c r="B135" s="2935"/>
      <c r="C135" s="2935"/>
      <c r="D135" s="2935"/>
      <c r="E135" s="2935"/>
      <c r="F135" s="2935"/>
      <c r="G135" s="2935"/>
      <c r="H135" s="2935"/>
      <c r="I135" s="2935"/>
      <c r="J135" s="797"/>
      <c r="K135" s="797"/>
      <c r="L135" s="797"/>
      <c r="M135" s="797"/>
      <c r="N135" s="797"/>
      <c r="O135" s="797"/>
      <c r="P135" s="797"/>
      <c r="Q135" s="797"/>
      <c r="R135" s="797"/>
      <c r="S135" s="797"/>
      <c r="T135" s="797"/>
      <c r="U135" s="797"/>
      <c r="V135" s="797"/>
      <c r="W135" s="797"/>
      <c r="X135" s="797"/>
      <c r="Y135" s="797"/>
      <c r="Z135" s="797"/>
    </row>
    <row r="136" spans="1:26" s="1844" customFormat="1" ht="21.75" customHeight="1">
      <c r="A136" s="2300" t="s">
        <v>1960</v>
      </c>
      <c r="B136" s="2301"/>
      <c r="C136" s="2302" t="s">
        <v>1961</v>
      </c>
      <c r="D136" s="2303"/>
      <c r="E136" s="2303"/>
      <c r="F136" s="2303"/>
      <c r="G136" s="2303"/>
      <c r="H136" s="2304"/>
      <c r="I136" s="2305"/>
      <c r="J136" s="797"/>
      <c r="K136" s="797"/>
      <c r="L136" s="797"/>
      <c r="M136" s="797"/>
      <c r="N136" s="797"/>
      <c r="O136" s="797"/>
      <c r="P136" s="797"/>
      <c r="Q136" s="797"/>
      <c r="R136" s="797"/>
      <c r="S136" s="797"/>
      <c r="T136" s="797"/>
      <c r="U136" s="797"/>
      <c r="V136" s="797"/>
      <c r="W136" s="797"/>
      <c r="X136" s="797"/>
      <c r="Y136" s="797"/>
      <c r="Z136" s="797"/>
    </row>
    <row r="137" spans="1:26" s="1844" customFormat="1" ht="21.75" customHeight="1">
      <c r="A137" s="2306">
        <v>1</v>
      </c>
      <c r="B137" s="2307"/>
      <c r="C137" s="2307"/>
      <c r="D137" s="2303"/>
      <c r="E137" s="2303"/>
      <c r="F137" s="2303"/>
      <c r="G137" s="2303"/>
      <c r="H137" s="2304"/>
      <c r="I137" s="2305"/>
      <c r="J137" s="797"/>
      <c r="K137" s="797"/>
      <c r="L137" s="797"/>
      <c r="M137" s="797"/>
      <c r="N137" s="797"/>
      <c r="O137" s="797"/>
      <c r="P137" s="797"/>
      <c r="Q137" s="797"/>
      <c r="R137" s="797"/>
      <c r="S137" s="797"/>
      <c r="T137" s="797"/>
      <c r="U137" s="797"/>
      <c r="V137" s="797"/>
      <c r="W137" s="797"/>
      <c r="X137" s="797"/>
      <c r="Y137" s="797"/>
      <c r="Z137" s="797"/>
    </row>
    <row r="138" spans="1:26" s="1844" customFormat="1" ht="21.75" customHeight="1">
      <c r="A138" s="2306">
        <v>2</v>
      </c>
      <c r="B138" s="2307"/>
      <c r="C138" s="2307"/>
      <c r="D138" s="2303"/>
      <c r="E138" s="2303"/>
      <c r="F138" s="2303"/>
      <c r="G138" s="2303"/>
      <c r="H138" s="2304"/>
      <c r="I138" s="2305"/>
      <c r="J138" s="797"/>
      <c r="K138" s="797"/>
      <c r="L138" s="797"/>
      <c r="M138" s="797"/>
      <c r="N138" s="797"/>
      <c r="O138" s="797"/>
      <c r="P138" s="797"/>
      <c r="Q138" s="797"/>
      <c r="R138" s="797"/>
      <c r="S138" s="797"/>
      <c r="T138" s="797"/>
      <c r="U138" s="797"/>
      <c r="V138" s="797"/>
      <c r="W138" s="797"/>
      <c r="X138" s="797"/>
      <c r="Y138" s="797"/>
      <c r="Z138" s="797"/>
    </row>
    <row r="139" spans="1:26" s="1844" customFormat="1" ht="21.75" customHeight="1">
      <c r="A139" s="2306">
        <v>3</v>
      </c>
      <c r="B139" s="2307"/>
      <c r="C139" s="2307"/>
      <c r="D139" s="2303"/>
      <c r="E139" s="2303"/>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4" customFormat="1" ht="21.75" customHeight="1">
      <c r="A140" s="2308"/>
      <c r="B140" s="2309"/>
      <c r="C140" s="2309"/>
      <c r="D140" s="2310"/>
      <c r="E140" s="2310"/>
      <c r="F140" s="2310"/>
      <c r="G140" s="2310"/>
      <c r="H140" s="2311"/>
      <c r="I140" s="2312"/>
      <c r="J140" s="797"/>
      <c r="K140" s="797"/>
      <c r="L140" s="797"/>
      <c r="M140" s="797"/>
      <c r="N140" s="797"/>
      <c r="O140" s="797"/>
      <c r="P140" s="797"/>
      <c r="Q140" s="797"/>
      <c r="R140" s="797"/>
      <c r="S140" s="797"/>
      <c r="T140" s="797"/>
      <c r="U140" s="797"/>
      <c r="V140" s="797"/>
      <c r="W140" s="797"/>
      <c r="X140" s="797"/>
      <c r="Y140" s="797"/>
      <c r="Z140" s="797"/>
    </row>
    <row r="141" spans="1:26" s="1844" customFormat="1" ht="21.75" customHeight="1">
      <c r="A141" s="2307"/>
      <c r="B141" s="2307"/>
      <c r="C141" s="2307"/>
      <c r="D141" s="2303"/>
      <c r="E141" s="2303"/>
      <c r="F141" s="2303"/>
      <c r="G141" s="2303"/>
      <c r="H141" s="2304"/>
      <c r="I141" s="797"/>
      <c r="J141" s="797"/>
      <c r="K141" s="797"/>
      <c r="L141" s="797"/>
      <c r="M141" s="797"/>
      <c r="N141" s="797"/>
      <c r="O141" s="797"/>
      <c r="P141" s="797"/>
      <c r="Q141" s="797"/>
      <c r="R141" s="797"/>
      <c r="S141" s="797"/>
      <c r="T141" s="797"/>
      <c r="U141" s="797"/>
      <c r="V141" s="797"/>
      <c r="W141" s="797"/>
      <c r="X141" s="797"/>
      <c r="Y141" s="797"/>
      <c r="Z141" s="797"/>
    </row>
    <row r="142" spans="1:26" s="1844" customFormat="1" ht="21.75" customHeight="1">
      <c r="A142" s="797"/>
      <c r="B142" s="797"/>
      <c r="C142" s="797"/>
      <c r="D142" s="797"/>
      <c r="E142" s="797"/>
      <c r="F142" s="2313" t="s">
        <v>1962</v>
      </c>
      <c r="G142" s="2314"/>
      <c r="H142" s="2314"/>
      <c r="I142" s="2315" t="s">
        <v>1963</v>
      </c>
      <c r="J142" s="797"/>
      <c r="K142" s="797"/>
      <c r="L142" s="797"/>
      <c r="M142" s="797"/>
      <c r="N142" s="797"/>
      <c r="O142" s="797"/>
      <c r="P142" s="797"/>
      <c r="Q142" s="797"/>
      <c r="R142" s="797"/>
      <c r="S142" s="797"/>
      <c r="T142" s="797"/>
      <c r="U142" s="797"/>
      <c r="V142" s="797"/>
      <c r="W142" s="797"/>
      <c r="X142" s="797"/>
      <c r="Y142" s="797"/>
      <c r="Z142" s="797"/>
    </row>
    <row r="143" spans="1:26" s="1844" customFormat="1" ht="21.75" customHeight="1">
      <c r="A143" s="797"/>
      <c r="B143" s="2316" t="s">
        <v>1964</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4"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4" customFormat="1" ht="21.75" customHeight="1">
      <c r="A145" s="797"/>
      <c r="B145" s="2314"/>
      <c r="C145" s="2314"/>
      <c r="D145" s="2314"/>
      <c r="E145" s="2314"/>
      <c r="F145" s="2314"/>
      <c r="G145" s="2314"/>
      <c r="H145" s="2314"/>
      <c r="I145" s="2315" t="s">
        <v>1965</v>
      </c>
      <c r="J145" s="797"/>
      <c r="K145" s="797"/>
      <c r="L145" s="797"/>
      <c r="M145" s="797"/>
      <c r="N145" s="797"/>
      <c r="O145" s="797"/>
      <c r="P145" s="797"/>
      <c r="Q145" s="797"/>
      <c r="R145" s="797"/>
      <c r="S145" s="797"/>
      <c r="T145" s="797"/>
      <c r="U145" s="797"/>
      <c r="V145" s="797"/>
      <c r="W145" s="797"/>
      <c r="X145" s="797"/>
      <c r="Y145" s="797"/>
      <c r="Z145" s="797"/>
    </row>
    <row r="146" spans="1:26" s="1844" customFormat="1" ht="21.75" customHeight="1">
      <c r="A146" s="797"/>
      <c r="B146" s="2316" t="s">
        <v>1966</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4" customFormat="1" ht="21.75" customHeight="1">
      <c r="A147" s="797"/>
      <c r="B147" s="2316"/>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4" customFormat="1" ht="21.75" customHeight="1">
      <c r="A148" s="797"/>
      <c r="B148" s="2314"/>
      <c r="C148" s="2314"/>
      <c r="D148" s="2314"/>
      <c r="E148" s="2314"/>
      <c r="F148" s="2314"/>
      <c r="G148" s="2314"/>
      <c r="H148" s="2314"/>
      <c r="I148" s="2315" t="s">
        <v>1965</v>
      </c>
      <c r="J148" s="797"/>
      <c r="K148" s="797"/>
      <c r="L148" s="797"/>
      <c r="M148" s="797"/>
      <c r="N148" s="797"/>
      <c r="O148" s="797"/>
      <c r="P148" s="797"/>
      <c r="Q148" s="797"/>
      <c r="R148" s="797"/>
      <c r="S148" s="797"/>
      <c r="T148" s="797"/>
      <c r="U148" s="797"/>
      <c r="V148" s="797"/>
      <c r="W148" s="797"/>
      <c r="X148" s="797"/>
      <c r="Y148" s="797"/>
      <c r="Z148" s="797"/>
    </row>
    <row r="149" spans="1:26" s="1844" customFormat="1" ht="21.75" customHeight="1">
      <c r="A149" s="797"/>
      <c r="B149" s="2316"/>
      <c r="C149" s="2317"/>
      <c r="D149" s="2318"/>
      <c r="E149" s="2318"/>
      <c r="F149" s="2319"/>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6"/>
      <c r="C150" s="2317"/>
      <c r="D150" s="2318"/>
      <c r="E150" s="2318"/>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4"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4"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4"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4"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4"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4"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4"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4"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4"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4"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4"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4"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4"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4"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4"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4"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4"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4"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4"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4"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4"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4"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4"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4" customFormat="1" ht="21.75" customHeight="1">
      <c r="F519" s="2196"/>
      <c r="G519" s="2196"/>
      <c r="H519" s="2196"/>
      <c r="I519" s="2196"/>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3203125" defaultRowHeight="13.2"/>
  <cols>
    <col min="1" max="1" width="9.33203125" style="215" customWidth="1"/>
    <col min="2" max="2" width="29.21875" style="200" customWidth="1"/>
    <col min="3" max="3" width="12.109375" style="200" customWidth="1"/>
    <col min="4" max="4" width="12.21875" style="218" customWidth="1"/>
    <col min="5" max="5" width="11.21875" style="218" customWidth="1"/>
    <col min="6" max="6" width="9.44140625" style="200" customWidth="1"/>
    <col min="7" max="7" width="31.88671875" style="200" customWidth="1"/>
    <col min="8" max="254" width="9" style="200" customWidth="1"/>
    <col min="255" max="16384" width="8.33203125" style="200"/>
  </cols>
  <sheetData>
    <row r="1" spans="1:7" s="164" customFormat="1" ht="21">
      <c r="A1" s="161" t="s">
        <v>2007</v>
      </c>
      <c r="B1" s="1320"/>
      <c r="C1" s="162"/>
      <c r="D1" s="162"/>
      <c r="E1" s="162"/>
      <c r="F1" s="162"/>
      <c r="G1" s="163"/>
    </row>
    <row r="2" spans="1:7" s="164" customFormat="1" ht="18" customHeight="1">
      <c r="A2" s="165" t="s">
        <v>2008</v>
      </c>
      <c r="B2" s="166">
        <f ca="1">IF(D2="——",IF(C2="元",C52,ROUND(C52/10000,0)),IF(C2="元",C52,ROUND(C52/10000,0))-E2)</f>
        <v>322</v>
      </c>
      <c r="C2" s="163" t="str">
        <f>'数据-取费表'!B3</f>
        <v>万元</v>
      </c>
      <c r="D2" s="2333" t="s">
        <v>1254</v>
      </c>
      <c r="E2" s="1545" t="e">
        <f ca="1">SUMIF(INDIRECT("'"&amp;G2&amp;"'"&amp;"!A:A"),"承租人权益价值",INDIRECT("'"&amp;G2&amp;"'"&amp;"!c:c"))</f>
        <v>#REF!</v>
      </c>
      <c r="F2" s="2334" t="str">
        <f>C2</f>
        <v>万元</v>
      </c>
      <c r="G2" s="1905"/>
    </row>
    <row r="3" spans="1:7" s="164" customFormat="1" ht="18" customHeight="1" thickBot="1">
      <c r="A3" s="167" t="s">
        <v>2009</v>
      </c>
      <c r="B3" s="168">
        <f ca="1">ROUND(C52/IF(B1="仅计算典型户型",'数据-取费表'!E5,'数据-取费表'!B5),0)</f>
        <v>7593</v>
      </c>
      <c r="C3" s="163" t="s">
        <v>2010</v>
      </c>
      <c r="D3" s="163"/>
      <c r="E3" s="163"/>
      <c r="F3" s="163"/>
      <c r="G3" s="163"/>
    </row>
    <row r="4" spans="1:7" s="172" customFormat="1" ht="16.2">
      <c r="A4" s="169" t="s">
        <v>2011</v>
      </c>
      <c r="B4" s="170"/>
      <c r="C4" s="170"/>
      <c r="D4" s="170"/>
      <c r="E4" s="170"/>
      <c r="F4" s="170"/>
      <c r="G4" s="171"/>
    </row>
    <row r="5" spans="1:7" s="175" customFormat="1" ht="13.5" customHeight="1">
      <c r="A5" s="204" t="s">
        <v>2012</v>
      </c>
      <c r="B5" s="173" t="s">
        <v>2013</v>
      </c>
      <c r="C5" s="195">
        <f>C6+C7+C8</f>
        <v>1030500</v>
      </c>
      <c r="D5" s="195" t="s">
        <v>2014</v>
      </c>
      <c r="E5" s="1531" t="s">
        <v>2015</v>
      </c>
      <c r="F5" s="1531" t="s">
        <v>2016</v>
      </c>
      <c r="G5" s="174"/>
    </row>
    <row r="6" spans="1:7" s="175" customFormat="1" ht="13.5" customHeight="1">
      <c r="A6" s="176" t="s">
        <v>2017</v>
      </c>
      <c r="B6" s="177" t="s">
        <v>2018</v>
      </c>
      <c r="C6" s="1530">
        <v>1000000</v>
      </c>
      <c r="D6" s="1532"/>
      <c r="E6" s="1533"/>
      <c r="F6" s="1533"/>
      <c r="G6" s="179"/>
    </row>
    <row r="7" spans="1:7" s="175" customFormat="1" ht="13.5" customHeight="1">
      <c r="A7" s="176" t="s">
        <v>2019</v>
      </c>
      <c r="B7" s="177" t="s">
        <v>2020</v>
      </c>
      <c r="C7" s="199">
        <f>ROUND(C6*F7,0)</f>
        <v>30500</v>
      </c>
      <c r="D7" s="199"/>
      <c r="E7" s="1533"/>
      <c r="F7" s="1534">
        <f>'数据-取费表'!E36+'数据-取费表'!E37</f>
        <v>3.0499999999999999E-2</v>
      </c>
      <c r="G7" s="179"/>
    </row>
    <row r="8" spans="1:7" s="180" customFormat="1">
      <c r="A8" s="176" t="s">
        <v>2021</v>
      </c>
      <c r="B8" s="177" t="s">
        <v>2022</v>
      </c>
      <c r="C8" s="199">
        <f>IF(G8="已包含在土地购买价格中","0",'数据-取费表'!E13)</f>
        <v>0</v>
      </c>
      <c r="D8" s="1535"/>
      <c r="E8" s="199"/>
      <c r="F8" s="1534"/>
      <c r="G8" s="2335"/>
    </row>
    <row r="9" spans="1:7" s="175" customFormat="1" ht="13.5" customHeight="1">
      <c r="A9" s="1303" t="s">
        <v>953</v>
      </c>
      <c r="B9" s="181" t="s">
        <v>2023</v>
      </c>
      <c r="C9" s="1536">
        <f>ROUND(D9*E9,0)</f>
        <v>0</v>
      </c>
      <c r="D9" s="1537">
        <f>IF('数据-取费表'!B10="住宅",IF(B1="仅计算典型户型",'数据-取费表'!E5,'数据-取费表'!B5),0)</f>
        <v>0</v>
      </c>
      <c r="E9" s="1536">
        <f>'数据-取费表'!E11</f>
        <v>0</v>
      </c>
      <c r="F9" s="1534"/>
      <c r="G9" s="182"/>
    </row>
    <row r="10" spans="1:7" s="175" customFormat="1" ht="13.5" customHeight="1">
      <c r="A10" s="1303" t="s">
        <v>954</v>
      </c>
      <c r="B10" s="181" t="s">
        <v>2024</v>
      </c>
      <c r="C10" s="1536">
        <f>ROUND(D10*E10,0)</f>
        <v>0</v>
      </c>
      <c r="D10" s="1537">
        <f>IF('数据-取费表'!B10&lt;&gt;"住宅",IF(B1="仅计算典型户型",'数据-取费表'!E5,'数据-取费表'!B5),0)</f>
        <v>424.6</v>
      </c>
      <c r="E10" s="1536">
        <f>'数据-取费表'!E12</f>
        <v>0</v>
      </c>
      <c r="F10" s="1534"/>
      <c r="G10" s="182"/>
    </row>
    <row r="11" spans="1:7" s="175" customFormat="1" ht="13.5" hidden="1" customHeight="1">
      <c r="A11" s="176" t="s">
        <v>4</v>
      </c>
      <c r="B11" s="177" t="s">
        <v>2025</v>
      </c>
      <c r="C11" s="195"/>
      <c r="D11" s="199"/>
      <c r="E11" s="1533"/>
      <c r="F11" s="1533"/>
      <c r="G11" s="179"/>
    </row>
    <row r="12" spans="1:7" s="175" customFormat="1" ht="13.5" hidden="1" customHeight="1">
      <c r="A12" s="176" t="s">
        <v>5</v>
      </c>
      <c r="B12" s="177" t="s">
        <v>2026</v>
      </c>
      <c r="C12" s="195">
        <v>0</v>
      </c>
      <c r="D12" s="199"/>
      <c r="E12" s="1538"/>
      <c r="F12" s="1534">
        <v>3.0499999999999999E-2</v>
      </c>
      <c r="G12" s="179"/>
    </row>
    <row r="13" spans="1:7" s="175" customFormat="1" ht="13.5" hidden="1" customHeight="1">
      <c r="A13" s="176" t="s">
        <v>6</v>
      </c>
      <c r="B13" s="177" t="s">
        <v>2027</v>
      </c>
      <c r="C13" s="195"/>
      <c r="D13" s="199"/>
      <c r="E13" s="1533"/>
      <c r="F13" s="1533"/>
      <c r="G13" s="179"/>
    </row>
    <row r="14" spans="1:7" s="175" customFormat="1" ht="13.5" hidden="1" customHeight="1">
      <c r="A14" s="176" t="s">
        <v>7</v>
      </c>
      <c r="B14" s="177" t="s">
        <v>2022</v>
      </c>
      <c r="C14" s="195"/>
      <c r="D14" s="199"/>
      <c r="E14" s="1533"/>
      <c r="F14" s="1533"/>
      <c r="G14" s="179" t="s">
        <v>2028</v>
      </c>
    </row>
    <row r="15" spans="1:7" s="175" customFormat="1" ht="13.5" hidden="1" customHeight="1">
      <c r="A15" s="176" t="s">
        <v>8</v>
      </c>
      <c r="B15" s="177" t="s">
        <v>2029</v>
      </c>
      <c r="C15" s="199"/>
      <c r="D15" s="199"/>
      <c r="E15" s="1533"/>
      <c r="F15" s="1533"/>
      <c r="G15" s="179" t="s">
        <v>2030</v>
      </c>
    </row>
    <row r="16" spans="1:7" s="175" customFormat="1" ht="13.5" hidden="1" customHeight="1">
      <c r="A16" s="176" t="s">
        <v>9</v>
      </c>
      <c r="B16" s="177" t="s">
        <v>2022</v>
      </c>
      <c r="C16" s="199"/>
      <c r="D16" s="199"/>
      <c r="E16" s="1533"/>
      <c r="F16" s="1533"/>
      <c r="G16" s="179"/>
    </row>
    <row r="17" spans="1:7" s="175" customFormat="1" ht="13.5" hidden="1" customHeight="1">
      <c r="A17" s="176" t="s">
        <v>10</v>
      </c>
      <c r="B17" s="177" t="s">
        <v>2031</v>
      </c>
      <c r="C17" s="1539"/>
      <c r="D17" s="1539"/>
      <c r="E17" s="1539"/>
      <c r="F17" s="1539"/>
      <c r="G17" s="179" t="s">
        <v>2030</v>
      </c>
    </row>
    <row r="18" spans="1:7" s="175" customFormat="1" ht="13.5" hidden="1" customHeight="1">
      <c r="A18" s="176" t="s">
        <v>11</v>
      </c>
      <c r="B18" s="177" t="s">
        <v>2032</v>
      </c>
      <c r="C18" s="199">
        <v>0</v>
      </c>
      <c r="D18" s="199"/>
      <c r="E18" s="1533"/>
      <c r="F18" s="1534">
        <v>3.0499999999999999E-2</v>
      </c>
      <c r="G18" s="179" t="s">
        <v>2033</v>
      </c>
    </row>
    <row r="19" spans="1:7" s="180" customFormat="1" ht="13.5" customHeight="1">
      <c r="A19" s="204" t="s">
        <v>2034</v>
      </c>
      <c r="B19" s="173" t="s">
        <v>2035</v>
      </c>
      <c r="C19" s="195">
        <f>IF(G19="已包含在土地取得成本中","0",ROUND(D19*E19,0))</f>
        <v>84920</v>
      </c>
      <c r="D19" s="1540">
        <f>IF(B1="仅计算典型户型",'数据-取费表'!E5,'数据-取费表'!B5)</f>
        <v>424.6</v>
      </c>
      <c r="E19" s="195">
        <f>'数据-取费表'!E15</f>
        <v>200</v>
      </c>
      <c r="F19" s="196"/>
      <c r="G19" s="2335"/>
    </row>
    <row r="20" spans="1:7" s="175" customFormat="1" ht="13.5" customHeight="1">
      <c r="A20" s="204" t="s">
        <v>2036</v>
      </c>
      <c r="B20" s="173" t="s">
        <v>2037</v>
      </c>
      <c r="C20" s="183">
        <f>ROUND((C5+C19)*F20,0)</f>
        <v>22308</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109542</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4">
        <f ca="1">ROUND(IF('数据-取费表'!B23&lt;=1,C5*F22*'数据-取费表'!B24,C5*(POWER((1+F22),'数据-取费表'!B24)-1)),0)</f>
        <v>100223</v>
      </c>
      <c r="D23" s="188"/>
      <c r="E23" s="188"/>
      <c r="F23" s="189"/>
      <c r="G23" s="190" t="s">
        <v>2047</v>
      </c>
    </row>
    <row r="24" spans="1:7" s="175" customFormat="1" ht="13.5" customHeight="1">
      <c r="A24" s="176" t="s">
        <v>2019</v>
      </c>
      <c r="B24" s="177" t="s">
        <v>2048</v>
      </c>
      <c r="C24" s="1454">
        <f ca="1">ROUND(IF('数据-取费表'!B23&lt;=1,C19*F22*('数据-取费表'!B20/2+'数据-取费表'!B22),C19*(POWER((1+F22),('数据-取费表'!B20/2+'数据-取费表'!B22))-1)),0)</f>
        <v>8259</v>
      </c>
      <c r="D24" s="188"/>
      <c r="E24" s="188"/>
      <c r="F24" s="189"/>
      <c r="G24" s="190" t="s">
        <v>2049</v>
      </c>
    </row>
    <row r="25" spans="1:7" s="175" customFormat="1" ht="24">
      <c r="A25" s="176" t="s">
        <v>2021</v>
      </c>
      <c r="B25" s="177" t="s">
        <v>2050</v>
      </c>
      <c r="C25" s="1454">
        <f ca="1">ROUND(IF('数据-取费表'!B23&lt;=1,C20*F22*'数据-取费表'!B24/2,C20*(POWER((1+F22),'数据-取费表'!B24/2)-1)),0)</f>
        <v>1060</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6.4">
      <c r="A27" s="1304" t="s">
        <v>2054</v>
      </c>
      <c r="B27" s="194" t="s">
        <v>2055</v>
      </c>
      <c r="C27" s="195">
        <f>C28</f>
        <v>170659</v>
      </c>
      <c r="D27" s="185">
        <f>C29</f>
        <v>3.0000000000000001E-3</v>
      </c>
      <c r="E27" s="186" t="s">
        <v>2041</v>
      </c>
      <c r="F27" s="196">
        <f>'数据-取费表'!E28</f>
        <v>0.15</v>
      </c>
      <c r="G27" s="197" t="s">
        <v>2056</v>
      </c>
    </row>
    <row r="28" spans="1:7" s="175" customFormat="1" ht="13.5" customHeight="1">
      <c r="A28" s="176" t="s">
        <v>2045</v>
      </c>
      <c r="B28" s="198" t="s">
        <v>2057</v>
      </c>
      <c r="C28" s="199">
        <f>ROUND((C5+C19+C20)*F27*'数据-取费表'!B22/'数据-取费表'!B21,0)</f>
        <v>170659</v>
      </c>
      <c r="D28" s="185"/>
      <c r="E28" s="186"/>
      <c r="F28" s="196"/>
      <c r="G28" s="197"/>
    </row>
    <row r="29" spans="1:7" s="175" customFormat="1" ht="13.5" customHeight="1">
      <c r="A29" s="176" t="s">
        <v>2019</v>
      </c>
      <c r="B29" s="198" t="s">
        <v>2058</v>
      </c>
      <c r="C29" s="188">
        <f>ROUND(C21*F27*'数据-取费表'!B22/'数据-取费表'!B21,4)</f>
        <v>3.0000000000000001E-3</v>
      </c>
      <c r="D29" s="185"/>
      <c r="E29" s="186"/>
      <c r="F29" s="196"/>
      <c r="G29" s="197"/>
    </row>
    <row r="30" spans="1:7" s="175" customFormat="1" ht="13.5" customHeight="1">
      <c r="A30" s="1304"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1536717</v>
      </c>
      <c r="D31" s="1540"/>
      <c r="E31" s="195"/>
      <c r="F31" s="1541"/>
      <c r="G31" s="184" t="s">
        <v>2063</v>
      </c>
    </row>
    <row r="32" spans="1:7" s="172" customFormat="1" ht="16.2">
      <c r="A32" s="201" t="s">
        <v>2064</v>
      </c>
      <c r="B32" s="202"/>
      <c r="C32" s="1542"/>
      <c r="D32" s="1542"/>
      <c r="E32" s="1542"/>
      <c r="F32" s="1542"/>
      <c r="G32" s="203"/>
    </row>
    <row r="33" spans="1:7" s="175" customFormat="1" ht="13.5" customHeight="1">
      <c r="A33" s="204" t="s">
        <v>2065</v>
      </c>
      <c r="B33" s="173" t="s">
        <v>2066</v>
      </c>
      <c r="C33" s="205">
        <f>SUM(C34:C38)</f>
        <v>1416041</v>
      </c>
      <c r="D33" s="183"/>
      <c r="E33" s="1531"/>
      <c r="F33" s="191"/>
      <c r="G33" s="184"/>
    </row>
    <row r="34" spans="1:7" s="206" customFormat="1" ht="13.5" customHeight="1">
      <c r="A34" s="176" t="s">
        <v>2045</v>
      </c>
      <c r="B34" s="177" t="s">
        <v>2067</v>
      </c>
      <c r="C34" s="199">
        <f>IF(B1="仅计算典型户型",'数据-取费表'!F18,'数据-取费表'!E18)</f>
        <v>1273800</v>
      </c>
      <c r="D34" s="1532"/>
      <c r="E34" s="199"/>
      <c r="F34" s="1543" t="str">
        <f>IF('数据-取费表'!B25=0,"",'数据-取费表'!E20)</f>
        <v/>
      </c>
      <c r="G34" s="179"/>
    </row>
    <row r="35" spans="1:7" ht="13.5" customHeight="1">
      <c r="A35" s="176" t="s">
        <v>2019</v>
      </c>
      <c r="B35" s="177" t="s">
        <v>2068</v>
      </c>
      <c r="C35" s="199">
        <f>ROUND(C34*F35,0)</f>
        <v>38214</v>
      </c>
      <c r="D35" s="199"/>
      <c r="E35" s="199"/>
      <c r="F35" s="1544">
        <f>'数据-取费表'!E21</f>
        <v>0.03</v>
      </c>
      <c r="G35" s="179" t="s">
        <v>2069</v>
      </c>
    </row>
    <row r="36" spans="1:7" ht="24">
      <c r="A36" s="176" t="s">
        <v>2021</v>
      </c>
      <c r="B36" s="177" t="s">
        <v>2070</v>
      </c>
      <c r="C36" s="199">
        <f>ROUND(IF('数据-取费表'!B10="住宅",C34*F36,0),0)</f>
        <v>0</v>
      </c>
      <c r="D36" s="199"/>
      <c r="E36" s="199"/>
      <c r="F36" s="1544">
        <f>'数据-取费表'!E22</f>
        <v>0</v>
      </c>
      <c r="G36" s="207" t="s">
        <v>2071</v>
      </c>
    </row>
    <row r="37" spans="1:7" s="206" customFormat="1" ht="13.5" customHeight="1">
      <c r="A37" s="176" t="s">
        <v>2052</v>
      </c>
      <c r="B37" s="177" t="s">
        <v>2072</v>
      </c>
      <c r="C37" s="199">
        <f>ROUND(E37*D37,0)</f>
        <v>84920</v>
      </c>
      <c r="D37" s="1532">
        <f>IF(B1="仅计算典型户型",'数据-取费表'!E5,'数据-取费表'!B5)</f>
        <v>424.6</v>
      </c>
      <c r="E37" s="199">
        <f>'数据-取费表'!E23</f>
        <v>200</v>
      </c>
      <c r="F37" s="1544"/>
      <c r="G37" s="208" t="s">
        <v>2073</v>
      </c>
    </row>
    <row r="38" spans="1:7" ht="13.5" customHeight="1">
      <c r="A38" s="176" t="s">
        <v>2074</v>
      </c>
      <c r="B38" s="177" t="s">
        <v>2075</v>
      </c>
      <c r="C38" s="199">
        <f>ROUND(C34*F38,0)</f>
        <v>19107</v>
      </c>
      <c r="D38" s="199"/>
      <c r="E38" s="199"/>
      <c r="F38" s="1544">
        <f>'数据-取费表'!E24</f>
        <v>1.4999999999999999E-2</v>
      </c>
      <c r="G38" s="179" t="s">
        <v>2069</v>
      </c>
    </row>
    <row r="39" spans="1:7" s="175" customFormat="1" ht="13.5" customHeight="1">
      <c r="A39" s="204" t="s">
        <v>2034</v>
      </c>
      <c r="B39" s="173" t="s">
        <v>2037</v>
      </c>
      <c r="C39" s="183">
        <f>ROUND(C33*F20,0)</f>
        <v>28321</v>
      </c>
      <c r="D39" s="183"/>
      <c r="E39" s="183"/>
      <c r="F39" s="187"/>
      <c r="G39" s="184" t="s">
        <v>2076</v>
      </c>
    </row>
    <row r="40" spans="1:7" s="175" customFormat="1" ht="13.5" customHeight="1">
      <c r="A40" s="204" t="s">
        <v>2036</v>
      </c>
      <c r="B40" s="173" t="s">
        <v>2040</v>
      </c>
      <c r="C40" s="1818">
        <f>F21</f>
        <v>0.02</v>
      </c>
      <c r="D40" s="186" t="s">
        <v>2077</v>
      </c>
      <c r="E40" s="183"/>
      <c r="F40" s="187"/>
      <c r="G40" s="184" t="s">
        <v>2078</v>
      </c>
    </row>
    <row r="41" spans="1:7" s="175" customFormat="1" ht="13.5" customHeight="1">
      <c r="A41" s="204" t="s">
        <v>2039</v>
      </c>
      <c r="B41" s="173" t="s">
        <v>2044</v>
      </c>
      <c r="C41" s="183">
        <f ca="1">ROUND(SUM(C42:C43),0)</f>
        <v>68607</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67262</v>
      </c>
      <c r="D42" s="188"/>
      <c r="E42" s="188"/>
      <c r="F42" s="189"/>
      <c r="G42" s="2970" t="s">
        <v>2079</v>
      </c>
    </row>
    <row r="43" spans="1:7" ht="13.5" customHeight="1">
      <c r="A43" s="176" t="s">
        <v>2019</v>
      </c>
      <c r="B43" s="177" t="s">
        <v>2048</v>
      </c>
      <c r="C43" s="188">
        <f ca="1">ROUND(IF('数据-取费表'!B23&lt;=1,C39*F22*'数据-取费表'!B22/2,C39*(POWER((1+F22),'数据-取费表'!B22/2)-1)),0)</f>
        <v>1345</v>
      </c>
      <c r="D43" s="188"/>
      <c r="E43" s="188"/>
      <c r="F43" s="189"/>
      <c r="G43" s="2971"/>
    </row>
    <row r="44" spans="1:7" ht="13.5" customHeight="1">
      <c r="A44" s="176" t="s">
        <v>2021</v>
      </c>
      <c r="B44" s="177" t="s">
        <v>2050</v>
      </c>
      <c r="C44" s="188">
        <f ca="1">ROUND(IF('数据-取费表'!B23&lt;=1,C40*F22*'数据-取费表'!B22/2,C40*(POWER((1+F22),'数据-取费表'!B22/2)-1)),4)</f>
        <v>1E-3</v>
      </c>
      <c r="D44" s="188"/>
      <c r="E44" s="188"/>
      <c r="F44" s="189"/>
      <c r="G44" s="2972"/>
    </row>
    <row r="45" spans="1:7" s="175" customFormat="1" ht="13.5" customHeight="1">
      <c r="A45" s="204" t="s">
        <v>2043</v>
      </c>
      <c r="B45" s="194" t="s">
        <v>2055</v>
      </c>
      <c r="C45" s="195">
        <f>C46</f>
        <v>216654</v>
      </c>
      <c r="D45" s="185">
        <f>C47</f>
        <v>3.0000000000000001E-3</v>
      </c>
      <c r="E45" s="186" t="s">
        <v>2077</v>
      </c>
      <c r="F45" s="196"/>
      <c r="G45" s="197" t="s">
        <v>2080</v>
      </c>
    </row>
    <row r="46" spans="1:7" s="175" customFormat="1" ht="13.5" customHeight="1">
      <c r="A46" s="176" t="s">
        <v>2045</v>
      </c>
      <c r="B46" s="198" t="s">
        <v>2081</v>
      </c>
      <c r="C46" s="199">
        <f>ROUND((C33+C39)*F27,0)</f>
        <v>216654</v>
      </c>
      <c r="D46" s="209"/>
      <c r="E46" s="186"/>
      <c r="F46" s="196"/>
      <c r="G46" s="197"/>
    </row>
    <row r="47" spans="1:7" s="175" customFormat="1" ht="13.5" customHeight="1">
      <c r="A47" s="176" t="s">
        <v>2019</v>
      </c>
      <c r="B47" s="198" t="s">
        <v>2082</v>
      </c>
      <c r="C47" s="188">
        <f>ROUND(C40*F27,4)</f>
        <v>3.0000000000000001E-3</v>
      </c>
      <c r="D47" s="209"/>
      <c r="E47" s="186"/>
      <c r="F47" s="196"/>
      <c r="G47" s="197"/>
    </row>
    <row r="48" spans="1:7" s="175" customFormat="1" ht="13.5" customHeight="1">
      <c r="A48" s="1304" t="s">
        <v>2054</v>
      </c>
      <c r="B48" s="173" t="s">
        <v>2083</v>
      </c>
      <c r="C48" s="1818">
        <f>ROUND(F30/(1+'数据-取费表'!F30),4)</f>
        <v>5.33E-2</v>
      </c>
      <c r="D48" s="186" t="s">
        <v>2077</v>
      </c>
      <c r="E48" s="183"/>
      <c r="F48" s="187"/>
      <c r="G48" s="184" t="s">
        <v>2084</v>
      </c>
    </row>
    <row r="49" spans="1:7" ht="16.5" customHeight="1">
      <c r="A49" s="1304" t="s">
        <v>2085</v>
      </c>
      <c r="B49" s="173" t="s">
        <v>2086</v>
      </c>
      <c r="C49" s="183">
        <f ca="1">ROUND((C33+C39+C41+C45)/(1-C40-D41-D45-C48),0)</f>
        <v>1874524</v>
      </c>
      <c r="D49" s="183"/>
      <c r="E49" s="183"/>
      <c r="F49" s="210"/>
      <c r="G49" s="184" t="s">
        <v>2087</v>
      </c>
    </row>
    <row r="50" spans="1:7" s="206" customFormat="1" ht="24">
      <c r="A50" s="1304" t="s">
        <v>2088</v>
      </c>
      <c r="B50" s="173" t="s">
        <v>2089</v>
      </c>
      <c r="C50" s="183"/>
      <c r="D50" s="183"/>
      <c r="E50" s="183"/>
      <c r="F50" s="210">
        <f>IF('数据-取费表'!B25=0,'数据-取费表'!E20,1)</f>
        <v>0.9</v>
      </c>
      <c r="G50" s="197" t="s">
        <v>2090</v>
      </c>
    </row>
    <row r="51" spans="1:7" ht="16.5" customHeight="1">
      <c r="A51" s="1304" t="s">
        <v>2091</v>
      </c>
      <c r="B51" s="173" t="s">
        <v>2092</v>
      </c>
      <c r="C51" s="183">
        <f ca="1">ROUND(C49*F50,0)</f>
        <v>1687072</v>
      </c>
      <c r="D51" s="183"/>
      <c r="E51" s="183"/>
      <c r="F51" s="210"/>
      <c r="G51" s="184" t="s">
        <v>2093</v>
      </c>
    </row>
    <row r="52" spans="1:7" s="172" customFormat="1" ht="16.8" thickBot="1">
      <c r="A52" s="211" t="s">
        <v>2094</v>
      </c>
      <c r="B52" s="212"/>
      <c r="C52" s="213">
        <f ca="1">C31+C51</f>
        <v>3223789</v>
      </c>
      <c r="D52" s="212"/>
      <c r="E52" s="212"/>
      <c r="F52" s="212"/>
      <c r="G52" s="214"/>
    </row>
    <row r="55" spans="1:7" ht="15">
      <c r="B55" s="216" t="s">
        <v>2095</v>
      </c>
      <c r="C55" s="217"/>
    </row>
    <row r="56" spans="1:7">
      <c r="B56" s="219" t="s">
        <v>2096</v>
      </c>
      <c r="C56" s="220">
        <f ca="1">ROUND(C51/C52,3)</f>
        <v>0.52300000000000002</v>
      </c>
    </row>
    <row r="57" spans="1:7">
      <c r="B57" s="219" t="s">
        <v>2097</v>
      </c>
      <c r="C57" s="221">
        <f ca="1">1-C56</f>
        <v>0.47699999999999998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2" customWidth="1"/>
    <col min="2" max="2" width="25.77734375" style="303" customWidth="1"/>
    <col min="3" max="3" width="10.33203125" style="304" customWidth="1"/>
    <col min="4" max="4" width="9.88671875" style="303" customWidth="1"/>
    <col min="5" max="5" width="9.44140625" style="302" customWidth="1"/>
    <col min="6" max="6" width="10.109375" style="303" customWidth="1"/>
    <col min="7" max="7" width="9.44140625" style="303" customWidth="1"/>
    <col min="8" max="8" width="10" style="303" customWidth="1"/>
    <col min="9" max="11" width="9.44140625" style="303" customWidth="1"/>
    <col min="12" max="12" width="9" style="303" customWidth="1"/>
    <col min="13" max="13" width="10.44140625" style="303" bestFit="1" customWidth="1"/>
    <col min="14" max="254" width="9" style="303" customWidth="1"/>
    <col min="255" max="16384" width="6.6640625" style="303"/>
  </cols>
  <sheetData>
    <row r="1" spans="1:33" s="223" customFormat="1" ht="21">
      <c r="A1" s="161" t="s">
        <v>1302</v>
      </c>
      <c r="B1" s="222"/>
      <c r="C1" s="1320" t="s">
        <v>1303</v>
      </c>
      <c r="D1" s="1451"/>
      <c r="E1" s="1210"/>
      <c r="F1" s="1210"/>
      <c r="G1" s="1210"/>
      <c r="H1" s="1210"/>
      <c r="I1" s="1210"/>
      <c r="J1" s="1210"/>
      <c r="K1" s="1210"/>
    </row>
    <row r="2" spans="1:33" s="223" customFormat="1" ht="18" customHeight="1">
      <c r="A2" s="165" t="s">
        <v>1304</v>
      </c>
      <c r="B2" s="168">
        <f ca="1">IF(C2="元",C32,ROUND(C32/10000,0))</f>
        <v>393</v>
      </c>
      <c r="C2" s="1968" t="str">
        <f>'数据-取费表'!B3</f>
        <v>万元</v>
      </c>
      <c r="D2" s="1210"/>
      <c r="E2" s="1210"/>
      <c r="F2" s="1210"/>
      <c r="G2" s="1210"/>
      <c r="H2" s="1210"/>
      <c r="I2" s="1210"/>
      <c r="J2" s="1210"/>
      <c r="K2" s="1210"/>
    </row>
    <row r="3" spans="1:33" s="223" customFormat="1" ht="18" customHeight="1" thickBot="1">
      <c r="A3" s="167" t="s">
        <v>1305</v>
      </c>
      <c r="B3" s="168">
        <f ca="1">ROUND(C32/IF(C1="仅计算典型户型",'数据-取费表'!E5,'数据-取费表'!B5),0)</f>
        <v>24803</v>
      </c>
      <c r="C3" s="1968" t="s">
        <v>1306</v>
      </c>
      <c r="D3" s="1210"/>
      <c r="E3" s="1210"/>
      <c r="F3" s="1210"/>
      <c r="G3" s="1210"/>
      <c r="H3" s="1210"/>
      <c r="I3" s="1210"/>
      <c r="J3" s="1210"/>
      <c r="K3" s="1210"/>
    </row>
    <row r="4" spans="1:33" s="227" customFormat="1" ht="16.5" customHeight="1">
      <c r="A4" s="224" t="s">
        <v>1307</v>
      </c>
      <c r="B4" s="225"/>
      <c r="C4" s="1450">
        <f>SUM(C8:K8)</f>
        <v>5543300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6">
      <c r="A5" s="228" t="s">
        <v>1308</v>
      </c>
      <c r="B5" s="229" t="s">
        <v>1309</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1310</v>
      </c>
      <c r="B6" s="231" t="s">
        <v>1311</v>
      </c>
      <c r="C6" s="232">
        <v>35000</v>
      </c>
      <c r="D6" s="1447"/>
      <c r="E6" s="1447"/>
      <c r="F6" s="1447"/>
      <c r="G6" s="1447"/>
      <c r="H6" s="1447"/>
      <c r="I6" s="1447"/>
      <c r="J6" s="1447"/>
      <c r="K6" s="1448"/>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1312</v>
      </c>
      <c r="B7" s="231" t="s">
        <v>1313</v>
      </c>
      <c r="C7" s="234">
        <f>IF(C1="仅计算典型户型",'数据-取费表'!E5,'数据-取费表'!B5)</f>
        <v>158.38</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9" t="s">
        <v>1314</v>
      </c>
      <c r="B8" s="231" t="s">
        <v>1315</v>
      </c>
      <c r="C8" s="727">
        <f>C6*C7</f>
        <v>5543300</v>
      </c>
      <c r="D8" s="1449"/>
      <c r="E8" s="1449"/>
      <c r="F8" s="1447"/>
      <c r="G8" s="1447"/>
      <c r="H8" s="1447"/>
      <c r="I8" s="1447"/>
      <c r="J8" s="1447"/>
      <c r="K8" s="1448"/>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1316</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1308</v>
      </c>
      <c r="B10" s="240" t="s">
        <v>1309</v>
      </c>
      <c r="C10" s="241" t="s">
        <v>1317</v>
      </c>
      <c r="D10" s="242" t="s">
        <v>1318</v>
      </c>
      <c r="E10" s="242" t="s">
        <v>1319</v>
      </c>
      <c r="F10" s="242" t="s">
        <v>1320</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1220</v>
      </c>
      <c r="B11" s="246" t="s">
        <v>1321</v>
      </c>
      <c r="C11" s="247">
        <f>IF(C1="仅计算典型户型",'数据-取费表'!F18,'数据-取费表'!E18)</f>
        <v>475140</v>
      </c>
      <c r="D11" s="248"/>
      <c r="E11" s="70"/>
      <c r="F11" s="249">
        <f>1-'数据-取费表'!E20</f>
        <v>9.9999999999999978E-2</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1221</v>
      </c>
      <c r="B12" s="246" t="s">
        <v>1322</v>
      </c>
      <c r="C12" s="14">
        <f>ROUND(C11*F12,0)</f>
        <v>14254</v>
      </c>
      <c r="D12" s="248"/>
      <c r="E12" s="70"/>
      <c r="F12" s="251">
        <f>'数据-取费表'!E21</f>
        <v>0.03</v>
      </c>
      <c r="G12" s="240" t="s">
        <v>1323</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1222</v>
      </c>
      <c r="B13" s="246" t="s">
        <v>1324</v>
      </c>
      <c r="C13" s="14">
        <f>ROUND(IF('数据-取费表'!B10="住宅",C11*F13,0),0)</f>
        <v>0</v>
      </c>
      <c r="D13" s="248"/>
      <c r="E13" s="70"/>
      <c r="F13" s="251">
        <f>'数据-取费表'!E22</f>
        <v>0</v>
      </c>
      <c r="G13" s="240" t="s">
        <v>1325</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1223</v>
      </c>
      <c r="B14" s="246" t="s">
        <v>1326</v>
      </c>
      <c r="C14" s="14">
        <f>ROUND(D14*E14*F11,0)</f>
        <v>3168</v>
      </c>
      <c r="D14" s="248">
        <f>IF(C1="仅计算典型户型",'数据-取费表'!E5,'数据-取费表'!B5)</f>
        <v>158.38</v>
      </c>
      <c r="E14" s="14">
        <f>'数据-取费表'!E23</f>
        <v>200</v>
      </c>
      <c r="F14" s="251"/>
      <c r="G14" s="240" t="s">
        <v>1327</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1224</v>
      </c>
      <c r="B15" s="246" t="s">
        <v>1328</v>
      </c>
      <c r="C15" s="259">
        <f>ROUND(C11*F15,0)</f>
        <v>7127</v>
      </c>
      <c r="D15" s="253"/>
      <c r="E15" s="259"/>
      <c r="F15" s="260">
        <f>'数据-取费表'!E24</f>
        <v>1.4999999999999999E-2</v>
      </c>
      <c r="G15" s="231" t="s">
        <v>1329</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1330</v>
      </c>
      <c r="B16" s="246" t="s">
        <v>1331</v>
      </c>
      <c r="C16" s="247">
        <f>SUM(C11:C15)</f>
        <v>499689</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1332</v>
      </c>
      <c r="B17" s="246" t="s">
        <v>1333</v>
      </c>
      <c r="C17" s="14">
        <f>ROUND(D17*E17,0)</f>
        <v>0</v>
      </c>
      <c r="D17" s="248">
        <f>IF(C1="仅计算典型户型",'数据-取费表'!E5,'数据-取费表'!B5)</f>
        <v>158.38</v>
      </c>
      <c r="E17" s="14">
        <f>'数据-取费表'!E16</f>
        <v>0</v>
      </c>
      <c r="F17" s="253"/>
      <c r="G17" s="231" t="s">
        <v>1334</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1335</v>
      </c>
      <c r="B18" s="246" t="s">
        <v>1336</v>
      </c>
      <c r="C18" s="14">
        <f>C19+C20-'数据-取费表'!E13</f>
        <v>0</v>
      </c>
      <c r="D18" s="248"/>
      <c r="E18" s="14"/>
      <c r="F18" s="251"/>
      <c r="G18" s="231" t="s">
        <v>1337</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956</v>
      </c>
      <c r="B20" s="246" t="s">
        <v>1339</v>
      </c>
      <c r="C20" s="14">
        <f>ROUND(D20*E20,0)</f>
        <v>0</v>
      </c>
      <c r="D20" s="248">
        <f>IF('数据-取费表'!B10&lt;&gt;"住宅",IF(C1="仅计算典型户型",'数据-取费表'!E5,'数据-取费表'!B5),0)</f>
        <v>158.38</v>
      </c>
      <c r="E20" s="14">
        <f>'数据-取费表'!E12</f>
        <v>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1310</v>
      </c>
      <c r="B21" s="261" t="s">
        <v>1340</v>
      </c>
      <c r="C21" s="262">
        <f>C16+C17+C18</f>
        <v>499689</v>
      </c>
      <c r="D21" s="263"/>
      <c r="E21" s="264"/>
      <c r="F21" s="264"/>
      <c r="G21" s="231" t="s">
        <v>1341</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1312</v>
      </c>
      <c r="B22" s="261" t="s">
        <v>1342</v>
      </c>
      <c r="C22" s="262">
        <f>ROUND(C21*F22,0)</f>
        <v>9994</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11087</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78116</v>
      </c>
      <c r="D28" s="267">
        <f>C29</f>
        <v>0.15440000000000001</v>
      </c>
      <c r="E28" s="273" t="s">
        <v>12</v>
      </c>
      <c r="F28" s="284">
        <f>'数据-取费表'!E28</f>
        <v>0.15</v>
      </c>
      <c r="G28" s="269"/>
      <c r="H28" s="270"/>
      <c r="I28" s="270"/>
      <c r="J28" s="270"/>
      <c r="K28" s="271"/>
    </row>
    <row r="29" spans="1:33" s="288" customFormat="1" ht="13.5" customHeight="1">
      <c r="A29" s="1306" t="s">
        <v>1358</v>
      </c>
      <c r="B29" s="286" t="s">
        <v>1359</v>
      </c>
      <c r="C29" s="277">
        <f>ROUND((1+C24)*F28,4)</f>
        <v>0.15440000000000001</v>
      </c>
      <c r="D29" s="277"/>
      <c r="E29" s="278"/>
      <c r="F29" s="287"/>
      <c r="G29" s="231" t="s">
        <v>1360</v>
      </c>
      <c r="H29" s="254"/>
      <c r="I29" s="254"/>
      <c r="J29" s="254"/>
      <c r="K29" s="255"/>
    </row>
    <row r="30" spans="1:33" s="288" customFormat="1" ht="13.5" customHeight="1">
      <c r="A30" s="1306" t="s">
        <v>1361</v>
      </c>
      <c r="B30" s="286" t="s">
        <v>1362</v>
      </c>
      <c r="C30" s="289">
        <f>ROUND((C21+C22+C23)*F28,0)</f>
        <v>78116</v>
      </c>
      <c r="D30" s="277"/>
      <c r="E30" s="290"/>
      <c r="F30" s="287"/>
      <c r="G30" s="231"/>
      <c r="H30" s="254"/>
      <c r="I30" s="254"/>
      <c r="J30" s="254"/>
      <c r="K30" s="255"/>
    </row>
    <row r="31" spans="1:33" s="266" customFormat="1" ht="13.5" customHeight="1" thickBot="1">
      <c r="A31" s="1970" t="s">
        <v>1363</v>
      </c>
      <c r="B31" s="261" t="s">
        <v>1364</v>
      </c>
      <c r="C31" s="291">
        <f>ROUND(C4*F31/(1+'数据-取费表'!F30),0)</f>
        <v>295643</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3928318</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6" sqref="F6"/>
    </sheetView>
  </sheetViews>
  <sheetFormatPr defaultColWidth="9" defaultRowHeight="15"/>
  <cols>
    <col min="1" max="1" width="9" style="309" customWidth="1"/>
    <col min="2" max="2" width="20.6640625" style="372" customWidth="1"/>
    <col min="3" max="3" width="11.88671875" style="372" customWidth="1"/>
    <col min="4" max="4" width="40.44140625" style="309" customWidth="1"/>
    <col min="5" max="5" width="15.77734375" style="309" customWidth="1"/>
    <col min="6" max="6" width="10.6640625" style="309" customWidth="1"/>
    <col min="7" max="7" width="4.88671875" style="309" customWidth="1"/>
    <col min="8" max="8" width="8.44140625" style="309" customWidth="1"/>
    <col min="9" max="9" width="21.21875" style="309" customWidth="1"/>
    <col min="10" max="10" width="12.21875" style="309" customWidth="1"/>
    <col min="11" max="11" width="40.109375" style="362" customWidth="1"/>
    <col min="12" max="12" width="18.33203125" style="309" customWidth="1"/>
    <col min="13" max="13" width="13" style="309" customWidth="1"/>
    <col min="14" max="14" width="13.109375" style="790" customWidth="1"/>
    <col min="15" max="15" width="5.21875" style="790" customWidth="1"/>
    <col min="16" max="16" width="24.88671875" style="790" customWidth="1"/>
    <col min="17" max="17" width="13.77734375" style="794" customWidth="1"/>
    <col min="18" max="18" width="26.109375" style="790" customWidth="1"/>
    <col min="19" max="19" width="1.44140625" style="790" customWidth="1"/>
    <col min="20" max="37" width="9" style="790"/>
    <col min="38" max="16384" width="9" style="309"/>
  </cols>
  <sheetData>
    <row r="1" spans="1:37" s="307" customFormat="1" ht="21.6">
      <c r="A1" s="305" t="s">
        <v>2098</v>
      </c>
      <c r="B1" s="306"/>
      <c r="C1" s="729"/>
      <c r="D1" s="2706" t="s">
        <v>2834</v>
      </c>
      <c r="E1" s="2707" t="s">
        <v>1254</v>
      </c>
      <c r="F1" s="2708"/>
      <c r="G1" s="2709" t="e">
        <f>MATCH(C1,'数据-取费表'!A18:A18,0)+5</f>
        <v>#N/A</v>
      </c>
      <c r="H1" s="730"/>
      <c r="I1" s="1211"/>
      <c r="J1" s="1211"/>
      <c r="K1" s="1212"/>
      <c r="L1" s="1211"/>
      <c r="M1" s="1211"/>
      <c r="N1" s="796"/>
      <c r="O1" s="796"/>
      <c r="P1" s="796"/>
      <c r="Q1" s="1358"/>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2008</v>
      </c>
      <c r="B2" s="764">
        <f ca="1">IF(C2="元",IF('数据-取费表'!B28="租赁期内按合同租金",C40+L47+J29,C40+L47),ROUND(IF('数据-取费表'!B28="租赁期内按合同租金",(C40+L47+J29)/10000,(C40+L47)/10000),0))</f>
        <v>451</v>
      </c>
      <c r="C2" s="2336" t="str">
        <f>'数据-取费表'!B3</f>
        <v>万元</v>
      </c>
      <c r="D2" s="1213"/>
      <c r="E2" s="1214"/>
      <c r="F2" s="1214"/>
      <c r="G2" s="1239"/>
      <c r="H2" s="728"/>
      <c r="I2" s="1215"/>
      <c r="J2" s="1215"/>
      <c r="K2" s="1216"/>
      <c r="L2" s="1215"/>
      <c r="M2" s="1215"/>
    </row>
    <row r="3" spans="1:37" ht="18" customHeight="1" thickBot="1">
      <c r="A3" s="310" t="s">
        <v>2009</v>
      </c>
      <c r="B3" s="765">
        <f ca="1">ROUND(IF('数据-取费表'!B28="租赁期内按合同租金",(C40+L47+J29)/F43,(C40+L47)/F43),0)</f>
        <v>28480</v>
      </c>
      <c r="C3" s="2336" t="s">
        <v>2099</v>
      </c>
      <c r="D3" s="1213"/>
      <c r="E3" s="1214"/>
      <c r="F3" s="1214"/>
      <c r="G3" s="1239"/>
      <c r="H3" s="311" t="s">
        <v>2100</v>
      </c>
      <c r="I3" s="1215"/>
      <c r="J3" s="1215"/>
      <c r="K3" s="1216"/>
      <c r="L3" s="1215"/>
      <c r="M3" s="1215"/>
    </row>
    <row r="4" spans="1:37" ht="18" customHeight="1">
      <c r="A4" s="312" t="s">
        <v>2101</v>
      </c>
      <c r="B4" s="313" t="s">
        <v>2102</v>
      </c>
      <c r="C4" s="313" t="s">
        <v>2103</v>
      </c>
      <c r="D4" s="313" t="s">
        <v>2104</v>
      </c>
      <c r="E4" s="314" t="s">
        <v>2105</v>
      </c>
      <c r="F4" s="315"/>
      <c r="G4" s="1237"/>
      <c r="H4" s="312" t="s">
        <v>2101</v>
      </c>
      <c r="I4" s="313" t="s">
        <v>2102</v>
      </c>
      <c r="J4" s="313" t="s">
        <v>2103</v>
      </c>
      <c r="K4" s="313" t="s">
        <v>2104</v>
      </c>
      <c r="L4" s="314" t="s">
        <v>2105</v>
      </c>
      <c r="M4" s="315"/>
    </row>
    <row r="5" spans="1:37" ht="18" customHeight="1">
      <c r="A5" s="316">
        <v>1</v>
      </c>
      <c r="B5" s="317" t="s">
        <v>2106</v>
      </c>
      <c r="C5" s="318">
        <f ca="1">C6+C10+C12</f>
        <v>234418</v>
      </c>
      <c r="D5" s="2337" t="s">
        <v>2107</v>
      </c>
      <c r="E5" s="1213"/>
      <c r="F5" s="1382"/>
      <c r="G5" s="1237"/>
      <c r="H5" s="316">
        <v>1</v>
      </c>
      <c r="I5" s="317" t="s">
        <v>2106</v>
      </c>
      <c r="J5" s="318">
        <f ca="1">J6+J10+J12</f>
        <v>0</v>
      </c>
      <c r="K5" s="2337" t="s">
        <v>2107</v>
      </c>
      <c r="L5" s="1213"/>
      <c r="M5" s="1382"/>
    </row>
    <row r="6" spans="1:37" ht="18" customHeight="1">
      <c r="A6" s="1383" t="s">
        <v>2108</v>
      </c>
      <c r="B6" s="2023" t="s">
        <v>2109</v>
      </c>
      <c r="C6" s="318">
        <f>ROUND(F6*F8*F7*(1-F9),0)</f>
        <v>234125</v>
      </c>
      <c r="D6" s="80" t="s">
        <v>2803</v>
      </c>
      <c r="E6" s="319" t="s">
        <v>2110</v>
      </c>
      <c r="F6" s="320">
        <f>'数据-取费表'!B29</f>
        <v>4.5</v>
      </c>
      <c r="G6" s="1237"/>
      <c r="H6" s="1383" t="s">
        <v>2108</v>
      </c>
      <c r="I6" s="2023" t="s">
        <v>2109</v>
      </c>
      <c r="J6" s="318">
        <f>ROUND(M6*M8*M7*(1-M9),0)</f>
        <v>0</v>
      </c>
      <c r="K6" s="80" t="s">
        <v>2803</v>
      </c>
      <c r="L6" s="319" t="s">
        <v>2110</v>
      </c>
      <c r="M6" s="320">
        <f>'数据-取费表'!B36</f>
        <v>0</v>
      </c>
    </row>
    <row r="7" spans="1:37" ht="18" customHeight="1">
      <c r="A7" s="1446"/>
      <c r="B7" s="322"/>
      <c r="C7" s="323"/>
      <c r="D7" s="324"/>
      <c r="E7" s="319" t="s">
        <v>2111</v>
      </c>
      <c r="F7" s="320">
        <f>IF('数据-取费表'!B41="",IF(D1="仅计算典型户型",'数据-取费表'!E5,'数据-取费表'!B5),'数据-取费表'!B41)</f>
        <v>158.38</v>
      </c>
      <c r="G7" s="1237"/>
      <c r="H7" s="321"/>
      <c r="I7" s="322"/>
      <c r="J7" s="323"/>
      <c r="K7" s="324"/>
      <c r="L7" s="319" t="s">
        <v>2111</v>
      </c>
      <c r="M7" s="320">
        <f>IF('数据-取费表'!B41="",IF(D1="仅计算典型户型",'数据-取费表'!E5,'数据-取费表'!B5),'数据-取费表'!B41)</f>
        <v>158.38</v>
      </c>
    </row>
    <row r="8" spans="1:37" ht="18" customHeight="1">
      <c r="A8" s="1446"/>
      <c r="B8" s="322"/>
      <c r="C8" s="323"/>
      <c r="D8" s="324"/>
      <c r="E8" s="319" t="s">
        <v>2112</v>
      </c>
      <c r="F8" s="320">
        <f>'数据-取费表'!B42</f>
        <v>365</v>
      </c>
      <c r="G8" s="1237"/>
      <c r="H8" s="321"/>
      <c r="I8" s="322"/>
      <c r="J8" s="323"/>
      <c r="K8" s="324"/>
      <c r="L8" s="319" t="s">
        <v>2113</v>
      </c>
      <c r="M8" s="320">
        <f>'数据-取费表'!B42</f>
        <v>365</v>
      </c>
    </row>
    <row r="9" spans="1:37" ht="18" customHeight="1">
      <c r="A9" s="1446"/>
      <c r="B9" s="322"/>
      <c r="C9" s="323"/>
      <c r="D9" s="328"/>
      <c r="E9" s="319" t="s">
        <v>2114</v>
      </c>
      <c r="F9" s="329">
        <f>'数据-取费表'!B32</f>
        <v>0.1</v>
      </c>
      <c r="G9" s="1237"/>
      <c r="H9" s="321"/>
      <c r="I9" s="322"/>
      <c r="J9" s="1385"/>
      <c r="K9" s="95"/>
      <c r="L9" s="330" t="s">
        <v>2114</v>
      </c>
      <c r="M9" s="329">
        <f>'数据-取费表'!B38</f>
        <v>0</v>
      </c>
    </row>
    <row r="10" spans="1:37" ht="18" customHeight="1">
      <c r="A10" s="1383" t="s">
        <v>2115</v>
      </c>
      <c r="B10" s="2338" t="s">
        <v>2116</v>
      </c>
      <c r="C10" s="1384">
        <f ca="1">ROUND(IF(F10="押一",C6/12*F11,IF(F10="押二",C6/12*2*F11,IF(F10="押三",C6/12*3*F11,C11*F11))),0)</f>
        <v>293</v>
      </c>
      <c r="D10" s="2339" t="s">
        <v>2811</v>
      </c>
      <c r="E10" s="330" t="s">
        <v>2117</v>
      </c>
      <c r="F10" s="2340" t="s">
        <v>2118</v>
      </c>
      <c r="G10" s="1237"/>
      <c r="H10" s="1383" t="s">
        <v>2115</v>
      </c>
      <c r="I10" s="2338" t="s">
        <v>2116</v>
      </c>
      <c r="J10" s="1384">
        <f ca="1">ROUND(IF(M10="押一",J6/12*M11,IF(M10="押二",J6/12*2*M11,IF(M10="押三",J6/12*3*M11,J11*M11))),0)</f>
        <v>0</v>
      </c>
      <c r="K10" s="80" t="s">
        <v>2811</v>
      </c>
      <c r="L10" s="330" t="s">
        <v>2117</v>
      </c>
      <c r="M10" s="2340"/>
    </row>
    <row r="11" spans="1:37" s="341" customFormat="1" ht="18" customHeight="1">
      <c r="A11" s="348"/>
      <c r="B11" s="2341" t="s">
        <v>2119</v>
      </c>
      <c r="C11" s="1417"/>
      <c r="D11" s="324"/>
      <c r="E11" s="330" t="s">
        <v>2120</v>
      </c>
      <c r="F11" s="331">
        <f ca="1">'数据-取费表'!B30</f>
        <v>1.4999999999999999E-2</v>
      </c>
      <c r="G11" s="1238"/>
      <c r="H11" s="325"/>
      <c r="I11" s="2341" t="s">
        <v>2121</v>
      </c>
      <c r="J11" s="1417"/>
      <c r="K11" s="324"/>
      <c r="L11" s="330" t="s">
        <v>2120</v>
      </c>
      <c r="M11" s="331">
        <f ca="1">'数据-取费表'!B30</f>
        <v>1.4999999999999999E-2</v>
      </c>
      <c r="N11" s="795"/>
      <c r="O11" s="795"/>
      <c r="P11" s="795"/>
      <c r="Q11" s="1359"/>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3" t="s">
        <v>2122</v>
      </c>
      <c r="B12" s="2342" t="s">
        <v>2123</v>
      </c>
      <c r="C12" s="1424"/>
      <c r="D12" s="2343"/>
      <c r="E12" s="1430"/>
      <c r="F12" s="1425"/>
      <c r="G12" s="1237"/>
      <c r="H12" s="1423" t="s">
        <v>2122</v>
      </c>
      <c r="I12" s="2342" t="s">
        <v>2123</v>
      </c>
      <c r="J12" s="1424"/>
      <c r="K12" s="1440"/>
      <c r="L12" s="1430"/>
      <c r="M12" s="1441"/>
    </row>
    <row r="13" spans="1:37" s="341" customFormat="1" ht="18" customHeight="1" thickTop="1">
      <c r="A13" s="1419">
        <v>2</v>
      </c>
      <c r="B13" s="1420" t="s">
        <v>2124</v>
      </c>
      <c r="C13" s="327">
        <f ca="1">ROUND(C29*F13,0)</f>
        <v>629294</v>
      </c>
      <c r="D13" s="1421" t="s">
        <v>2125</v>
      </c>
      <c r="E13" s="1421" t="s">
        <v>2126</v>
      </c>
      <c r="F13" s="1422">
        <f>'数据-取费表'!E20</f>
        <v>0.9</v>
      </c>
      <c r="G13" s="1238"/>
      <c r="H13" s="1419">
        <v>2</v>
      </c>
      <c r="I13" s="1420" t="s">
        <v>2124</v>
      </c>
      <c r="J13" s="1385">
        <f ca="1">ROUND(J14*J15,0)</f>
        <v>0</v>
      </c>
      <c r="K13" s="1426" t="s">
        <v>2125</v>
      </c>
      <c r="L13" s="1438"/>
      <c r="M13" s="1439"/>
      <c r="N13" s="795"/>
      <c r="O13" s="795"/>
      <c r="P13" s="795"/>
      <c r="Q13" s="1359"/>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2127</v>
      </c>
      <c r="B14" s="319" t="s">
        <v>2128</v>
      </c>
      <c r="C14" s="338">
        <f>IF(D1="仅计算典型户型",'数据-取费表'!F18,'数据-取费表'!E18)</f>
        <v>475140</v>
      </c>
      <c r="D14" s="1887" t="s">
        <v>2129</v>
      </c>
      <c r="E14" s="1888"/>
      <c r="F14" s="978"/>
      <c r="G14" s="1238"/>
      <c r="H14" s="337" t="s">
        <v>2108</v>
      </c>
      <c r="I14" s="319" t="s">
        <v>2130</v>
      </c>
      <c r="J14" s="14">
        <f ca="1">C29</f>
        <v>699215</v>
      </c>
      <c r="K14" s="12"/>
      <c r="L14" s="335"/>
      <c r="M14" s="336"/>
      <c r="N14" s="795"/>
      <c r="O14" s="795"/>
      <c r="P14" s="795"/>
      <c r="Q14" s="1359"/>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2131</v>
      </c>
      <c r="B15" s="319" t="s">
        <v>2132</v>
      </c>
      <c r="C15" s="14">
        <f>ROUND(C14*F15,0)</f>
        <v>14254</v>
      </c>
      <c r="D15" s="339" t="s">
        <v>2133</v>
      </c>
      <c r="E15" s="339" t="s">
        <v>2134</v>
      </c>
      <c r="F15" s="340">
        <f>'数据-取费表'!E21</f>
        <v>0.03</v>
      </c>
      <c r="G15" s="1237"/>
      <c r="H15" s="1429" t="s">
        <v>2135</v>
      </c>
      <c r="I15" s="1430" t="s">
        <v>2136</v>
      </c>
      <c r="J15" s="1442">
        <f>'数据-取费表'!B39</f>
        <v>0</v>
      </c>
      <c r="K15" s="1443"/>
      <c r="L15" s="1444"/>
      <c r="M15" s="1445"/>
    </row>
    <row r="16" spans="1:37" s="341" customFormat="1" ht="18" customHeight="1" thickTop="1">
      <c r="A16" s="337" t="s">
        <v>2137</v>
      </c>
      <c r="B16" s="319" t="s">
        <v>2138</v>
      </c>
      <c r="C16" s="14">
        <f>ROUND(C14*F16,0)</f>
        <v>0</v>
      </c>
      <c r="D16" s="319" t="s">
        <v>2133</v>
      </c>
      <c r="E16" s="319" t="s">
        <v>2134</v>
      </c>
      <c r="F16" s="342">
        <f>IF('数据-取费表'!B10="住宅",'数据-取费表'!E22,0)</f>
        <v>0</v>
      </c>
      <c r="G16" s="1238"/>
      <c r="H16" s="1419" t="s">
        <v>14</v>
      </c>
      <c r="I16" s="1420" t="s">
        <v>2139</v>
      </c>
      <c r="J16" s="327">
        <f ca="1">ROUND(J17+J22+J23+J24,0)</f>
        <v>16361</v>
      </c>
      <c r="K16" s="1426" t="s">
        <v>2140</v>
      </c>
      <c r="L16" s="1427"/>
      <c r="M16" s="1428"/>
      <c r="N16" s="795"/>
      <c r="O16" s="795"/>
      <c r="P16" s="795"/>
      <c r="Q16" s="1359"/>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2141</v>
      </c>
      <c r="B17" s="319" t="s">
        <v>2142</v>
      </c>
      <c r="C17" s="14">
        <f>ROUND(F17*IF(D1="仅计算典型户型",'数据-取费表'!E5,'数据-取费表'!B5),0)</f>
        <v>31676</v>
      </c>
      <c r="D17" s="319" t="s">
        <v>2143</v>
      </c>
      <c r="E17" s="319" t="s">
        <v>2144</v>
      </c>
      <c r="F17" s="16">
        <f>'数据-取费表'!E23</f>
        <v>200</v>
      </c>
      <c r="G17" s="1238"/>
      <c r="H17" s="337" t="s">
        <v>2145</v>
      </c>
      <c r="I17" s="319" t="s">
        <v>2146</v>
      </c>
      <c r="J17" s="14">
        <f ca="1">ROUND(IF(项目基本情况!B7="自然人",J5*M17,J18+J19+J20),0)</f>
        <v>5873</v>
      </c>
      <c r="K17" s="1887" t="s">
        <v>2147</v>
      </c>
      <c r="L17" s="1892" t="s">
        <v>2148</v>
      </c>
      <c r="M17" s="343" t="str">
        <f>IF(项目基本情况!B7="企业","",IF('数据-取费表'!B10="住宅",5%,IF(M6*M7*M8/12/(1+'数据-取费表'!F30)&gt;20000,12%,7%)))</f>
        <v/>
      </c>
      <c r="N17" s="795"/>
      <c r="O17" s="795"/>
      <c r="P17" s="795"/>
      <c r="Q17" s="1359"/>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2149</v>
      </c>
      <c r="B18" s="319" t="s">
        <v>2150</v>
      </c>
      <c r="C18" s="14">
        <f>ROUND(C14*F18,0)</f>
        <v>7127</v>
      </c>
      <c r="D18" s="319" t="s">
        <v>2133</v>
      </c>
      <c r="E18" s="319" t="s">
        <v>2134</v>
      </c>
      <c r="F18" s="342">
        <f>'数据-取费表'!E24</f>
        <v>1.4999999999999999E-2</v>
      </c>
      <c r="G18" s="1237"/>
      <c r="H18" s="337" t="s">
        <v>2151</v>
      </c>
      <c r="I18" s="319" t="s">
        <v>2152</v>
      </c>
      <c r="J18" s="14">
        <f ca="1">IF(项目基本情况!B7="自然人","——",ROUND(J5*M18/(1+'数据-取费表'!F30),0))</f>
        <v>0</v>
      </c>
      <c r="K18" s="1892" t="s">
        <v>2153</v>
      </c>
      <c r="L18" s="319" t="s">
        <v>2134</v>
      </c>
      <c r="M18" s="342">
        <f>'数据-取费表'!E29</f>
        <v>5.6000000000000001E-2</v>
      </c>
    </row>
    <row r="19" spans="1:37" s="341" customFormat="1" ht="18" customHeight="1">
      <c r="A19" s="337" t="s">
        <v>2145</v>
      </c>
      <c r="B19" s="319" t="s">
        <v>2154</v>
      </c>
      <c r="C19" s="14">
        <f>SUM(C14:C18)</f>
        <v>528197</v>
      </c>
      <c r="D19" s="56" t="s">
        <v>2155</v>
      </c>
      <c r="E19" s="1897"/>
      <c r="F19" s="16"/>
      <c r="G19" s="1238"/>
      <c r="H19" s="337" t="s">
        <v>2131</v>
      </c>
      <c r="I19" s="319" t="s">
        <v>2156</v>
      </c>
      <c r="J19" s="14">
        <f ca="1">IF(项目基本情况!B7="自然人","——",IF(K19="按租金收入计税",ROUND(J5*M19,1),ROUND(C29*M19*0.7,1)))</f>
        <v>5873.4</v>
      </c>
      <c r="K19" s="2012" t="s">
        <v>2157</v>
      </c>
      <c r="L19" s="319" t="s">
        <v>2134</v>
      </c>
      <c r="M19" s="342">
        <f>IF(K19="按租金收入计税",'数据-取费表'!E39,'数据-取费表'!E38)</f>
        <v>1.2E-2</v>
      </c>
      <c r="N19" s="795"/>
      <c r="O19" s="795"/>
      <c r="P19" s="795"/>
      <c r="Q19" s="1359"/>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2115</v>
      </c>
      <c r="B20" s="319" t="s">
        <v>2158</v>
      </c>
      <c r="C20" s="14">
        <f>ROUND(C19*F20,0)</f>
        <v>10564</v>
      </c>
      <c r="D20" s="344" t="s">
        <v>2159</v>
      </c>
      <c r="E20" s="319" t="s">
        <v>2160</v>
      </c>
      <c r="F20" s="342">
        <f>'数据-取费表'!E25</f>
        <v>0.02</v>
      </c>
      <c r="G20" s="1238"/>
      <c r="H20" s="337" t="s">
        <v>2137</v>
      </c>
      <c r="I20" s="80" t="s">
        <v>2161</v>
      </c>
      <c r="J20" s="15">
        <f>IF(项目基本情况!B7="自然人","——",ROUND(M20*M21,0))</f>
        <v>0</v>
      </c>
      <c r="K20" s="346" t="s">
        <v>2162</v>
      </c>
      <c r="L20" s="319" t="s">
        <v>2163</v>
      </c>
      <c r="M20" s="347">
        <f>'数据-取费表'!E40</f>
        <v>0</v>
      </c>
      <c r="N20" s="795"/>
      <c r="O20" s="795"/>
      <c r="P20" s="795"/>
      <c r="Q20" s="1359"/>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2164</v>
      </c>
      <c r="B21" s="319" t="s">
        <v>2165</v>
      </c>
      <c r="C21" s="703">
        <f>F21</f>
        <v>0.02</v>
      </c>
      <c r="D21" s="344" t="s">
        <v>2166</v>
      </c>
      <c r="E21" s="319" t="s">
        <v>2167</v>
      </c>
      <c r="F21" s="342">
        <f>'数据-取费表'!E26</f>
        <v>0.02</v>
      </c>
      <c r="G21" s="1237"/>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7"/>
      <c r="F22" s="16"/>
      <c r="G22" s="1237"/>
      <c r="H22" s="337" t="s">
        <v>2135</v>
      </c>
      <c r="I22" s="319" t="s">
        <v>2171</v>
      </c>
      <c r="J22" s="14">
        <f ca="1">ROUND(J14*M22,0)</f>
        <v>10488</v>
      </c>
      <c r="K22" s="1892"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25591</v>
      </c>
      <c r="D23" s="2006" t="str">
        <f>IF(F23&lt;=1,"(建造成本+管理费用)×利率×(建设周期÷2)","(建造成本+管理费用)×((1+利率)^(建设周期÷2)-1)")</f>
        <v>(建造成本+管理费用)×((1+利率)^(建设周期÷2)-1)</v>
      </c>
      <c r="E23" s="319" t="s">
        <v>2174</v>
      </c>
      <c r="F23" s="347">
        <f>'数据-取费表'!B21</f>
        <v>2</v>
      </c>
      <c r="G23" s="1237"/>
      <c r="H23" s="337" t="s">
        <v>2164</v>
      </c>
      <c r="I23" s="319" t="s">
        <v>2175</v>
      </c>
      <c r="J23" s="14">
        <f ca="1">ROUND(J13*M23,0)</f>
        <v>0</v>
      </c>
      <c r="K23" s="1892" t="s">
        <v>2176</v>
      </c>
      <c r="L23" s="319" t="s">
        <v>2177</v>
      </c>
      <c r="M23" s="351">
        <f>'数据-取费表'!B45</f>
        <v>2E-3</v>
      </c>
    </row>
    <row r="24" spans="1:37" s="341" customFormat="1" ht="18" customHeight="1" thickBot="1">
      <c r="A24" s="337" t="s">
        <v>2178</v>
      </c>
      <c r="B24" s="319" t="s">
        <v>2179</v>
      </c>
      <c r="C24" s="14">
        <f ca="1">ROUND(IF('数据-取费表'!B23&lt;=1,F21*F24*F23/2,F21*(POWER((1+F24),F23/2)-1)),4)</f>
        <v>1E-3</v>
      </c>
      <c r="D24" s="2006" t="str">
        <f>IF(F23&lt;=1,"销售费用×利率×(建设周期÷2)","销售费用×((1+利率)^(建设周期÷2)-1)")</f>
        <v>销售费用×((1+利率)^(建设周期÷2)-1)</v>
      </c>
      <c r="E24" s="319" t="s">
        <v>2180</v>
      </c>
      <c r="F24" s="352">
        <f ca="1">'数据-取费表'!E27</f>
        <v>4.7500000000000001E-2</v>
      </c>
      <c r="G24" s="1238"/>
      <c r="H24" s="1429" t="s">
        <v>2169</v>
      </c>
      <c r="I24" s="1430" t="s">
        <v>2158</v>
      </c>
      <c r="J24" s="1431">
        <f ca="1">ROUND(J5*M24,0)</f>
        <v>0</v>
      </c>
      <c r="K24" s="1432" t="s">
        <v>2181</v>
      </c>
      <c r="L24" s="1430" t="s">
        <v>2177</v>
      </c>
      <c r="M24" s="1425">
        <f>'数据-取费表'!B46</f>
        <v>0.02</v>
      </c>
      <c r="N24" s="795"/>
      <c r="O24" s="795"/>
      <c r="P24" s="795"/>
      <c r="Q24" s="1359"/>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2182</v>
      </c>
      <c r="B25" s="319" t="s">
        <v>2183</v>
      </c>
      <c r="C25" s="14"/>
      <c r="D25" s="56" t="s">
        <v>2184</v>
      </c>
      <c r="E25" s="1897"/>
      <c r="F25" s="16"/>
      <c r="G25" s="1238"/>
      <c r="H25" s="1419" t="s">
        <v>22</v>
      </c>
      <c r="I25" s="1434" t="s">
        <v>2185</v>
      </c>
      <c r="J25" s="327">
        <f ca="1">J5-J16</f>
        <v>-16361</v>
      </c>
      <c r="K25" s="1435" t="s">
        <v>2186</v>
      </c>
      <c r="L25" s="1436"/>
      <c r="M25" s="1437"/>
      <c r="N25" s="795"/>
      <c r="O25" s="795"/>
      <c r="P25" s="795"/>
      <c r="Q25" s="1359"/>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2127</v>
      </c>
      <c r="B26" s="319" t="s">
        <v>2187</v>
      </c>
      <c r="C26" s="14">
        <f>ROUND((C19+C20)*F26,0)</f>
        <v>80814</v>
      </c>
      <c r="D26" s="344" t="s">
        <v>2188</v>
      </c>
      <c r="E26" s="330" t="s">
        <v>2189</v>
      </c>
      <c r="F26" s="329">
        <f>'数据-取费表'!E28</f>
        <v>0.15</v>
      </c>
      <c r="G26" s="790"/>
      <c r="H26" s="316" t="s">
        <v>23</v>
      </c>
      <c r="I26" s="317" t="s">
        <v>2190</v>
      </c>
      <c r="J26" s="318">
        <f ca="1">IF(J5&lt;&gt;0,ROUND(J25*(1-((1+M28)/(1+M26))^M27)/(M26-M28),0),0)</f>
        <v>0</v>
      </c>
      <c r="K26" s="346" t="s">
        <v>2191</v>
      </c>
      <c r="L26" s="319" t="s">
        <v>2192</v>
      </c>
      <c r="M26" s="329">
        <f>'数据-取费表'!B16</f>
        <v>5.5E-2</v>
      </c>
    </row>
    <row r="27" spans="1:37" ht="18" customHeight="1">
      <c r="A27" s="337" t="s">
        <v>2193</v>
      </c>
      <c r="B27" s="319" t="s">
        <v>2194</v>
      </c>
      <c r="C27" s="14">
        <f>ROUND(F21*F26,4)</f>
        <v>3.0000000000000001E-3</v>
      </c>
      <c r="D27" s="344" t="s">
        <v>2195</v>
      </c>
      <c r="E27" s="339"/>
      <c r="F27" s="340"/>
      <c r="G27" s="790"/>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0"/>
      <c r="H28" s="325"/>
      <c r="I28" s="326"/>
      <c r="J28" s="327"/>
      <c r="K28" s="349"/>
      <c r="L28" s="319" t="s">
        <v>2201</v>
      </c>
      <c r="M28" s="329">
        <f>'数据-取费表'!B37</f>
        <v>0</v>
      </c>
    </row>
    <row r="29" spans="1:37" ht="18" customHeight="1" thickBot="1">
      <c r="A29" s="1429" t="s">
        <v>2202</v>
      </c>
      <c r="B29" s="1430" t="s">
        <v>2203</v>
      </c>
      <c r="C29" s="1431">
        <f ca="1">ROUND((C19+C20+C23+C26)/(1-F21-C24-C27-C28),0)</f>
        <v>699215</v>
      </c>
      <c r="D29" s="1432"/>
      <c r="E29" s="1430"/>
      <c r="F29" s="1433"/>
      <c r="G29" s="790"/>
      <c r="H29" s="356" t="s">
        <v>24</v>
      </c>
      <c r="I29" s="357" t="s">
        <v>2204</v>
      </c>
      <c r="J29" s="358">
        <f ca="1">ROUND(J26/(1+F40)^F41,0)</f>
        <v>0</v>
      </c>
      <c r="K29" s="359" t="s">
        <v>2205</v>
      </c>
      <c r="L29" s="360"/>
      <c r="M29" s="361">
        <f>IF(D1="仅计算典型户型",'数据-取费表'!E5,'数据-取费表'!B5)</f>
        <v>158.38</v>
      </c>
    </row>
    <row r="30" spans="1:37" ht="18" customHeight="1" thickTop="1">
      <c r="A30" s="1419" t="s">
        <v>14</v>
      </c>
      <c r="B30" s="1420" t="s">
        <v>2206</v>
      </c>
      <c r="C30" s="327">
        <f ca="1">ROUND(C31+C36+C37+C38,0)</f>
        <v>57067</v>
      </c>
      <c r="D30" s="1426" t="s">
        <v>2207</v>
      </c>
      <c r="E30" s="1427"/>
      <c r="F30" s="1428"/>
      <c r="G30" s="790"/>
      <c r="H30" s="1217"/>
      <c r="I30" s="1218"/>
      <c r="J30" s="1219"/>
      <c r="K30" s="1220"/>
      <c r="L30" s="1221"/>
      <c r="M30" s="1222"/>
    </row>
    <row r="31" spans="1:37" ht="18" customHeight="1">
      <c r="A31" s="337" t="s">
        <v>2108</v>
      </c>
      <c r="B31" s="319" t="s">
        <v>2146</v>
      </c>
      <c r="C31" s="14">
        <f ca="1">ROUND(IF(项目基本情况!B7="自然人",C5*F31,C32+C33+C34),1)</f>
        <v>40632.199999999997</v>
      </c>
      <c r="D31" s="1887" t="s">
        <v>2208</v>
      </c>
      <c r="E31" s="1892" t="s">
        <v>2209</v>
      </c>
      <c r="F31" s="343" t="str">
        <f>IF(项目基本情况!B7="企业","",IF('数据-取费表'!B10="住宅",5%,IF(F6*F7*F8/12/(1+'数据-取费表'!F30)&gt;20000,12%,7%)))</f>
        <v/>
      </c>
      <c r="G31" s="790"/>
      <c r="H31" s="1217"/>
      <c r="I31" s="1218"/>
      <c r="J31" s="1219"/>
      <c r="K31" s="1220"/>
      <c r="L31" s="1221"/>
      <c r="M31" s="1222"/>
    </row>
    <row r="32" spans="1:37" ht="18" customHeight="1">
      <c r="A32" s="337" t="s">
        <v>2127</v>
      </c>
      <c r="B32" s="319" t="s">
        <v>2210</v>
      </c>
      <c r="C32" s="14">
        <f ca="1">IF(项目基本情况!B7="自然人","——",ROUND(C5*F32/(1+'数据-取费表'!F30),0))</f>
        <v>12502</v>
      </c>
      <c r="D32" s="1892" t="s">
        <v>2211</v>
      </c>
      <c r="E32" s="319" t="s">
        <v>2160</v>
      </c>
      <c r="F32" s="352">
        <f>'数据-取费表'!E29</f>
        <v>5.6000000000000001E-2</v>
      </c>
      <c r="G32" s="790"/>
      <c r="H32" s="1223"/>
      <c r="I32" s="1224"/>
      <c r="J32" s="1225"/>
      <c r="K32" s="1226"/>
      <c r="L32" s="1227"/>
      <c r="M32" s="1228"/>
    </row>
    <row r="33" spans="1:18" ht="18" customHeight="1">
      <c r="A33" s="337" t="s">
        <v>2131</v>
      </c>
      <c r="B33" s="319" t="s">
        <v>2156</v>
      </c>
      <c r="C33" s="14">
        <f ca="1">IF(项目基本情况!B7="自然人","——",IF(D33="按租金收入计税",ROUND(C5*F33,1),IF(D33="按房产原值计税",ROUND(C29*F33*0.7,1),'数据-取费表'!B43)))</f>
        <v>28130.2</v>
      </c>
      <c r="D33" s="2012" t="s">
        <v>2889</v>
      </c>
      <c r="E33" s="319" t="s">
        <v>2134</v>
      </c>
      <c r="F33" s="342">
        <f>IF(D33="按票据","——",IF(D33="按租金收入计税",'数据-取费表'!E39,'数据-取费表'!E38))</f>
        <v>0.12</v>
      </c>
      <c r="G33" s="790"/>
      <c r="H33" s="1229"/>
      <c r="I33" s="363" t="s">
        <v>2212</v>
      </c>
      <c r="J33" s="364"/>
      <c r="K33" s="1230"/>
      <c r="L33" s="1229"/>
      <c r="M33" s="1229"/>
    </row>
    <row r="34" spans="1:18" ht="18" customHeight="1">
      <c r="A34" s="1383" t="s">
        <v>2137</v>
      </c>
      <c r="B34" s="80" t="s">
        <v>2161</v>
      </c>
      <c r="C34" s="15">
        <f>IF(项目基本情况!B7="自然人","——",ROUND(F34*F35,0))</f>
        <v>0</v>
      </c>
      <c r="D34" s="346" t="s">
        <v>2162</v>
      </c>
      <c r="E34" s="319" t="s">
        <v>2163</v>
      </c>
      <c r="F34" s="347">
        <f>'数据-取费表'!E40</f>
        <v>0</v>
      </c>
      <c r="G34" s="790"/>
      <c r="H34" s="1217"/>
      <c r="I34" s="365" t="s">
        <v>2213</v>
      </c>
      <c r="J34" s="366">
        <f ca="1">ROUND(C13*J35,0)</f>
        <v>53490</v>
      </c>
      <c r="K34" s="1231"/>
      <c r="L34" s="1232"/>
      <c r="M34" s="1232"/>
    </row>
    <row r="35" spans="1:18" ht="24.6" customHeight="1">
      <c r="A35" s="1387"/>
      <c r="B35" s="328"/>
      <c r="C35" s="19"/>
      <c r="D35" s="349"/>
      <c r="E35" s="319" t="s">
        <v>2168</v>
      </c>
      <c r="F35" s="320">
        <f>IF(D1="仅计算典型户型",'数据-取费表'!E6,'数据-取费表'!B6)</f>
        <v>0</v>
      </c>
      <c r="G35" s="790"/>
      <c r="H35" s="1217"/>
      <c r="I35" s="367" t="s">
        <v>2214</v>
      </c>
      <c r="J35" s="368">
        <f>'数据-取费表'!B17</f>
        <v>8.5000000000000006E-2</v>
      </c>
      <c r="K35" s="1230"/>
      <c r="L35" s="1229"/>
      <c r="M35" s="1229"/>
    </row>
    <row r="36" spans="1:18" ht="18" customHeight="1">
      <c r="A36" s="1386" t="s">
        <v>2115</v>
      </c>
      <c r="B36" s="319" t="s">
        <v>2215</v>
      </c>
      <c r="C36" s="14">
        <f ca="1">ROUND(C29*F36,0)</f>
        <v>10488</v>
      </c>
      <c r="D36" s="1892" t="s">
        <v>2216</v>
      </c>
      <c r="E36" s="319" t="s">
        <v>2160</v>
      </c>
      <c r="F36" s="350">
        <f>'数据-取费表'!B44</f>
        <v>1.4999999999999999E-2</v>
      </c>
      <c r="G36" s="790"/>
      <c r="H36" s="1229"/>
      <c r="I36" s="369" t="s">
        <v>2217</v>
      </c>
      <c r="J36" s="370"/>
      <c r="K36" s="1233"/>
      <c r="L36" s="1229"/>
      <c r="M36" s="1229"/>
    </row>
    <row r="37" spans="1:18" ht="18" customHeight="1">
      <c r="A37" s="337" t="s">
        <v>2164</v>
      </c>
      <c r="B37" s="319" t="s">
        <v>2175</v>
      </c>
      <c r="C37" s="14">
        <f ca="1">ROUND(C13*F37,0)</f>
        <v>1259</v>
      </c>
      <c r="D37" s="1892" t="s">
        <v>2176</v>
      </c>
      <c r="E37" s="319" t="s">
        <v>2177</v>
      </c>
      <c r="F37" s="351">
        <f>'数据-取费表'!B45</f>
        <v>2E-3</v>
      </c>
      <c r="G37" s="790"/>
      <c r="H37" s="1229"/>
      <c r="I37" s="216" t="s">
        <v>2218</v>
      </c>
      <c r="J37" s="371"/>
      <c r="K37" s="1233"/>
      <c r="L37" s="1229"/>
      <c r="M37" s="1229"/>
    </row>
    <row r="38" spans="1:18" ht="18" customHeight="1" thickBot="1">
      <c r="A38" s="1429" t="s">
        <v>2169</v>
      </c>
      <c r="B38" s="1430" t="s">
        <v>2158</v>
      </c>
      <c r="C38" s="1431">
        <f ca="1">ROUND(C5*F38,0)</f>
        <v>4688</v>
      </c>
      <c r="D38" s="1432" t="s">
        <v>2181</v>
      </c>
      <c r="E38" s="1430" t="s">
        <v>2177</v>
      </c>
      <c r="F38" s="1425">
        <f>'数据-取费表'!B46</f>
        <v>0.02</v>
      </c>
      <c r="G38" s="790"/>
      <c r="H38" s="1229"/>
      <c r="I38" s="365" t="s">
        <v>2219</v>
      </c>
      <c r="J38" s="220">
        <f ca="1">ROUND(J34/C39,3)</f>
        <v>0.30199999999999999</v>
      </c>
      <c r="K38" s="1234"/>
      <c r="L38" s="1229"/>
      <c r="M38" s="1229"/>
    </row>
    <row r="39" spans="1:18" ht="18" customHeight="1" thickTop="1">
      <c r="A39" s="1419" t="s">
        <v>22</v>
      </c>
      <c r="B39" s="1434" t="s">
        <v>2220</v>
      </c>
      <c r="C39" s="327">
        <f ca="1">C5-C30</f>
        <v>177351</v>
      </c>
      <c r="D39" s="1435" t="s">
        <v>2221</v>
      </c>
      <c r="E39" s="1436"/>
      <c r="F39" s="1437"/>
      <c r="G39" s="790"/>
      <c r="H39" s="1229"/>
      <c r="I39" s="365" t="s">
        <v>2222</v>
      </c>
      <c r="J39" s="220">
        <f ca="1">1-J38</f>
        <v>0.69799999999999995</v>
      </c>
      <c r="K39" s="1234"/>
      <c r="L39" s="1229"/>
      <c r="M39" s="1229"/>
    </row>
    <row r="40" spans="1:18" s="790" customFormat="1" ht="18" customHeight="1">
      <c r="A40" s="316" t="s">
        <v>23</v>
      </c>
      <c r="B40" s="317" t="s">
        <v>2223</v>
      </c>
      <c r="C40" s="318">
        <f ca="1">ROUND(C39*(1-((1+F42)/(1+F40))^F41)/(F40-F42),0)</f>
        <v>4503121</v>
      </c>
      <c r="D40" s="346" t="s">
        <v>2191</v>
      </c>
      <c r="E40" s="319" t="s">
        <v>2192</v>
      </c>
      <c r="F40" s="329">
        <f>'数据-取费表'!B16</f>
        <v>5.5E-2</v>
      </c>
      <c r="H40" s="1235"/>
      <c r="I40" s="216" t="s">
        <v>2224</v>
      </c>
      <c r="J40" s="217"/>
      <c r="K40" s="1234"/>
      <c r="L40" s="1235"/>
      <c r="M40" s="1235"/>
      <c r="Q40" s="794"/>
    </row>
    <row r="41" spans="1:18" s="790" customFormat="1" ht="18" customHeight="1">
      <c r="A41" s="321"/>
      <c r="B41" s="322"/>
      <c r="C41" s="323"/>
      <c r="D41" s="354" t="s">
        <v>2225</v>
      </c>
      <c r="E41" s="1824" t="s">
        <v>2890</v>
      </c>
      <c r="F41" s="355">
        <f>IF('数据-取费表'!B28="租赁期内按合同租金",'数据-取费表'!B34,IF(E41="收益年期(n)",'数据-取费表'!B33,'数据-取费表'!B13))</f>
        <v>42</v>
      </c>
      <c r="H41" s="1236"/>
      <c r="I41" s="219" t="s">
        <v>2096</v>
      </c>
      <c r="J41" s="220">
        <f ca="1">ROUND(C13/C40,3)</f>
        <v>0.14000000000000001</v>
      </c>
      <c r="K41" s="1233"/>
      <c r="L41" s="1236"/>
      <c r="M41" s="1236"/>
      <c r="Q41" s="794"/>
    </row>
    <row r="42" spans="1:18" s="790" customFormat="1" ht="18" customHeight="1">
      <c r="A42" s="325"/>
      <c r="B42" s="326"/>
      <c r="C42" s="327"/>
      <c r="D42" s="349"/>
      <c r="E42" s="319" t="s">
        <v>2201</v>
      </c>
      <c r="F42" s="329">
        <f>'数据-取费表'!B31</f>
        <v>0.03</v>
      </c>
      <c r="H42" s="1236"/>
      <c r="I42" s="219" t="s">
        <v>2097</v>
      </c>
      <c r="J42" s="221">
        <f ca="1">1-J41</f>
        <v>0.86</v>
      </c>
      <c r="K42" s="1233"/>
      <c r="L42" s="1236"/>
      <c r="M42" s="1236"/>
      <c r="Q42" s="794"/>
    </row>
    <row r="43" spans="1:18" s="790" customFormat="1" ht="18" customHeight="1" thickBot="1">
      <c r="A43" s="356" t="s">
        <v>24</v>
      </c>
      <c r="B43" s="357" t="s">
        <v>2226</v>
      </c>
      <c r="C43" s="358">
        <f ca="1">ROUND(C40/F43,0)</f>
        <v>28432</v>
      </c>
      <c r="D43" s="359" t="s">
        <v>2227</v>
      </c>
      <c r="E43" s="360" t="s">
        <v>2228</v>
      </c>
      <c r="F43" s="361">
        <f>IF(D1="仅计算典型户型",'数据-取费表'!E5,'数据-取费表'!B5)</f>
        <v>158.38</v>
      </c>
      <c r="G43" s="792"/>
      <c r="H43" s="1236"/>
      <c r="I43" s="1236"/>
      <c r="J43" s="1236"/>
      <c r="K43" s="1233"/>
      <c r="L43" s="1236"/>
      <c r="M43" s="1236"/>
      <c r="O43" s="1360" t="s">
        <v>2229</v>
      </c>
      <c r="P43" s="1361"/>
      <c r="Q43" s="1357"/>
      <c r="R43" s="1361"/>
    </row>
    <row r="44" spans="1:18" s="790" customFormat="1" ht="18" customHeight="1" thickBot="1">
      <c r="A44" s="775"/>
      <c r="B44" s="775"/>
      <c r="C44" s="789"/>
      <c r="D44" s="775"/>
      <c r="E44" s="775"/>
      <c r="F44" s="775"/>
      <c r="G44" s="792"/>
      <c r="K44" s="791"/>
      <c r="O44" s="1362" t="s">
        <v>2230</v>
      </c>
      <c r="P44" s="1363" t="s">
        <v>2231</v>
      </c>
      <c r="Q44" s="1364" t="s">
        <v>2232</v>
      </c>
      <c r="R44" s="1365" t="s">
        <v>2233</v>
      </c>
    </row>
    <row r="45" spans="1:18" s="790" customFormat="1" ht="18" customHeight="1" thickBot="1">
      <c r="A45" s="775"/>
      <c r="B45" s="775"/>
      <c r="C45" s="789"/>
      <c r="D45" s="775"/>
      <c r="E45" s="775"/>
      <c r="F45" s="775"/>
      <c r="G45" s="793"/>
      <c r="K45" s="791"/>
      <c r="O45" s="1366" t="s">
        <v>957</v>
      </c>
      <c r="P45" s="1367" t="s">
        <v>2234</v>
      </c>
      <c r="Q45" s="1368">
        <f ca="1">C40+J29</f>
        <v>4503121</v>
      </c>
      <c r="R45" s="1369" t="s">
        <v>2235</v>
      </c>
    </row>
    <row r="46" spans="1:18" s="790" customFormat="1" ht="18" customHeight="1" thickBot="1">
      <c r="A46" s="775"/>
      <c r="D46" s="775"/>
      <c r="E46" s="775"/>
      <c r="F46" s="775"/>
      <c r="K46" s="791"/>
      <c r="O46" s="1366" t="s">
        <v>958</v>
      </c>
      <c r="P46" s="1367" t="s">
        <v>2236</v>
      </c>
      <c r="Q46" s="1368">
        <f ca="1">J61</f>
        <v>7495</v>
      </c>
      <c r="R46" s="1369" t="s">
        <v>2237</v>
      </c>
    </row>
    <row r="47" spans="1:18" s="790" customFormat="1" ht="22.2" thickBot="1">
      <c r="A47" s="2344" t="s">
        <v>2238</v>
      </c>
      <c r="C47" s="1302">
        <f ca="1">IF(C2="元",C69-C40,ROUND((C69-C40)/10000,0))</f>
        <v>-565</v>
      </c>
      <c r="D47" s="2345" t="str">
        <f>C2</f>
        <v>万元</v>
      </c>
      <c r="E47" s="775"/>
      <c r="F47" s="775"/>
      <c r="I47" s="2346" t="s">
        <v>2239</v>
      </c>
      <c r="J47" s="1342"/>
      <c r="K47" s="1343"/>
      <c r="L47" s="1356">
        <f ca="1">IF(M48="住宅",0,IF(L49&gt;J52,L61,J61))</f>
        <v>7495</v>
      </c>
      <c r="O47" s="1370" t="s">
        <v>959</v>
      </c>
      <c r="P47" s="1367" t="s">
        <v>2240</v>
      </c>
      <c r="Q47" s="1368">
        <f ca="1">C29</f>
        <v>699215</v>
      </c>
      <c r="R47" s="1369" t="s">
        <v>2235</v>
      </c>
    </row>
    <row r="48" spans="1:18" s="790" customFormat="1" ht="16.2" thickBot="1">
      <c r="A48" s="312" t="s">
        <v>2241</v>
      </c>
      <c r="B48" s="313" t="s">
        <v>2242</v>
      </c>
      <c r="C48" s="313" t="s">
        <v>2243</v>
      </c>
      <c r="D48" s="313" t="s">
        <v>2244</v>
      </c>
      <c r="E48" s="1296" t="s">
        <v>2245</v>
      </c>
      <c r="F48" s="1297"/>
      <c r="I48" s="2347" t="s">
        <v>2246</v>
      </c>
      <c r="J48" s="2348" t="s">
        <v>2876</v>
      </c>
      <c r="K48" s="2349" t="s">
        <v>2247</v>
      </c>
      <c r="L48" s="1344">
        <f>'数据-取费表'!B11</f>
        <v>50</v>
      </c>
      <c r="M48" s="1357" t="str">
        <f>IF('数据-取费表'!B10="住宅","住宅","非住宅")</f>
        <v>非住宅</v>
      </c>
      <c r="O48" s="1370" t="s">
        <v>960</v>
      </c>
      <c r="P48" s="1367" t="s">
        <v>2248</v>
      </c>
      <c r="Q48" s="1371">
        <f>J59</f>
        <v>0.4</v>
      </c>
      <c r="R48" s="1369"/>
    </row>
    <row r="49" spans="1:18" s="790" customFormat="1" ht="16.2" thickBot="1">
      <c r="A49" s="1456" t="s">
        <v>1030</v>
      </c>
      <c r="B49" s="317" t="s">
        <v>2249</v>
      </c>
      <c r="C49" s="1457">
        <f ca="1">C50+C54+C56</f>
        <v>0</v>
      </c>
      <c r="D49" s="1458"/>
      <c r="E49" s="101"/>
      <c r="F49" s="16"/>
      <c r="I49" s="2350" t="s">
        <v>2250</v>
      </c>
      <c r="J49" s="2351" t="s">
        <v>2893</v>
      </c>
      <c r="K49" s="2352" t="s">
        <v>2251</v>
      </c>
      <c r="L49" s="1127">
        <f>'数据-取费表'!B13</f>
        <v>42</v>
      </c>
      <c r="O49" s="1370" t="s">
        <v>961</v>
      </c>
      <c r="P49" s="1367" t="s">
        <v>2252</v>
      </c>
      <c r="Q49" s="1371">
        <f>J53</f>
        <v>0.09</v>
      </c>
      <c r="R49" s="1369"/>
    </row>
    <row r="50" spans="1:18" s="790" customFormat="1" ht="16.2" thickBot="1">
      <c r="A50" s="345" t="s">
        <v>2108</v>
      </c>
      <c r="B50" s="2023" t="s">
        <v>2253</v>
      </c>
      <c r="C50" s="318">
        <f>ROUND(F50*F52*F51*(1-F53),0)</f>
        <v>0</v>
      </c>
      <c r="D50" s="93" t="s">
        <v>2804</v>
      </c>
      <c r="E50" s="2353" t="s">
        <v>2254</v>
      </c>
      <c r="F50" s="1298"/>
      <c r="I50" s="2350" t="s">
        <v>2255</v>
      </c>
      <c r="J50" s="1127">
        <f>'数据-取费表'!B26</f>
        <v>2012</v>
      </c>
      <c r="K50" s="2354" t="s">
        <v>2256</v>
      </c>
      <c r="L50" s="1345"/>
      <c r="O50" s="1370" t="s">
        <v>962</v>
      </c>
      <c r="P50" s="1367" t="s">
        <v>2257</v>
      </c>
      <c r="Q50" s="1368">
        <f>J54</f>
        <v>42</v>
      </c>
      <c r="R50" s="1369" t="s">
        <v>2258</v>
      </c>
    </row>
    <row r="51" spans="1:18" s="790" customFormat="1" ht="16.2" thickBot="1">
      <c r="A51" s="321"/>
      <c r="B51" s="322"/>
      <c r="C51" s="323"/>
      <c r="D51" s="324"/>
      <c r="E51" s="339" t="s">
        <v>2111</v>
      </c>
      <c r="F51" s="1295">
        <f>F7</f>
        <v>158.38</v>
      </c>
      <c r="I51" s="2350" t="s">
        <v>2259</v>
      </c>
      <c r="J51" s="1346">
        <f>SUMPRODUCT((I64:I66=J48)*(J63:L63=J49)*(J64:L66))</f>
        <v>60</v>
      </c>
      <c r="K51" s="2354" t="s">
        <v>2260</v>
      </c>
      <c r="L51" s="1345"/>
      <c r="O51" s="1366" t="s">
        <v>963</v>
      </c>
      <c r="P51" s="1367" t="str">
        <f>IF(C2="元","收益价值(元)","收益价值(万元)")</f>
        <v>收益价值(万元)</v>
      </c>
      <c r="Q51" s="1368">
        <f ca="1">ROUND(IF(C2="元",Q45+Q46,(Q45+Q46)/10000),0)</f>
        <v>451</v>
      </c>
      <c r="R51" s="1369" t="s">
        <v>964</v>
      </c>
    </row>
    <row r="52" spans="1:18" s="790" customFormat="1" ht="16.2" thickBot="1">
      <c r="A52" s="321"/>
      <c r="B52" s="322"/>
      <c r="C52" s="323"/>
      <c r="D52" s="324"/>
      <c r="E52" s="319" t="s">
        <v>2113</v>
      </c>
      <c r="F52" s="320">
        <f>F8</f>
        <v>365</v>
      </c>
      <c r="I52" s="2355" t="s">
        <v>2261</v>
      </c>
      <c r="J52" s="1347">
        <f>IF(J50="",J51,J50+J51-YEAR('数据-取费表'!B2))</f>
        <v>54</v>
      </c>
      <c r="K52" s="2356" t="s">
        <v>2262</v>
      </c>
      <c r="L52" s="1348">
        <f ca="1">ROUND(-PV('数据-取费表'!B15,L49,(C40-C13*J35)),0)</f>
        <v>77526845</v>
      </c>
      <c r="O52" s="1360" t="s">
        <v>2263</v>
      </c>
      <c r="P52" s="1361"/>
      <c r="Q52" s="1357"/>
      <c r="R52" s="1361"/>
    </row>
    <row r="53" spans="1:18" s="790" customFormat="1" ht="16.2" thickBot="1">
      <c r="A53" s="325"/>
      <c r="B53" s="326"/>
      <c r="C53" s="327"/>
      <c r="D53" s="328"/>
      <c r="E53" s="319" t="s">
        <v>2114</v>
      </c>
      <c r="F53" s="1355"/>
      <c r="I53" s="2357" t="s">
        <v>2264</v>
      </c>
      <c r="J53" s="1349">
        <v>0.09</v>
      </c>
      <c r="K53" s="2357" t="s">
        <v>2265</v>
      </c>
      <c r="L53" s="1349"/>
      <c r="O53" s="1362" t="s">
        <v>2230</v>
      </c>
      <c r="P53" s="1363" t="s">
        <v>2231</v>
      </c>
      <c r="Q53" s="1364" t="s">
        <v>2232</v>
      </c>
      <c r="R53" s="1365" t="s">
        <v>2233</v>
      </c>
    </row>
    <row r="54" spans="1:18" s="790" customFormat="1" ht="29.25" customHeight="1" thickBot="1">
      <c r="A54" s="1383" t="s">
        <v>2115</v>
      </c>
      <c r="B54" s="2338" t="s">
        <v>2116</v>
      </c>
      <c r="C54" s="1384">
        <f ca="1">ROUND(IF(F54="押一",C50/12*F11,IF(F54="押二",C50/12*2*F11,IF(F54="押三",C50/12*3*F11,C55*F11))),0)</f>
        <v>0</v>
      </c>
      <c r="D54" s="2339" t="s">
        <v>2812</v>
      </c>
      <c r="E54" s="330" t="s">
        <v>2117</v>
      </c>
      <c r="F54" s="2340"/>
      <c r="I54" s="2732" t="s">
        <v>2815</v>
      </c>
      <c r="J54" s="1350">
        <f>IF(M48="住宅",IF(E1="——",MAX(J52,L49),IF(E1="在建（套用方法）",MAX(J52,L49-'数据-取费表'!B25),MAX(J52,L49-'数据-取费表'!B21))),IF(E1="——",MIN(J52,L49),IF(E1="在建（套用方法）",MIN(J52,L49-'数据-取费表'!B25),IF(E1="土地（套用方法）",MIN(J52,L49-'数据-取费表'!B21)))))</f>
        <v>42</v>
      </c>
      <c r="K54" s="2973" t="s">
        <v>2802</v>
      </c>
      <c r="L54" s="2974"/>
      <c r="O54" s="1366" t="s">
        <v>957</v>
      </c>
      <c r="P54" s="1367" t="s">
        <v>2234</v>
      </c>
      <c r="Q54" s="1368">
        <f ca="1">C40+J29</f>
        <v>4503121</v>
      </c>
      <c r="R54" s="1369" t="s">
        <v>2235</v>
      </c>
    </row>
    <row r="55" spans="1:18" s="790" customFormat="1" ht="19.2" thickBot="1">
      <c r="A55" s="1383"/>
      <c r="B55" s="2358" t="s">
        <v>2121</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1366" t="s">
        <v>958</v>
      </c>
      <c r="P55" s="1367" t="s">
        <v>2266</v>
      </c>
      <c r="Q55" s="1368">
        <f>L61</f>
        <v>0</v>
      </c>
      <c r="R55" s="1369" t="s">
        <v>2267</v>
      </c>
    </row>
    <row r="56" spans="1:18" s="790" customFormat="1" ht="19.2" thickBot="1">
      <c r="A56" s="1423" t="s">
        <v>2122</v>
      </c>
      <c r="B56" s="2342" t="s">
        <v>2123</v>
      </c>
      <c r="C56" s="1424"/>
      <c r="D56" s="1440"/>
      <c r="E56" s="2361"/>
      <c r="F56" s="1500"/>
      <c r="I56" s="2362" t="s">
        <v>2268</v>
      </c>
      <c r="J56" s="1870">
        <f>ROUND(IF(J48="钢混",J58/J51,1-(1-2%)*(J51-J58)/J51),3)</f>
        <v>0.2</v>
      </c>
      <c r="K56" s="2363" t="s">
        <v>2269</v>
      </c>
      <c r="L56" s="1351"/>
      <c r="O56" s="1370" t="s">
        <v>959</v>
      </c>
      <c r="P56" s="1367" t="s">
        <v>2270</v>
      </c>
      <c r="Q56" s="1368">
        <f>IF(L56="比较法",L50,IF(L56="基准地价",L51,0))</f>
        <v>0</v>
      </c>
      <c r="R56" s="1369" t="s">
        <v>2235</v>
      </c>
    </row>
    <row r="57" spans="1:18" s="790" customFormat="1" ht="48" thickTop="1" thickBot="1">
      <c r="A57" s="1419">
        <v>2</v>
      </c>
      <c r="B57" s="1420" t="s">
        <v>2124</v>
      </c>
      <c r="C57" s="1499">
        <f ca="1">C13</f>
        <v>629294</v>
      </c>
      <c r="D57" s="1293"/>
      <c r="E57" s="1294"/>
      <c r="F57" s="1301"/>
      <c r="I57" s="2364" t="s">
        <v>2271</v>
      </c>
      <c r="J57" s="1354" t="s">
        <v>2828</v>
      </c>
      <c r="K57" s="2350" t="s">
        <v>2272</v>
      </c>
      <c r="L57" s="1127" t="str">
        <f>IF(L49&lt;J52,"——",L49-J52)</f>
        <v>——</v>
      </c>
      <c r="O57" s="1370" t="s">
        <v>960</v>
      </c>
      <c r="P57" s="1367" t="s">
        <v>2273</v>
      </c>
      <c r="Q57" s="1371">
        <f>L53</f>
        <v>0</v>
      </c>
      <c r="R57" s="1369"/>
    </row>
    <row r="58" spans="1:18" s="790" customFormat="1" ht="31.8" thickBot="1">
      <c r="A58" s="1300"/>
      <c r="B58" s="319" t="s">
        <v>2203</v>
      </c>
      <c r="C58" s="188">
        <f ca="1">C29</f>
        <v>699215</v>
      </c>
      <c r="D58" s="1293"/>
      <c r="E58" s="1294"/>
      <c r="F58" s="1301"/>
      <c r="I58" s="2365" t="s">
        <v>2274</v>
      </c>
      <c r="J58" s="1353">
        <f>IF(OR(M48="住宅",J52&lt;L49,J57="是"),"——",J52-L49)</f>
        <v>12</v>
      </c>
      <c r="K58" s="2350" t="s">
        <v>2275</v>
      </c>
      <c r="L58" s="1127" t="str">
        <f>IF(L49&lt;J52,"——",IF(L56="比较法",L50,IF(L56="基准地价",L51,L52)))</f>
        <v>——</v>
      </c>
      <c r="O58" s="1370" t="s">
        <v>961</v>
      </c>
      <c r="P58" s="1367" t="s">
        <v>2276</v>
      </c>
      <c r="Q58" s="1368" t="e">
        <f>L59</f>
        <v>#DIV/0!</v>
      </c>
      <c r="R58" s="1369" t="s">
        <v>2277</v>
      </c>
    </row>
    <row r="59" spans="1:18" s="790" customFormat="1" ht="31.8" thickBot="1">
      <c r="A59" s="332" t="s">
        <v>14</v>
      </c>
      <c r="B59" s="333" t="s">
        <v>2206</v>
      </c>
      <c r="C59" s="334">
        <f ca="1">ROUND(C60+C65+C66+C67,0)</f>
        <v>70481</v>
      </c>
      <c r="D59" s="12" t="s">
        <v>2207</v>
      </c>
      <c r="E59" s="1897"/>
      <c r="F59" s="16"/>
      <c r="I59" s="2365" t="s">
        <v>2278</v>
      </c>
      <c r="J59" s="1869">
        <f>IF(J56&lt;0.4,0.4,J56)</f>
        <v>0.4</v>
      </c>
      <c r="K59" s="2356" t="s">
        <v>2279</v>
      </c>
      <c r="L59" s="1127" t="e">
        <f>ROUND(POWER(1+L53,L48-L49)*(POWER(1+L53,L49)-1)/(POWER(1+L53,L48)-1),4)</f>
        <v>#DIV/0!</v>
      </c>
      <c r="O59" s="1370" t="s">
        <v>962</v>
      </c>
      <c r="P59" s="1367" t="str">
        <f>K60</f>
        <v>建筑物剩余耐用年限下的土地年期修正系数Kn</v>
      </c>
      <c r="Q59" s="1368" t="e">
        <f>L60</f>
        <v>#DIV/0!</v>
      </c>
      <c r="R59" s="1369" t="s">
        <v>2280</v>
      </c>
    </row>
    <row r="60" spans="1:18" s="790" customFormat="1" ht="31.8" thickBot="1">
      <c r="A60" s="337" t="s">
        <v>15</v>
      </c>
      <c r="B60" s="319" t="s">
        <v>2146</v>
      </c>
      <c r="C60" s="14">
        <f ca="1">ROUND(IF(项目基本情况!B7="自然人",C49*F60,C61+C62+C63),1)</f>
        <v>58734.1</v>
      </c>
      <c r="D60" s="1887" t="s">
        <v>2208</v>
      </c>
      <c r="E60" s="1892" t="s">
        <v>2209</v>
      </c>
      <c r="F60" s="343" t="str">
        <f>IF(项目基本情况!B7="企业","",IF('数据-取费表'!B10="住宅",5%,IF(F50*F51*F52/12/(1+'数据-取费表'!F30)&gt;20000,12%,7%)))</f>
        <v/>
      </c>
      <c r="I60" s="2365" t="s">
        <v>2281</v>
      </c>
      <c r="J60" s="1353">
        <f ca="1">IF(OR(M48="住宅",J52&lt;L49,J57="是"),"——",ROUND(C29*J59,0))</f>
        <v>279686</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收益价值(万元)</v>
      </c>
      <c r="Q60" s="1368">
        <f ca="1">ROUND(IF(C2="元",Q54+Q55,(Q54+Q55)/10000),0)</f>
        <v>450</v>
      </c>
      <c r="R60" s="1369" t="s">
        <v>964</v>
      </c>
    </row>
    <row r="61" spans="1:18" s="790" customFormat="1" ht="16.2" thickBot="1">
      <c r="A61" s="337" t="s">
        <v>16</v>
      </c>
      <c r="B61" s="319" t="s">
        <v>2210</v>
      </c>
      <c r="C61" s="14">
        <f ca="1">IF(项目基本情况!B7="自然人","——",ROUND(C49*F61/(1+'数据-取费表'!F30),0))</f>
        <v>0</v>
      </c>
      <c r="D61" s="1892" t="s">
        <v>2211</v>
      </c>
      <c r="E61" s="319" t="s">
        <v>2160</v>
      </c>
      <c r="F61" s="352">
        <f t="shared" ref="F61:F67" si="0">F32</f>
        <v>5.6000000000000001E-2</v>
      </c>
      <c r="I61" s="2366" t="s">
        <v>2282</v>
      </c>
      <c r="J61" s="1352">
        <f ca="1">IF(OR(M48="住宅",J52&lt;L49,J57="是"),"0",ROUND(J60/(1+J53)^J54,0))</f>
        <v>7495</v>
      </c>
      <c r="K61" s="2367" t="s">
        <v>2283</v>
      </c>
      <c r="L61" s="1352">
        <f>IF(OR(M48="住宅",L49&lt;J52),0,ROUND(L58*(L59/L60-1),0))</f>
        <v>0</v>
      </c>
      <c r="O61" s="1360" t="s">
        <v>2284</v>
      </c>
      <c r="P61" s="1361"/>
      <c r="Q61" s="1357"/>
      <c r="R61" s="1361"/>
    </row>
    <row r="62" spans="1:18" s="790" customFormat="1" ht="16.2" thickBot="1">
      <c r="A62" s="337" t="s">
        <v>17</v>
      </c>
      <c r="B62" s="319" t="s">
        <v>2285</v>
      </c>
      <c r="C62" s="14">
        <f ca="1">IF(项目基本情况!B7="自然人","——",IF(D62="按租金收入计税",ROUND(C49*F62,1),IF(D62="按房产原值计税",ROUND(C58*F62*0.7,1),'数据-取费表'!B43)))</f>
        <v>58734.1</v>
      </c>
      <c r="D62" s="2012" t="s">
        <v>2157</v>
      </c>
      <c r="E62" s="319" t="s">
        <v>2160</v>
      </c>
      <c r="F62" s="342">
        <f t="shared" si="0"/>
        <v>0.12</v>
      </c>
      <c r="O62" s="1362" t="s">
        <v>2230</v>
      </c>
      <c r="P62" s="1363" t="s">
        <v>2231</v>
      </c>
      <c r="Q62" s="1364" t="s">
        <v>2232</v>
      </c>
      <c r="R62" s="1365" t="s">
        <v>2233</v>
      </c>
    </row>
    <row r="63" spans="1:18" s="790" customFormat="1" ht="16.2" thickBot="1">
      <c r="A63" s="345" t="s">
        <v>18</v>
      </c>
      <c r="B63" s="80" t="s">
        <v>2286</v>
      </c>
      <c r="C63" s="15">
        <f>IF(项目基本情况!B7="自然人","——",ROUND(F63*F64,0))</f>
        <v>0</v>
      </c>
      <c r="D63" s="346" t="s">
        <v>2287</v>
      </c>
      <c r="E63" s="319" t="s">
        <v>2288</v>
      </c>
      <c r="F63" s="347">
        <f t="shared" si="0"/>
        <v>0</v>
      </c>
      <c r="I63" s="2368" t="s">
        <v>2289</v>
      </c>
      <c r="J63" s="1873" t="s">
        <v>2290</v>
      </c>
      <c r="K63" s="1873" t="s">
        <v>2291</v>
      </c>
      <c r="L63" s="1873" t="s">
        <v>2292</v>
      </c>
      <c r="M63" s="1872" t="s">
        <v>2293</v>
      </c>
      <c r="O63" s="1366" t="s">
        <v>957</v>
      </c>
      <c r="P63" s="1367" t="s">
        <v>2234</v>
      </c>
      <c r="Q63" s="1368">
        <f ca="1">C40+J29</f>
        <v>4503121</v>
      </c>
      <c r="R63" s="1369" t="s">
        <v>2235</v>
      </c>
    </row>
    <row r="64" spans="1:18" s="790" customFormat="1" ht="19.2" thickBot="1">
      <c r="A64" s="348"/>
      <c r="B64" s="328"/>
      <c r="C64" s="19"/>
      <c r="D64" s="349"/>
      <c r="E64" s="319" t="s">
        <v>2294</v>
      </c>
      <c r="F64" s="320">
        <f t="shared" si="0"/>
        <v>0</v>
      </c>
      <c r="I64" s="2368" t="s">
        <v>2295</v>
      </c>
      <c r="J64" s="1873">
        <v>70</v>
      </c>
      <c r="K64" s="1873">
        <v>50</v>
      </c>
      <c r="L64" s="1873">
        <v>80</v>
      </c>
      <c r="M64" s="1871">
        <v>0.02</v>
      </c>
      <c r="O64" s="1366" t="s">
        <v>958</v>
      </c>
      <c r="P64" s="1367" t="s">
        <v>2266</v>
      </c>
      <c r="Q64" s="1368">
        <f>L61</f>
        <v>0</v>
      </c>
      <c r="R64" s="1369" t="s">
        <v>2267</v>
      </c>
    </row>
    <row r="65" spans="1:18" s="790" customFormat="1" ht="21.6" thickBot="1">
      <c r="A65" s="337" t="s">
        <v>19</v>
      </c>
      <c r="B65" s="319" t="s">
        <v>2215</v>
      </c>
      <c r="C65" s="14">
        <f ca="1">ROUND(C58*F65,0)</f>
        <v>10488</v>
      </c>
      <c r="D65" s="1892" t="s">
        <v>2216</v>
      </c>
      <c r="E65" s="319" t="s">
        <v>2160</v>
      </c>
      <c r="F65" s="350">
        <f t="shared" si="0"/>
        <v>1.4999999999999999E-2</v>
      </c>
      <c r="I65" s="2368" t="s">
        <v>2296</v>
      </c>
      <c r="J65" s="1873">
        <v>50</v>
      </c>
      <c r="K65" s="1873">
        <v>35</v>
      </c>
      <c r="L65" s="1873">
        <v>60</v>
      </c>
      <c r="M65" s="1872">
        <v>0</v>
      </c>
      <c r="O65" s="1370" t="s">
        <v>959</v>
      </c>
      <c r="P65" s="1367" t="s">
        <v>2270</v>
      </c>
      <c r="Q65" s="1372">
        <f ca="1">L52</f>
        <v>77526845</v>
      </c>
      <c r="R65" s="1373" t="s">
        <v>2297</v>
      </c>
    </row>
    <row r="66" spans="1:18" s="790" customFormat="1" ht="19.2" thickBot="1">
      <c r="A66" s="337" t="s">
        <v>20</v>
      </c>
      <c r="B66" s="319" t="s">
        <v>2175</v>
      </c>
      <c r="C66" s="14">
        <f ca="1">ROUND(C57*F66,0)</f>
        <v>1259</v>
      </c>
      <c r="D66" s="1892" t="s">
        <v>2176</v>
      </c>
      <c r="E66" s="319" t="s">
        <v>2177</v>
      </c>
      <c r="F66" s="351">
        <f t="shared" si="0"/>
        <v>2E-3</v>
      </c>
      <c r="I66" s="2368" t="s">
        <v>2298</v>
      </c>
      <c r="J66" s="1873">
        <v>40</v>
      </c>
      <c r="K66" s="1873">
        <v>30</v>
      </c>
      <c r="L66" s="1873">
        <v>50</v>
      </c>
      <c r="M66" s="1871">
        <v>0.02</v>
      </c>
      <c r="O66" s="1370" t="s">
        <v>960</v>
      </c>
      <c r="P66" s="1374" t="s">
        <v>2299</v>
      </c>
      <c r="Q66" s="1368">
        <f ca="1">ROUND(Q67-Q68*Q69,0)</f>
        <v>123861</v>
      </c>
      <c r="R66" s="1369"/>
    </row>
    <row r="67" spans="1:18" s="790" customFormat="1" ht="16.2" thickBot="1">
      <c r="A67" s="337" t="s">
        <v>21</v>
      </c>
      <c r="B67" s="319" t="s">
        <v>2158</v>
      </c>
      <c r="C67" s="14">
        <f ca="1">ROUND(C49*F67,0)</f>
        <v>0</v>
      </c>
      <c r="D67" s="1892" t="s">
        <v>2181</v>
      </c>
      <c r="E67" s="319" t="s">
        <v>2177</v>
      </c>
      <c r="F67" s="329">
        <f t="shared" si="0"/>
        <v>0.02</v>
      </c>
      <c r="O67" s="1370" t="s">
        <v>965</v>
      </c>
      <c r="P67" s="1374" t="s">
        <v>2300</v>
      </c>
      <c r="Q67" s="1368">
        <f ca="1">C39</f>
        <v>177351</v>
      </c>
      <c r="R67" s="1369" t="s">
        <v>2235</v>
      </c>
    </row>
    <row r="68" spans="1:18" ht="24.6" thickBot="1">
      <c r="A68" s="332" t="s">
        <v>22</v>
      </c>
      <c r="B68" s="89" t="s">
        <v>2185</v>
      </c>
      <c r="C68" s="334">
        <f ca="1">C49-C59</f>
        <v>-70481</v>
      </c>
      <c r="D68" s="1887" t="s">
        <v>2186</v>
      </c>
      <c r="E68" s="1891"/>
      <c r="F68" s="353"/>
      <c r="H68" s="790"/>
      <c r="I68" s="790"/>
      <c r="J68" s="790"/>
      <c r="K68" s="790"/>
      <c r="L68" s="790"/>
      <c r="M68" s="790"/>
      <c r="O68" s="1370" t="s">
        <v>966</v>
      </c>
      <c r="P68" s="1374" t="s">
        <v>2301</v>
      </c>
      <c r="Q68" s="1368">
        <f ca="1">C13</f>
        <v>629294</v>
      </c>
      <c r="R68" s="1369" t="s">
        <v>2235</v>
      </c>
    </row>
    <row r="69" spans="1:18" ht="16.2" thickBot="1">
      <c r="A69" s="316" t="s">
        <v>23</v>
      </c>
      <c r="B69" s="317" t="s">
        <v>2223</v>
      </c>
      <c r="C69" s="318">
        <f ca="1">ROUND(C68*(1-((1+F71)/(1+F69))^F70)/(F69-F71),0)</f>
        <v>-1146232</v>
      </c>
      <c r="D69" s="346" t="s">
        <v>2191</v>
      </c>
      <c r="E69" s="319" t="s">
        <v>2192</v>
      </c>
      <c r="F69" s="329">
        <f>F40</f>
        <v>5.5E-2</v>
      </c>
      <c r="H69" s="790"/>
      <c r="I69" s="790"/>
      <c r="J69" s="790"/>
      <c r="K69" s="790"/>
      <c r="L69" s="790"/>
      <c r="M69" s="790"/>
      <c r="O69" s="1370" t="s">
        <v>967</v>
      </c>
      <c r="P69" s="1374" t="s">
        <v>2302</v>
      </c>
      <c r="Q69" s="1371">
        <f>J35</f>
        <v>8.5000000000000006E-2</v>
      </c>
      <c r="R69" s="1369"/>
    </row>
    <row r="70" spans="1:18" ht="16.2" thickBot="1">
      <c r="A70" s="321"/>
      <c r="B70" s="322"/>
      <c r="C70" s="323"/>
      <c r="D70" s="354" t="s">
        <v>2225</v>
      </c>
      <c r="E70" s="319" t="s">
        <v>2197</v>
      </c>
      <c r="F70" s="355">
        <f>F41</f>
        <v>42</v>
      </c>
      <c r="H70" s="790"/>
      <c r="I70" s="790"/>
      <c r="J70" s="790"/>
      <c r="K70" s="790"/>
      <c r="L70" s="790"/>
      <c r="M70" s="790"/>
      <c r="O70" s="1370" t="s">
        <v>961</v>
      </c>
      <c r="P70" s="1367" t="s">
        <v>2273</v>
      </c>
      <c r="Q70" s="1371">
        <f>L53</f>
        <v>0</v>
      </c>
      <c r="R70" s="1369"/>
    </row>
    <row r="71" spans="1:18" ht="19.2" thickBot="1">
      <c r="A71" s="325"/>
      <c r="B71" s="326"/>
      <c r="C71" s="327"/>
      <c r="D71" s="349"/>
      <c r="E71" s="319" t="s">
        <v>2201</v>
      </c>
      <c r="F71" s="1355"/>
      <c r="H71" s="790"/>
      <c r="M71" s="790"/>
      <c r="O71" s="1370" t="s">
        <v>962</v>
      </c>
      <c r="P71" s="1367" t="s">
        <v>2276</v>
      </c>
      <c r="Q71" s="1368" t="e">
        <f>L59</f>
        <v>#DIV/0!</v>
      </c>
      <c r="R71" s="1369" t="s">
        <v>2277</v>
      </c>
    </row>
    <row r="72" spans="1:18" ht="16.2" thickBot="1">
      <c r="A72" s="356" t="s">
        <v>24</v>
      </c>
      <c r="B72" s="357" t="s">
        <v>2226</v>
      </c>
      <c r="C72" s="358">
        <f ca="1">ROUND(C69/F72,0)</f>
        <v>-7237</v>
      </c>
      <c r="D72" s="359" t="s">
        <v>2227</v>
      </c>
      <c r="E72" s="360" t="s">
        <v>2228</v>
      </c>
      <c r="F72" s="361">
        <f>F43</f>
        <v>158.38</v>
      </c>
      <c r="O72" s="1370" t="s">
        <v>968</v>
      </c>
      <c r="P72" s="1367" t="str">
        <f>K60</f>
        <v>建筑物剩余耐用年限下的土地年期修正系数Kn</v>
      </c>
      <c r="Q72" s="1368" t="e">
        <f>L60</f>
        <v>#DIV/0!</v>
      </c>
      <c r="R72" s="1369" t="s">
        <v>2280</v>
      </c>
    </row>
    <row r="73" spans="1:18" ht="15.6" thickBot="1">
      <c r="A73" s="790"/>
      <c r="B73" s="794"/>
      <c r="C73" s="794"/>
      <c r="D73" s="790"/>
      <c r="E73" s="790"/>
      <c r="F73" s="790"/>
      <c r="O73" s="1366" t="s">
        <v>963</v>
      </c>
      <c r="P73" s="1367" t="str">
        <f>IF(C2="元","收益价值(元)","收益价值(万元)")</f>
        <v>收益价值(万元)</v>
      </c>
      <c r="Q73" s="1368">
        <f ca="1">ROUND(IF(C2="元",Q63+Q64,(Q63+Q64)/10000),0)</f>
        <v>450</v>
      </c>
      <c r="R73" s="1369"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948</v>
      </c>
      <c r="B8" s="1185" t="s">
        <v>947</v>
      </c>
      <c r="C8" s="1042"/>
    </row>
    <row r="9" spans="1:7">
      <c r="A9" s="1183"/>
      <c r="B9" s="1906" t="str">
        <f>项目基本情况!B1</f>
        <v>北京市房地产抵押价值预评估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t="str">
        <f>项目基本情况!B4</f>
        <v>北京众信龙达科技发展有限公司</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欧红伟（注册号:1120000080）、崔锴（注册号:1120100036)</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4.4"/>
  <cols>
    <col min="1" max="1" width="10.44140625" customWidth="1"/>
    <col min="2" max="2" width="12.88671875" customWidth="1"/>
    <col min="3" max="3" width="8.77734375" customWidth="1"/>
  </cols>
  <sheetData>
    <row r="1" spans="1:9" ht="15.6">
      <c r="A1" s="2975" t="s">
        <v>1024</v>
      </c>
      <c r="B1" s="2976"/>
      <c r="C1" s="2977"/>
      <c r="D1" s="2978">
        <f>SUM(I10,I15,I20,I21,I23)</f>
        <v>0</v>
      </c>
      <c r="E1" s="2978"/>
      <c r="F1" s="2978"/>
      <c r="G1" s="2978"/>
      <c r="H1" s="2978"/>
      <c r="I1" s="2979"/>
    </row>
    <row r="2" spans="1:9">
      <c r="A2" s="2980" t="s">
        <v>1025</v>
      </c>
      <c r="B2" s="2981" t="s">
        <v>974</v>
      </c>
      <c r="C2" s="2981"/>
      <c r="D2" s="1388" t="s">
        <v>975</v>
      </c>
      <c r="E2" s="1388" t="s">
        <v>976</v>
      </c>
      <c r="F2" s="1388" t="s">
        <v>977</v>
      </c>
      <c r="G2" s="1388" t="s">
        <v>978</v>
      </c>
      <c r="H2" s="1388" t="s">
        <v>979</v>
      </c>
      <c r="I2" s="1389" t="s">
        <v>980</v>
      </c>
    </row>
    <row r="3" spans="1:9">
      <c r="A3" s="2980"/>
      <c r="B3" s="2981" t="s">
        <v>981</v>
      </c>
      <c r="C3" s="2981"/>
      <c r="D3" s="1390"/>
      <c r="E3" s="1388"/>
      <c r="F3" s="1391"/>
      <c r="G3" s="1391"/>
      <c r="H3" s="1392"/>
      <c r="I3" s="1393">
        <f>ROUND(D3*E3*F3*G3*H3/10000,0)</f>
        <v>0</v>
      </c>
    </row>
    <row r="4" spans="1:9">
      <c r="A4" s="2980"/>
      <c r="B4" s="2981" t="s">
        <v>982</v>
      </c>
      <c r="C4" s="2981"/>
      <c r="D4" s="1390"/>
      <c r="E4" s="1388"/>
      <c r="F4" s="1391"/>
      <c r="G4" s="1391"/>
      <c r="H4" s="1392"/>
      <c r="I4" s="1393">
        <f t="shared" ref="I4:I9" si="0">ROUND(D4*E4*F4*G4*H4/10000,0)</f>
        <v>0</v>
      </c>
    </row>
    <row r="5" spans="1:9">
      <c r="A5" s="2980"/>
      <c r="B5" s="2981" t="s">
        <v>983</v>
      </c>
      <c r="C5" s="2981"/>
      <c r="D5" s="1390"/>
      <c r="E5" s="1388"/>
      <c r="F5" s="1391"/>
      <c r="G5" s="1391"/>
      <c r="H5" s="1392"/>
      <c r="I5" s="1393">
        <f t="shared" si="0"/>
        <v>0</v>
      </c>
    </row>
    <row r="6" spans="1:9">
      <c r="A6" s="2980"/>
      <c r="B6" s="2981" t="s">
        <v>984</v>
      </c>
      <c r="C6" s="2981"/>
      <c r="D6" s="1390"/>
      <c r="E6" s="1388"/>
      <c r="F6" s="1391"/>
      <c r="G6" s="1391"/>
      <c r="H6" s="1392"/>
      <c r="I6" s="1393">
        <f t="shared" si="0"/>
        <v>0</v>
      </c>
    </row>
    <row r="7" spans="1:9">
      <c r="A7" s="2980"/>
      <c r="B7" s="2981" t="s">
        <v>985</v>
      </c>
      <c r="C7" s="2981"/>
      <c r="D7" s="1390"/>
      <c r="E7" s="1388"/>
      <c r="F7" s="1391"/>
      <c r="G7" s="1391"/>
      <c r="H7" s="1392"/>
      <c r="I7" s="1393">
        <f t="shared" si="0"/>
        <v>0</v>
      </c>
    </row>
    <row r="8" spans="1:9">
      <c r="A8" s="2980"/>
      <c r="B8" s="2981" t="s">
        <v>986</v>
      </c>
      <c r="C8" s="2981"/>
      <c r="D8" s="1390"/>
      <c r="E8" s="1388"/>
      <c r="F8" s="1391"/>
      <c r="G8" s="1391"/>
      <c r="H8" s="1392"/>
      <c r="I8" s="1393">
        <f t="shared" si="0"/>
        <v>0</v>
      </c>
    </row>
    <row r="9" spans="1:9">
      <c r="A9" s="2980"/>
      <c r="B9" s="2981" t="s">
        <v>987</v>
      </c>
      <c r="C9" s="2981"/>
      <c r="D9" s="1390"/>
      <c r="E9" s="1388"/>
      <c r="F9" s="1391"/>
      <c r="G9" s="1391"/>
      <c r="H9" s="1392"/>
      <c r="I9" s="1393">
        <f t="shared" si="0"/>
        <v>0</v>
      </c>
    </row>
    <row r="10" spans="1:9">
      <c r="A10" s="2980"/>
      <c r="B10" s="2982" t="s">
        <v>988</v>
      </c>
      <c r="C10" s="2982"/>
      <c r="D10" s="1394">
        <v>527</v>
      </c>
      <c r="E10" s="1394" t="e">
        <f>ROUND(D1*10000/D10/H9,0)</f>
        <v>#DIV/0!</v>
      </c>
      <c r="F10" s="1395"/>
      <c r="G10" s="1395"/>
      <c r="H10" s="1396"/>
      <c r="I10" s="1397">
        <f>SUM(I3:I9)</f>
        <v>0</v>
      </c>
    </row>
    <row r="11" spans="1:9" ht="15.6">
      <c r="A11" s="2980" t="s">
        <v>1026</v>
      </c>
      <c r="B11" s="2981" t="s">
        <v>989</v>
      </c>
      <c r="C11" s="2981"/>
      <c r="D11" s="1390" t="s">
        <v>990</v>
      </c>
      <c r="E11" s="1390" t="s">
        <v>991</v>
      </c>
      <c r="F11" s="1391" t="s">
        <v>992</v>
      </c>
      <c r="G11" s="1391" t="s">
        <v>979</v>
      </c>
      <c r="H11" s="1398" t="s">
        <v>993</v>
      </c>
      <c r="I11" s="1389" t="s">
        <v>980</v>
      </c>
    </row>
    <row r="12" spans="1:9">
      <c r="A12" s="2980"/>
      <c r="B12" s="2981" t="s">
        <v>994</v>
      </c>
      <c r="C12" s="2981"/>
      <c r="D12" s="1390"/>
      <c r="E12" s="1390"/>
      <c r="F12" s="1391"/>
      <c r="G12" s="1392"/>
      <c r="H12" s="1399"/>
      <c r="I12" s="1389">
        <f>ROUND(D12*E12*F12*G12/10000,0)</f>
        <v>0</v>
      </c>
    </row>
    <row r="13" spans="1:9">
      <c r="A13" s="2980"/>
      <c r="B13" s="2981" t="s">
        <v>995</v>
      </c>
      <c r="C13" s="2981"/>
      <c r="D13" s="1390"/>
      <c r="E13" s="1390"/>
      <c r="F13" s="1391"/>
      <c r="G13" s="1392"/>
      <c r="H13" s="1399"/>
      <c r="I13" s="1389">
        <f>ROUND(D13*E13*F13*G13/10000,0)</f>
        <v>0</v>
      </c>
    </row>
    <row r="14" spans="1:9">
      <c r="A14" s="2980"/>
      <c r="B14" s="2981" t="s">
        <v>996</v>
      </c>
      <c r="C14" s="2981"/>
      <c r="D14" s="1390"/>
      <c r="E14" s="1390"/>
      <c r="F14" s="1391"/>
      <c r="G14" s="1392"/>
      <c r="H14" s="1399"/>
      <c r="I14" s="1389">
        <f>ROUND(D14*E14*F14*G14/10000,0)</f>
        <v>0</v>
      </c>
    </row>
    <row r="15" spans="1:9">
      <c r="A15" s="2980"/>
      <c r="B15" s="2982" t="s">
        <v>988</v>
      </c>
      <c r="C15" s="2982"/>
      <c r="D15" s="1394"/>
      <c r="E15" s="1394">
        <f>SUM(E12:E14)</f>
        <v>0</v>
      </c>
      <c r="F15" s="1395"/>
      <c r="G15" s="1392"/>
      <c r="H15" s="1399"/>
      <c r="I15" s="1400">
        <f>SUM(I12:I14)</f>
        <v>0</v>
      </c>
    </row>
    <row r="16" spans="1:9" ht="24">
      <c r="A16" s="2980" t="s">
        <v>1027</v>
      </c>
      <c r="B16" s="2981" t="s">
        <v>997</v>
      </c>
      <c r="C16" s="2981"/>
      <c r="D16" s="1390" t="s">
        <v>975</v>
      </c>
      <c r="E16" s="1401" t="s">
        <v>998</v>
      </c>
      <c r="F16" s="1391" t="s">
        <v>999</v>
      </c>
      <c r="G16" s="1392" t="s">
        <v>979</v>
      </c>
      <c r="H16" s="1398" t="s">
        <v>993</v>
      </c>
      <c r="I16" s="1389" t="s">
        <v>980</v>
      </c>
    </row>
    <row r="17" spans="1:9" ht="15.6">
      <c r="A17" s="2980"/>
      <c r="B17" s="2981" t="s">
        <v>1000</v>
      </c>
      <c r="C17" s="2981"/>
      <c r="D17" s="1390"/>
      <c r="E17" s="1390"/>
      <c r="F17" s="1391"/>
      <c r="G17" s="1392"/>
      <c r="H17" s="1402"/>
      <c r="I17" s="1403">
        <f>ROUND(D17*E17*F17*G17/10000,0)</f>
        <v>0</v>
      </c>
    </row>
    <row r="18" spans="1:9" ht="15.6">
      <c r="A18" s="2980"/>
      <c r="B18" s="2981" t="s">
        <v>1001</v>
      </c>
      <c r="C18" s="2981"/>
      <c r="D18" s="1390"/>
      <c r="E18" s="1390"/>
      <c r="F18" s="1391"/>
      <c r="G18" s="1392"/>
      <c r="H18" s="1402"/>
      <c r="I18" s="1403">
        <f>ROUND(D18*E18*F18*G18/10000,0)</f>
        <v>0</v>
      </c>
    </row>
    <row r="19" spans="1:9" ht="15.6">
      <c r="A19" s="2980"/>
      <c r="B19" s="2981" t="s">
        <v>1002</v>
      </c>
      <c r="C19" s="2981"/>
      <c r="D19" s="1390"/>
      <c r="E19" s="1390"/>
      <c r="F19" s="1391"/>
      <c r="G19" s="1392"/>
      <c r="H19" s="1402"/>
      <c r="I19" s="1403">
        <f>ROUND(D19*E19*F19*G19/10000,0)</f>
        <v>0</v>
      </c>
    </row>
    <row r="20" spans="1:9">
      <c r="A20" s="2980"/>
      <c r="B20" s="2982" t="s">
        <v>988</v>
      </c>
      <c r="C20" s="2982"/>
      <c r="D20" s="1394">
        <f>SUM(D17:D19)</f>
        <v>0</v>
      </c>
      <c r="E20" s="1394"/>
      <c r="F20" s="1395"/>
      <c r="G20" s="1392"/>
      <c r="H20" s="1399"/>
      <c r="I20" s="1400">
        <f>SUM(I17:I19)</f>
        <v>0</v>
      </c>
    </row>
    <row r="21" spans="1:9">
      <c r="A21" s="2980" t="s">
        <v>1028</v>
      </c>
      <c r="B21" s="2984"/>
      <c r="C21" s="2984"/>
      <c r="D21" s="2984"/>
      <c r="E21" s="2984"/>
      <c r="F21" s="2984"/>
      <c r="G21" s="2984"/>
      <c r="H21" s="1404">
        <v>0.1</v>
      </c>
      <c r="I21" s="1397">
        <f>ROUND(I10*H21,0)</f>
        <v>0</v>
      </c>
    </row>
    <row r="22" spans="1:9" ht="15.6">
      <c r="A22" s="2985" t="s">
        <v>1029</v>
      </c>
      <c r="B22" s="2986"/>
      <c r="C22" s="2987"/>
      <c r="D22" s="1405" t="s">
        <v>1003</v>
      </c>
      <c r="E22" s="1405" t="s">
        <v>1004</v>
      </c>
      <c r="F22" s="1406" t="s">
        <v>979</v>
      </c>
      <c r="G22" s="1406" t="s">
        <v>1005</v>
      </c>
      <c r="H22" s="1398" t="s">
        <v>993</v>
      </c>
      <c r="I22" s="1389" t="s">
        <v>980</v>
      </c>
    </row>
    <row r="23" spans="1:9" ht="15" thickBot="1">
      <c r="A23" s="2988"/>
      <c r="B23" s="2989"/>
      <c r="C23" s="2990"/>
      <c r="D23" s="1407"/>
      <c r="E23" s="1407"/>
      <c r="F23" s="1407"/>
      <c r="G23" s="1408"/>
      <c r="H23" s="1409"/>
      <c r="I23" s="1410">
        <f>ROUND(E23*D23*F23*(1-G23)/10000,0)</f>
        <v>0</v>
      </c>
    </row>
    <row r="26" spans="1:9">
      <c r="A26" s="1411" t="s">
        <v>1006</v>
      </c>
      <c r="B26" s="1411"/>
      <c r="C26" s="1411"/>
      <c r="D26" s="1411"/>
      <c r="E26" s="2991">
        <f>C27-C30-C31-C32</f>
        <v>0</v>
      </c>
      <c r="F26" s="2991"/>
      <c r="G26" s="2991"/>
      <c r="H26" s="1828" t="s">
        <v>1219</v>
      </c>
    </row>
    <row r="27" spans="1:9">
      <c r="A27" s="1412">
        <v>1</v>
      </c>
      <c r="B27" s="1413" t="s">
        <v>1007</v>
      </c>
      <c r="C27" s="1413">
        <f>C28+C29</f>
        <v>0</v>
      </c>
      <c r="D27" s="1413"/>
      <c r="E27" s="2992"/>
      <c r="F27" s="2992"/>
      <c r="G27" s="2992"/>
    </row>
    <row r="28" spans="1:9">
      <c r="A28" s="1414" t="s">
        <v>1008</v>
      </c>
      <c r="B28" s="1413" t="s">
        <v>1009</v>
      </c>
      <c r="C28" s="1413"/>
      <c r="D28" s="1413"/>
      <c r="E28" s="2992"/>
      <c r="F28" s="2992"/>
      <c r="G28" s="2992"/>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83"/>
      <c r="F32" s="2983"/>
      <c r="G32" s="2983"/>
    </row>
    <row r="33" spans="1:7" hidden="1">
      <c r="A33" s="2993" t="s">
        <v>1018</v>
      </c>
      <c r="B33" s="2994"/>
      <c r="C33" s="2994"/>
      <c r="D33" s="2995"/>
      <c r="E33" s="2991"/>
      <c r="F33" s="2991"/>
      <c r="G33" s="2991"/>
    </row>
    <row r="34" spans="1:7" hidden="1">
      <c r="A34" s="1416">
        <v>1</v>
      </c>
      <c r="B34" s="1413" t="s">
        <v>1019</v>
      </c>
      <c r="C34" s="1413"/>
      <c r="D34" s="1413"/>
      <c r="E34" s="2992"/>
      <c r="F34" s="2992"/>
      <c r="G34" s="2992"/>
    </row>
    <row r="35" spans="1:7" hidden="1">
      <c r="A35" s="1416">
        <v>2</v>
      </c>
      <c r="B35" s="1413" t="s">
        <v>1020</v>
      </c>
      <c r="C35" s="1413"/>
      <c r="D35" s="1413"/>
      <c r="E35" s="2992"/>
      <c r="F35" s="2992"/>
      <c r="G35" s="2992"/>
    </row>
    <row r="36" spans="1:7" hidden="1">
      <c r="A36" s="1416">
        <v>3</v>
      </c>
      <c r="B36" s="1413" t="s">
        <v>1021</v>
      </c>
      <c r="C36" s="1413"/>
      <c r="D36" s="1413"/>
      <c r="E36" s="2992"/>
      <c r="F36" s="2992"/>
      <c r="G36" s="2992"/>
    </row>
    <row r="37" spans="1:7" hidden="1">
      <c r="A37" s="1416">
        <v>4</v>
      </c>
      <c r="B37" s="1413" t="s">
        <v>1022</v>
      </c>
      <c r="C37" s="1413"/>
      <c r="D37" s="1413"/>
      <c r="E37" s="2992"/>
      <c r="F37" s="2992"/>
      <c r="G37" s="2992"/>
    </row>
    <row r="38" spans="1:7" hidden="1">
      <c r="A38" s="2993" t="s">
        <v>1023</v>
      </c>
      <c r="B38" s="2994"/>
      <c r="C38" s="2994"/>
      <c r="D38" s="2995"/>
      <c r="E38" s="2991"/>
      <c r="F38" s="2991"/>
      <c r="G38" s="299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topLeftCell="H1" zoomScale="95" zoomScaleNormal="90" zoomScaleSheetLayoutView="95" workbookViewId="0">
      <pane ySplit="27" topLeftCell="A28" activePane="bottomLeft" state="frozen"/>
      <selection activeCell="A11" sqref="A11:D11"/>
      <selection pane="bottomLeft" activeCell="Q19" sqref="Q19"/>
    </sheetView>
  </sheetViews>
  <sheetFormatPr defaultColWidth="9" defaultRowHeight="13.2"/>
  <cols>
    <col min="1" max="1" width="12.33203125" style="55"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4"/>
    <col min="23" max="23" width="9" style="797"/>
    <col min="24" max="25" width="9" style="1314"/>
    <col min="26" max="44" width="9" style="797"/>
    <col min="45" max="16384" width="9" style="55"/>
  </cols>
  <sheetData>
    <row r="1" spans="1:44" ht="21">
      <c r="A1" s="373" t="s">
        <v>2303</v>
      </c>
      <c r="B1" s="1143"/>
      <c r="C1" s="84"/>
      <c r="D1" s="84"/>
      <c r="E1" s="84"/>
      <c r="F1" s="84"/>
      <c r="G1" s="84"/>
      <c r="H1" s="84"/>
      <c r="I1" s="84"/>
      <c r="J1" s="84"/>
      <c r="K1" s="84"/>
      <c r="L1" s="84"/>
      <c r="M1" s="84"/>
      <c r="N1" s="84"/>
      <c r="O1" s="84"/>
      <c r="P1" s="84"/>
      <c r="Q1" s="84"/>
      <c r="R1" s="768"/>
      <c r="S1" s="54"/>
      <c r="T1" s="54"/>
      <c r="U1" s="1311"/>
      <c r="V1" s="1311"/>
      <c r="X1" s="1311"/>
      <c r="Y1" s="1311"/>
    </row>
    <row r="2" spans="1:44" ht="15.6">
      <c r="A2" s="165" t="s">
        <v>2304</v>
      </c>
      <c r="B2" s="334">
        <f ca="1">B23</f>
        <v>1440</v>
      </c>
      <c r="C2" s="1182" t="str">
        <f>C23</f>
        <v>万元</v>
      </c>
      <c r="D2" s="84"/>
      <c r="E2" s="84"/>
      <c r="F2" s="84"/>
      <c r="G2" s="84"/>
      <c r="H2" s="84"/>
      <c r="I2" s="84"/>
      <c r="J2" s="84"/>
      <c r="K2" s="84"/>
      <c r="L2" s="84"/>
      <c r="M2" s="84"/>
      <c r="N2" s="84"/>
      <c r="O2" s="84"/>
      <c r="P2" s="84"/>
      <c r="Q2" s="84"/>
      <c r="R2" s="768"/>
      <c r="S2" s="54"/>
      <c r="T2" s="54"/>
      <c r="U2" s="1311"/>
      <c r="V2" s="1311"/>
      <c r="X2" s="1311"/>
      <c r="Y2" s="1311"/>
    </row>
    <row r="3" spans="1:44" ht="15.6">
      <c r="A3" s="167" t="s">
        <v>2305</v>
      </c>
      <c r="B3" s="334">
        <f ca="1">B24</f>
        <v>33914</v>
      </c>
      <c r="C3" s="1182" t="s">
        <v>2306</v>
      </c>
      <c r="D3" s="84"/>
      <c r="E3" s="84"/>
      <c r="F3" s="84"/>
      <c r="G3" s="84"/>
      <c r="H3" s="84"/>
      <c r="I3" s="84"/>
      <c r="J3" s="84"/>
      <c r="K3" s="84"/>
      <c r="L3" s="84"/>
      <c r="M3" s="84"/>
      <c r="N3" s="84"/>
      <c r="O3" s="84"/>
      <c r="P3" s="84"/>
      <c r="Q3" s="84"/>
      <c r="R3" s="768"/>
      <c r="S3" s="54"/>
      <c r="T3" s="54"/>
      <c r="U3" s="1311"/>
      <c r="V3" s="1311"/>
      <c r="X3" s="1311"/>
      <c r="Y3" s="1311"/>
    </row>
    <row r="4" spans="1:44" ht="14.25" customHeight="1" thickBot="1">
      <c r="A4" s="70"/>
      <c r="B4" s="678" t="s">
        <v>2307</v>
      </c>
      <c r="C4" s="2999" t="s">
        <v>2308</v>
      </c>
      <c r="D4" s="3000"/>
      <c r="E4" s="3000"/>
      <c r="F4" s="3000"/>
      <c r="G4" s="3000"/>
      <c r="H4" s="3000"/>
      <c r="I4" s="3000"/>
      <c r="J4" s="3000"/>
      <c r="K4" s="3000"/>
      <c r="L4" s="3000"/>
      <c r="M4" s="3000"/>
      <c r="N4" s="3000"/>
      <c r="O4" s="3000"/>
      <c r="P4" s="3000"/>
      <c r="Q4" s="3000"/>
      <c r="R4" s="3000"/>
      <c r="S4" s="3001"/>
      <c r="T4" s="678" t="s">
        <v>2309</v>
      </c>
      <c r="U4" s="1311"/>
      <c r="V4" s="1311"/>
      <c r="X4" s="1311"/>
      <c r="Y4" s="1311"/>
    </row>
    <row r="5" spans="1:44" s="692" customFormat="1" ht="39.6">
      <c r="A5" s="1321"/>
      <c r="B5" s="687" t="s">
        <v>2310</v>
      </c>
      <c r="C5" s="688" t="str">
        <f t="shared" ref="C5:L5" si="0">C6&amp;"(含)"&amp;"-"&amp;D6</f>
        <v>0(含)-150</v>
      </c>
      <c r="D5" s="689" t="str">
        <f t="shared" si="0"/>
        <v>150(含)-300</v>
      </c>
      <c r="E5" s="689" t="str">
        <f t="shared" si="0"/>
        <v>300(含)-500</v>
      </c>
      <c r="F5" s="689" t="str">
        <f t="shared" si="0"/>
        <v>500(含)-800</v>
      </c>
      <c r="G5" s="689" t="str">
        <f t="shared" si="0"/>
        <v>800(含)-1000</v>
      </c>
      <c r="H5" s="689" t="str">
        <f t="shared" si="0"/>
        <v>1000(含)-1200</v>
      </c>
      <c r="I5" s="689" t="str">
        <f t="shared" si="0"/>
        <v>1200(含)-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8"/>
      <c r="X5" s="1312"/>
      <c r="Y5" s="1312"/>
      <c r="Z5" s="798"/>
      <c r="AA5" s="798"/>
      <c r="AB5" s="798"/>
      <c r="AC5" s="798"/>
      <c r="AD5" s="798"/>
      <c r="AE5" s="798"/>
      <c r="AF5" s="798"/>
      <c r="AG5" s="798"/>
      <c r="AH5" s="798"/>
      <c r="AI5" s="798"/>
      <c r="AJ5" s="798"/>
      <c r="AK5" s="798"/>
      <c r="AL5" s="798"/>
      <c r="AM5" s="798"/>
      <c r="AN5" s="798"/>
      <c r="AO5" s="798"/>
      <c r="AP5" s="798"/>
      <c r="AQ5" s="798"/>
      <c r="AR5" s="798"/>
    </row>
    <row r="6" spans="1:44" s="699" customFormat="1">
      <c r="A6" s="1322"/>
      <c r="B6" s="693"/>
      <c r="C6" s="694">
        <f>'比较法-办公'!C104</f>
        <v>0</v>
      </c>
      <c r="D6" s="694">
        <f>'比较法-办公'!D104</f>
        <v>150</v>
      </c>
      <c r="E6" s="694">
        <f>'比较法-办公'!E104</f>
        <v>300</v>
      </c>
      <c r="F6" s="694">
        <f>'比较法-办公'!F104</f>
        <v>500</v>
      </c>
      <c r="G6" s="694">
        <f>'比较法-办公'!G104</f>
        <v>800</v>
      </c>
      <c r="H6" s="694">
        <f>'比较法-办公'!H104</f>
        <v>1000</v>
      </c>
      <c r="I6" s="694">
        <f>'比较法-办公'!I104</f>
        <v>1200</v>
      </c>
      <c r="J6" s="694"/>
      <c r="K6" s="696"/>
      <c r="L6" s="697"/>
      <c r="M6" s="1145"/>
      <c r="N6" s="1147"/>
      <c r="O6" s="695"/>
      <c r="P6" s="695"/>
      <c r="Q6" s="695"/>
      <c r="R6" s="695"/>
      <c r="S6" s="1198"/>
      <c r="T6" s="698"/>
      <c r="U6" s="1312"/>
      <c r="V6" s="1312"/>
      <c r="W6" s="799"/>
      <c r="X6" s="1312"/>
      <c r="Y6" s="1312"/>
      <c r="Z6" s="799"/>
      <c r="AA6" s="799"/>
      <c r="AB6" s="799"/>
      <c r="AC6" s="799"/>
      <c r="AD6" s="799"/>
      <c r="AE6" s="799"/>
      <c r="AF6" s="799"/>
      <c r="AG6" s="799"/>
      <c r="AH6" s="799"/>
      <c r="AI6" s="799"/>
      <c r="AJ6" s="799"/>
      <c r="AK6" s="799"/>
      <c r="AL6" s="799"/>
      <c r="AM6" s="799"/>
      <c r="AN6" s="799"/>
      <c r="AO6" s="799"/>
      <c r="AP6" s="799"/>
      <c r="AQ6" s="799"/>
      <c r="AR6" s="799"/>
    </row>
    <row r="7" spans="1:44" s="699" customFormat="1" ht="13.8" thickBot="1">
      <c r="A7" s="1323"/>
      <c r="B7" s="1162"/>
      <c r="C7" s="1163">
        <f>'比较法-办公'!C105</f>
        <v>96</v>
      </c>
      <c r="D7" s="1163">
        <f>'比较法-办公'!D105</f>
        <v>98</v>
      </c>
      <c r="E7" s="1163">
        <f>'比较法-办公'!E105</f>
        <v>100</v>
      </c>
      <c r="F7" s="1163">
        <f>'比较法-办公'!F105</f>
        <v>98</v>
      </c>
      <c r="G7" s="1163">
        <f>'比较法-办公'!G105</f>
        <v>96</v>
      </c>
      <c r="H7" s="1163">
        <f>'比较法-办公'!H105</f>
        <v>94</v>
      </c>
      <c r="I7" s="1163">
        <f>'比较法-办公'!I105</f>
        <v>92</v>
      </c>
      <c r="J7" s="1164"/>
      <c r="K7" s="1164"/>
      <c r="L7" s="1164"/>
      <c r="M7" s="1165"/>
      <c r="N7" s="1166"/>
      <c r="O7" s="1164"/>
      <c r="P7" s="1164"/>
      <c r="Q7" s="1164"/>
      <c r="R7" s="1164"/>
      <c r="S7" s="1199"/>
      <c r="T7" s="701"/>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c r="A8" s="1324"/>
      <c r="B8" s="1175" t="str">
        <f>'比较法-办公'!B123</f>
        <v>内部装修</v>
      </c>
      <c r="C8" s="1167" t="str">
        <f>'比较法-办公'!C123</f>
        <v>精装</v>
      </c>
      <c r="D8" s="1167" t="str">
        <f>'比较法-办公'!D123</f>
        <v>普装</v>
      </c>
      <c r="E8" s="1167" t="str">
        <f>'比较法-办公'!E123</f>
        <v>简装</v>
      </c>
      <c r="F8" s="1167" t="str">
        <f>'比较法-办公'!F123</f>
        <v>毛坯</v>
      </c>
      <c r="G8" s="1168"/>
      <c r="H8" s="1168"/>
      <c r="I8" s="1168"/>
      <c r="J8" s="1168"/>
      <c r="K8" s="1168"/>
      <c r="L8" s="1169"/>
      <c r="M8" s="1170"/>
      <c r="N8" s="1170"/>
      <c r="O8" s="1168"/>
      <c r="P8" s="1168"/>
      <c r="Q8" s="1168"/>
      <c r="R8" s="1168"/>
      <c r="S8" s="1200"/>
      <c r="T8" s="1171">
        <f>'比较法-办公'!K43</f>
        <v>2</v>
      </c>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8" thickBot="1">
      <c r="A9" s="1324"/>
      <c r="B9" s="1157"/>
      <c r="C9" s="1158">
        <v>100</v>
      </c>
      <c r="D9" s="1159">
        <f t="shared" ref="D9:S9" si="7">C9-$T$8</f>
        <v>98</v>
      </c>
      <c r="E9" s="1159">
        <f t="shared" si="7"/>
        <v>96</v>
      </c>
      <c r="F9" s="1159">
        <f t="shared" si="7"/>
        <v>94</v>
      </c>
      <c r="G9" s="1159">
        <f t="shared" si="7"/>
        <v>92</v>
      </c>
      <c r="H9" s="1159">
        <f t="shared" si="7"/>
        <v>90</v>
      </c>
      <c r="I9" s="1159">
        <f t="shared" si="7"/>
        <v>88</v>
      </c>
      <c r="J9" s="1159">
        <f t="shared" si="7"/>
        <v>86</v>
      </c>
      <c r="K9" s="1159">
        <f t="shared" si="7"/>
        <v>84</v>
      </c>
      <c r="L9" s="1159">
        <f t="shared" si="7"/>
        <v>82</v>
      </c>
      <c r="M9" s="1160">
        <f t="shared" si="7"/>
        <v>80</v>
      </c>
      <c r="N9" s="1160">
        <f t="shared" si="7"/>
        <v>78</v>
      </c>
      <c r="O9" s="1159">
        <f t="shared" si="7"/>
        <v>76</v>
      </c>
      <c r="P9" s="1159">
        <f t="shared" si="7"/>
        <v>74</v>
      </c>
      <c r="Q9" s="1159">
        <f t="shared" si="7"/>
        <v>72</v>
      </c>
      <c r="R9" s="1159">
        <f t="shared" si="7"/>
        <v>70</v>
      </c>
      <c r="S9" s="1201">
        <f t="shared" si="7"/>
        <v>68</v>
      </c>
      <c r="T9" s="1161"/>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c r="A10" s="1324"/>
      <c r="B10" s="1156" t="s">
        <v>2311</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8"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4"/>
      <c r="B12" s="1156" t="s">
        <v>2312</v>
      </c>
      <c r="C12" s="1152"/>
      <c r="D12" s="1153"/>
      <c r="E12" s="1153"/>
      <c r="F12" s="1153"/>
      <c r="G12" s="1153"/>
      <c r="H12" s="1153"/>
      <c r="I12" s="1153"/>
      <c r="J12" s="1153"/>
      <c r="K12" s="1153"/>
      <c r="L12" s="1154"/>
      <c r="M12" s="1155"/>
      <c r="N12" s="1146"/>
      <c r="O12" s="1148"/>
      <c r="P12" s="1149"/>
      <c r="Q12" s="1150"/>
      <c r="R12" s="1151"/>
      <c r="S12" s="1202"/>
      <c r="T12" s="700"/>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8"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4"/>
      <c r="B14" s="1175" t="s">
        <v>2313</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8"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4"/>
      <c r="B16" s="1175" t="s">
        <v>2314</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8"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4"/>
      <c r="B18" s="1175" t="s">
        <v>2315</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8"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9" t="s">
        <v>2316</v>
      </c>
      <c r="B20" s="2370" t="s">
        <v>2317</v>
      </c>
      <c r="C20" s="1325" t="str">
        <f>'比较法-办公'!C89</f>
        <v>高区</v>
      </c>
      <c r="D20" s="1325" t="str">
        <f>'比较法-办公'!D89</f>
        <v>中区</v>
      </c>
      <c r="E20" s="1325" t="str">
        <f>'比较法-办公'!E89</f>
        <v>低区</v>
      </c>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8" thickBot="1">
      <c r="A21" s="1335"/>
      <c r="B21" s="1336"/>
      <c r="C21" s="1337">
        <f>'比较法-办公'!C90</f>
        <v>100</v>
      </c>
      <c r="D21" s="1337">
        <f>'比较法-办公'!D90</f>
        <v>98</v>
      </c>
      <c r="E21" s="1337">
        <f>'比较法-办公'!E90</f>
        <v>96</v>
      </c>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2318</v>
      </c>
      <c r="G22" s="1877"/>
      <c r="H22" s="1877"/>
      <c r="I22" s="1877"/>
      <c r="J22" s="1878"/>
      <c r="K22" s="84"/>
      <c r="L22" s="84"/>
      <c r="M22" s="84"/>
      <c r="N22" s="84"/>
      <c r="O22" s="84"/>
      <c r="P22" s="84"/>
      <c r="Q22" s="84"/>
      <c r="R22" s="768"/>
      <c r="S22" s="54"/>
      <c r="T22" s="54"/>
      <c r="U22" s="1311"/>
      <c r="V22" s="1312"/>
      <c r="W22" s="800"/>
      <c r="X22" s="36"/>
      <c r="Y22" s="36"/>
      <c r="Z22" s="800"/>
    </row>
    <row r="23" spans="1:45" ht="16.2" thickBot="1">
      <c r="A23" s="165" t="s">
        <v>2319</v>
      </c>
      <c r="B23" s="308">
        <f ca="1">IF(F23="——",IF(C23="万元",T25,S25),IF(C23="万元",T25-H23,S25-H23))</f>
        <v>1440</v>
      </c>
      <c r="C23" s="2372" t="str">
        <f>'数据-取费表'!B3</f>
        <v>万元</v>
      </c>
      <c r="D23" s="84"/>
      <c r="E23" s="84"/>
      <c r="F23" s="2373" t="s">
        <v>1254</v>
      </c>
      <c r="G23" s="1879"/>
      <c r="H23" s="678" t="e">
        <f ca="1">SUMIF(INDIRECT("'"&amp;J23&amp;"'"&amp;"!A:A"),"承租人权益价值",INDIRECT("'"&amp;J23&amp;"'"&amp;"!c:c"))</f>
        <v>#REF!</v>
      </c>
      <c r="I23" s="678" t="str">
        <f>C2</f>
        <v>万元</v>
      </c>
      <c r="J23" s="2374"/>
      <c r="K23" s="84"/>
      <c r="L23" s="84"/>
      <c r="M23" s="84"/>
      <c r="N23" s="84"/>
      <c r="O23" s="84"/>
      <c r="P23" s="84"/>
      <c r="Q23" s="84"/>
      <c r="R23" s="768"/>
      <c r="S23" s="54"/>
      <c r="T23" s="54"/>
      <c r="V23" s="1312"/>
      <c r="W23" s="800"/>
      <c r="X23" s="36"/>
      <c r="Y23" s="36"/>
      <c r="Z23" s="800"/>
    </row>
    <row r="24" spans="1:45" ht="15.6">
      <c r="A24" s="2372" t="s">
        <v>2320</v>
      </c>
      <c r="B24" s="308">
        <f ca="1">R25</f>
        <v>33914</v>
      </c>
      <c r="C24" s="1143"/>
      <c r="D24" s="84"/>
      <c r="E24" s="84"/>
      <c r="F24" s="84"/>
      <c r="G24" s="84"/>
      <c r="H24" s="84"/>
      <c r="I24" s="84"/>
      <c r="J24" s="84"/>
      <c r="K24" s="84"/>
      <c r="L24" s="84"/>
      <c r="M24" s="84"/>
      <c r="N24" s="84"/>
      <c r="O24" s="84"/>
      <c r="P24" s="84"/>
      <c r="Q24" s="84"/>
      <c r="R24" s="768"/>
      <c r="S24" s="14" t="s">
        <v>2321</v>
      </c>
      <c r="T24" s="1896" t="s">
        <v>2322</v>
      </c>
      <c r="U24" s="2375" t="s">
        <v>2323</v>
      </c>
      <c r="V24" s="1341"/>
      <c r="W24" s="2376" t="s">
        <v>2324</v>
      </c>
      <c r="X24" s="2375" t="s">
        <v>2325</v>
      </c>
      <c r="Y24" s="1341"/>
      <c r="Z24" s="2377" t="s">
        <v>2324</v>
      </c>
    </row>
    <row r="25" spans="1:45">
      <c r="A25" s="334" t="s">
        <v>2326</v>
      </c>
      <c r="B25" s="14">
        <f>SUM(B27:B10000)</f>
        <v>424.6</v>
      </c>
      <c r="C25" s="2996" t="s">
        <v>45</v>
      </c>
      <c r="D25" s="2997"/>
      <c r="E25" s="2997"/>
      <c r="F25" s="2997"/>
      <c r="G25" s="2997"/>
      <c r="H25" s="2997"/>
      <c r="I25" s="2997"/>
      <c r="J25" s="2997"/>
      <c r="K25" s="2997"/>
      <c r="L25" s="2997"/>
      <c r="M25" s="2997"/>
      <c r="N25" s="2997"/>
      <c r="O25" s="2997"/>
      <c r="P25" s="2997"/>
      <c r="Q25" s="2998"/>
      <c r="R25" s="703">
        <f ca="1">IF(C23="万元",ROUND(T25*10000/B25,0),ROUND(S25/B25,0))</f>
        <v>33914</v>
      </c>
      <c r="S25" s="14">
        <f ca="1">SUM(S27:S10000)</f>
        <v>14397022</v>
      </c>
      <c r="T25" s="14">
        <f ca="1">SUM(T27:T10000)</f>
        <v>1440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内部装修</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2" t="s">
        <v>2332</v>
      </c>
      <c r="V26" s="2379" t="s">
        <v>2333</v>
      </c>
      <c r="W26" s="2380" t="s">
        <v>2334</v>
      </c>
      <c r="X26" s="1882" t="s">
        <v>2332</v>
      </c>
      <c r="Y26" s="2379" t="s">
        <v>2333</v>
      </c>
      <c r="Z26" s="2380" t="s">
        <v>2334</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36" t="s">
        <v>2833</v>
      </c>
      <c r="B27" s="705">
        <f>'数据-取费表'!E5</f>
        <v>158.38</v>
      </c>
      <c r="C27" s="705">
        <v>1</v>
      </c>
      <c r="D27" s="706" t="s">
        <v>2882</v>
      </c>
      <c r="E27" s="705">
        <v>1</v>
      </c>
      <c r="F27" s="706"/>
      <c r="G27" s="705">
        <v>1</v>
      </c>
      <c r="H27" s="706"/>
      <c r="I27" s="705">
        <v>1</v>
      </c>
      <c r="J27" s="706"/>
      <c r="K27" s="705">
        <v>1</v>
      </c>
      <c r="L27" s="706"/>
      <c r="M27" s="705">
        <v>1</v>
      </c>
      <c r="N27" s="706"/>
      <c r="O27" s="705">
        <v>1</v>
      </c>
      <c r="P27" s="706" t="s">
        <v>2885</v>
      </c>
      <c r="Q27" s="705">
        <v>1</v>
      </c>
      <c r="R27" s="1191">
        <f ca="1">结果表!G20</f>
        <v>34338</v>
      </c>
      <c r="S27" s="705">
        <f ca="1">ROUND(R27*B27,0)</f>
        <v>5438452</v>
      </c>
      <c r="T27" s="705">
        <f ca="1">ROUND(R27*B27/10000,0)</f>
        <v>544</v>
      </c>
      <c r="U27" s="1313">
        <f>ROUND(W27*B27,0)</f>
        <v>0</v>
      </c>
      <c r="V27" s="1313">
        <f>ROUND(W27*B27/10000,0)</f>
        <v>0</v>
      </c>
      <c r="W27" s="1309"/>
      <c r="X27" s="1313">
        <f>ROUND(Z27*B27,0)</f>
        <v>0</v>
      </c>
      <c r="Y27" s="1313">
        <f>ROUND(Z27*B27/10000,0)</f>
        <v>0</v>
      </c>
      <c r="Z27" s="1309"/>
      <c r="AA27" s="802"/>
      <c r="AB27" s="802"/>
      <c r="AC27" s="802"/>
      <c r="AD27" s="802"/>
      <c r="AE27" s="802"/>
      <c r="AF27" s="802"/>
      <c r="AG27" s="802"/>
      <c r="AH27" s="802"/>
      <c r="AI27" s="802"/>
      <c r="AJ27" s="802"/>
      <c r="AK27" s="802"/>
      <c r="AL27" s="802"/>
      <c r="AM27" s="802"/>
      <c r="AN27" s="802"/>
      <c r="AO27" s="802"/>
      <c r="AP27" s="802"/>
      <c r="AQ27" s="802"/>
      <c r="AR27" s="802"/>
    </row>
    <row r="28" spans="1:45">
      <c r="A28" s="75">
        <v>1215</v>
      </c>
      <c r="B28" s="24">
        <v>133.11000000000001</v>
      </c>
      <c r="C28" s="14">
        <f t="shared" ref="C28:C91" si="14">IF(B28="",1,(LOOKUP(B28,$6:$6,$7:$7)-LOOKUP($B$27,$6:$6,$7:$7)+100)/100)</f>
        <v>0.98</v>
      </c>
      <c r="D28" s="706" t="s">
        <v>2882</v>
      </c>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t="s">
        <v>2885</v>
      </c>
      <c r="Q28" s="14">
        <f t="shared" ref="Q28:Q91" si="21">(SUMIF($20:$20,P28,$21:$21)-SUMIF($20:$20,$P$27,$21:$21)+100)/100</f>
        <v>1</v>
      </c>
      <c r="R28" s="703">
        <f ca="1">IF(B28="",0,ROUND($R$27*C28*E28*G28*I28*K28*M28*O28*Q28,0))</f>
        <v>33651</v>
      </c>
      <c r="S28" s="334">
        <f ca="1">ROUND(R28*B28,0)</f>
        <v>4479285</v>
      </c>
      <c r="T28" s="1181">
        <f ca="1">ROUND(R28*B28/10000,0)</f>
        <v>448</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v>1216</v>
      </c>
      <c r="B29" s="24">
        <v>133.11000000000001</v>
      </c>
      <c r="C29" s="14">
        <f t="shared" si="14"/>
        <v>0.98</v>
      </c>
      <c r="D29" s="706" t="s">
        <v>2882</v>
      </c>
      <c r="E29" s="14">
        <f t="shared" si="15"/>
        <v>1</v>
      </c>
      <c r="F29" s="706"/>
      <c r="G29" s="14">
        <f t="shared" si="16"/>
        <v>1</v>
      </c>
      <c r="H29" s="706"/>
      <c r="I29" s="14">
        <f t="shared" si="17"/>
        <v>1</v>
      </c>
      <c r="J29" s="706"/>
      <c r="K29" s="14">
        <f t="shared" si="18"/>
        <v>1</v>
      </c>
      <c r="L29" s="706"/>
      <c r="M29" s="14">
        <f t="shared" si="19"/>
        <v>1</v>
      </c>
      <c r="N29" s="706"/>
      <c r="O29" s="14">
        <f t="shared" si="20"/>
        <v>1</v>
      </c>
      <c r="P29" s="706" t="s">
        <v>2885</v>
      </c>
      <c r="Q29" s="14">
        <f t="shared" si="21"/>
        <v>1</v>
      </c>
      <c r="R29" s="703">
        <f t="shared" ref="R29:R92" ca="1" si="26">IF(B29="",0,ROUND($R$27*C29*E29*G29*I29*K29*M29*O29*Q29,0))</f>
        <v>33651</v>
      </c>
      <c r="S29" s="334">
        <f t="shared" ref="S29:S92" ca="1" si="27">ROUND(R29*B29,0)</f>
        <v>4479285</v>
      </c>
      <c r="T29" s="1181">
        <f t="shared" ref="T29:T92" ca="1" si="28">ROUND(R29*B29/10000,0)</f>
        <v>448</v>
      </c>
      <c r="U29" s="1313">
        <f t="shared" si="22"/>
        <v>0</v>
      </c>
      <c r="V29" s="1313">
        <f t="shared" si="23"/>
        <v>0</v>
      </c>
      <c r="W29" s="1310"/>
      <c r="X29" s="1313">
        <f t="shared" si="24"/>
        <v>0</v>
      </c>
      <c r="Y29" s="1313">
        <f t="shared" si="25"/>
        <v>0</v>
      </c>
      <c r="Z29" s="1310"/>
    </row>
    <row r="30" spans="1:45">
      <c r="A30" s="75"/>
      <c r="B30" s="24"/>
      <c r="C30" s="14">
        <f t="shared" si="14"/>
        <v>1</v>
      </c>
      <c r="D30" s="706"/>
      <c r="E30" s="14">
        <f t="shared" si="15"/>
        <v>0.02</v>
      </c>
      <c r="F30" s="706"/>
      <c r="G30" s="14">
        <f t="shared" si="16"/>
        <v>1</v>
      </c>
      <c r="H30" s="706"/>
      <c r="I30" s="14">
        <f t="shared" si="17"/>
        <v>1</v>
      </c>
      <c r="J30" s="706"/>
      <c r="K30" s="14">
        <f t="shared" si="18"/>
        <v>1</v>
      </c>
      <c r="L30" s="706"/>
      <c r="M30" s="14">
        <f t="shared" si="19"/>
        <v>1</v>
      </c>
      <c r="N30" s="706"/>
      <c r="O30" s="14">
        <f t="shared" si="20"/>
        <v>1</v>
      </c>
      <c r="P30" s="706"/>
      <c r="Q30" s="14">
        <f t="shared" si="21"/>
        <v>0.02</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6"/>
      <c r="E31" s="14">
        <f t="shared" si="15"/>
        <v>0.02</v>
      </c>
      <c r="F31" s="706"/>
      <c r="G31" s="14">
        <f t="shared" si="16"/>
        <v>1</v>
      </c>
      <c r="H31" s="706"/>
      <c r="I31" s="14">
        <f t="shared" si="17"/>
        <v>1</v>
      </c>
      <c r="J31" s="706"/>
      <c r="K31" s="14">
        <f t="shared" si="18"/>
        <v>1</v>
      </c>
      <c r="L31" s="706"/>
      <c r="M31" s="14">
        <f t="shared" si="19"/>
        <v>1</v>
      </c>
      <c r="N31" s="706"/>
      <c r="O31" s="14">
        <f t="shared" si="20"/>
        <v>1</v>
      </c>
      <c r="P31" s="706"/>
      <c r="Q31" s="14">
        <f t="shared" si="21"/>
        <v>0.02</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6"/>
      <c r="E32" s="14">
        <f t="shared" si="15"/>
        <v>0.02</v>
      </c>
      <c r="F32" s="706"/>
      <c r="G32" s="14">
        <f t="shared" si="16"/>
        <v>1</v>
      </c>
      <c r="H32" s="706"/>
      <c r="I32" s="14">
        <f t="shared" si="17"/>
        <v>1</v>
      </c>
      <c r="J32" s="706"/>
      <c r="K32" s="14">
        <f t="shared" si="18"/>
        <v>1</v>
      </c>
      <c r="L32" s="706"/>
      <c r="M32" s="14">
        <f t="shared" si="19"/>
        <v>1</v>
      </c>
      <c r="N32" s="706"/>
      <c r="O32" s="14">
        <f t="shared" si="20"/>
        <v>1</v>
      </c>
      <c r="P32" s="706"/>
      <c r="Q32" s="14">
        <f t="shared" si="21"/>
        <v>0.02</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6"/>
      <c r="E33" s="14">
        <f t="shared" si="15"/>
        <v>0.02</v>
      </c>
      <c r="F33" s="706"/>
      <c r="G33" s="14">
        <f t="shared" si="16"/>
        <v>1</v>
      </c>
      <c r="H33" s="706"/>
      <c r="I33" s="14">
        <f t="shared" si="17"/>
        <v>1</v>
      </c>
      <c r="J33" s="706"/>
      <c r="K33" s="14">
        <f t="shared" si="18"/>
        <v>1</v>
      </c>
      <c r="L33" s="706"/>
      <c r="M33" s="14">
        <f t="shared" si="19"/>
        <v>1</v>
      </c>
      <c r="N33" s="706"/>
      <c r="O33" s="14">
        <f t="shared" si="20"/>
        <v>1</v>
      </c>
      <c r="P33" s="706"/>
      <c r="Q33" s="14">
        <f t="shared" si="21"/>
        <v>0.02</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6"/>
      <c r="E34" s="14">
        <f t="shared" si="15"/>
        <v>0.02</v>
      </c>
      <c r="F34" s="706"/>
      <c r="G34" s="14">
        <f t="shared" si="16"/>
        <v>1</v>
      </c>
      <c r="H34" s="706"/>
      <c r="I34" s="14">
        <f t="shared" si="17"/>
        <v>1</v>
      </c>
      <c r="J34" s="706"/>
      <c r="K34" s="14">
        <f t="shared" si="18"/>
        <v>1</v>
      </c>
      <c r="L34" s="706"/>
      <c r="M34" s="14">
        <f t="shared" si="19"/>
        <v>1</v>
      </c>
      <c r="N34" s="706"/>
      <c r="O34" s="14">
        <f t="shared" si="20"/>
        <v>1</v>
      </c>
      <c r="P34" s="706"/>
      <c r="Q34" s="14">
        <f t="shared" si="21"/>
        <v>0.02</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6"/>
      <c r="E35" s="14">
        <f t="shared" si="15"/>
        <v>0.02</v>
      </c>
      <c r="F35" s="706"/>
      <c r="G35" s="14">
        <f t="shared" si="16"/>
        <v>1</v>
      </c>
      <c r="H35" s="706"/>
      <c r="I35" s="14">
        <f t="shared" si="17"/>
        <v>1</v>
      </c>
      <c r="J35" s="706"/>
      <c r="K35" s="14">
        <f t="shared" si="18"/>
        <v>1</v>
      </c>
      <c r="L35" s="706"/>
      <c r="M35" s="14">
        <f t="shared" si="19"/>
        <v>1</v>
      </c>
      <c r="N35" s="706"/>
      <c r="O35" s="14">
        <f t="shared" si="20"/>
        <v>1</v>
      </c>
      <c r="P35" s="706"/>
      <c r="Q35" s="14">
        <f t="shared" si="21"/>
        <v>0.02</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6"/>
      <c r="E36" s="14">
        <f t="shared" si="15"/>
        <v>0.02</v>
      </c>
      <c r="F36" s="706"/>
      <c r="G36" s="14">
        <f t="shared" si="16"/>
        <v>1</v>
      </c>
      <c r="H36" s="706"/>
      <c r="I36" s="14">
        <f t="shared" si="17"/>
        <v>1</v>
      </c>
      <c r="J36" s="706"/>
      <c r="K36" s="14">
        <f t="shared" si="18"/>
        <v>1</v>
      </c>
      <c r="L36" s="706"/>
      <c r="M36" s="14">
        <f t="shared" si="19"/>
        <v>1</v>
      </c>
      <c r="N36" s="706"/>
      <c r="O36" s="14">
        <f t="shared" si="20"/>
        <v>1</v>
      </c>
      <c r="P36" s="706"/>
      <c r="Q36" s="14">
        <f t="shared" si="21"/>
        <v>0.02</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6"/>
      <c r="E37" s="14">
        <f t="shared" si="15"/>
        <v>0.02</v>
      </c>
      <c r="F37" s="706"/>
      <c r="G37" s="14">
        <f t="shared" si="16"/>
        <v>1</v>
      </c>
      <c r="H37" s="706"/>
      <c r="I37" s="14">
        <f t="shared" si="17"/>
        <v>1</v>
      </c>
      <c r="J37" s="706"/>
      <c r="K37" s="14">
        <f t="shared" si="18"/>
        <v>1</v>
      </c>
      <c r="L37" s="706"/>
      <c r="M37" s="14">
        <f t="shared" si="19"/>
        <v>1</v>
      </c>
      <c r="N37" s="706"/>
      <c r="O37" s="14">
        <f t="shared" si="20"/>
        <v>1</v>
      </c>
      <c r="P37" s="706"/>
      <c r="Q37" s="14">
        <f t="shared" si="21"/>
        <v>0.02</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6"/>
      <c r="E38" s="14">
        <f t="shared" si="15"/>
        <v>0.02</v>
      </c>
      <c r="F38" s="706"/>
      <c r="G38" s="14">
        <f t="shared" si="16"/>
        <v>1</v>
      </c>
      <c r="H38" s="706"/>
      <c r="I38" s="14">
        <f t="shared" si="17"/>
        <v>1</v>
      </c>
      <c r="J38" s="706"/>
      <c r="K38" s="14">
        <f t="shared" si="18"/>
        <v>1</v>
      </c>
      <c r="L38" s="706"/>
      <c r="M38" s="14">
        <f t="shared" si="19"/>
        <v>1</v>
      </c>
      <c r="N38" s="706"/>
      <c r="O38" s="14">
        <f t="shared" si="20"/>
        <v>1</v>
      </c>
      <c r="P38" s="706"/>
      <c r="Q38" s="14">
        <f t="shared" si="21"/>
        <v>0.02</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6"/>
      <c r="E39" s="14">
        <f t="shared" si="15"/>
        <v>0.02</v>
      </c>
      <c r="F39" s="706"/>
      <c r="G39" s="14">
        <f t="shared" si="16"/>
        <v>1</v>
      </c>
      <c r="H39" s="706"/>
      <c r="I39" s="14">
        <f t="shared" si="17"/>
        <v>1</v>
      </c>
      <c r="J39" s="706"/>
      <c r="K39" s="14">
        <f t="shared" si="18"/>
        <v>1</v>
      </c>
      <c r="L39" s="706"/>
      <c r="M39" s="14">
        <f t="shared" si="19"/>
        <v>1</v>
      </c>
      <c r="N39" s="706"/>
      <c r="O39" s="14">
        <f t="shared" si="20"/>
        <v>1</v>
      </c>
      <c r="P39" s="706"/>
      <c r="Q39" s="14">
        <f t="shared" si="21"/>
        <v>0.02</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6"/>
      <c r="E40" s="14">
        <f t="shared" si="15"/>
        <v>0.02</v>
      </c>
      <c r="F40" s="706"/>
      <c r="G40" s="14">
        <f t="shared" si="16"/>
        <v>1</v>
      </c>
      <c r="H40" s="706"/>
      <c r="I40" s="14">
        <f t="shared" si="17"/>
        <v>1</v>
      </c>
      <c r="J40" s="706"/>
      <c r="K40" s="14">
        <f t="shared" si="18"/>
        <v>1</v>
      </c>
      <c r="L40" s="706"/>
      <c r="M40" s="14">
        <f t="shared" si="19"/>
        <v>1</v>
      </c>
      <c r="N40" s="706"/>
      <c r="O40" s="14">
        <f t="shared" si="20"/>
        <v>1</v>
      </c>
      <c r="P40" s="706"/>
      <c r="Q40" s="14">
        <f t="shared" si="21"/>
        <v>0.02</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6"/>
      <c r="E41" s="14">
        <f t="shared" si="15"/>
        <v>0.02</v>
      </c>
      <c r="F41" s="706"/>
      <c r="G41" s="14">
        <f t="shared" si="16"/>
        <v>1</v>
      </c>
      <c r="H41" s="706"/>
      <c r="I41" s="14">
        <f t="shared" si="17"/>
        <v>1</v>
      </c>
      <c r="J41" s="706"/>
      <c r="K41" s="14">
        <f t="shared" si="18"/>
        <v>1</v>
      </c>
      <c r="L41" s="706"/>
      <c r="M41" s="14">
        <f t="shared" si="19"/>
        <v>1</v>
      </c>
      <c r="N41" s="706"/>
      <c r="O41" s="14">
        <f t="shared" si="20"/>
        <v>1</v>
      </c>
      <c r="P41" s="706"/>
      <c r="Q41" s="14">
        <f t="shared" si="21"/>
        <v>0.02</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6"/>
      <c r="E42" s="14">
        <f t="shared" si="15"/>
        <v>0.02</v>
      </c>
      <c r="F42" s="706"/>
      <c r="G42" s="14">
        <f t="shared" si="16"/>
        <v>1</v>
      </c>
      <c r="H42" s="706"/>
      <c r="I42" s="14">
        <f t="shared" si="17"/>
        <v>1</v>
      </c>
      <c r="J42" s="706"/>
      <c r="K42" s="14">
        <f t="shared" si="18"/>
        <v>1</v>
      </c>
      <c r="L42" s="706"/>
      <c r="M42" s="14">
        <f t="shared" si="19"/>
        <v>1</v>
      </c>
      <c r="N42" s="706"/>
      <c r="O42" s="14">
        <f t="shared" si="20"/>
        <v>1</v>
      </c>
      <c r="P42" s="706"/>
      <c r="Q42" s="14">
        <f t="shared" si="21"/>
        <v>0.02</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6"/>
      <c r="E43" s="14">
        <f t="shared" si="15"/>
        <v>0.02</v>
      </c>
      <c r="F43" s="706"/>
      <c r="G43" s="14">
        <f t="shared" si="16"/>
        <v>1</v>
      </c>
      <c r="H43" s="706"/>
      <c r="I43" s="14">
        <f t="shared" si="17"/>
        <v>1</v>
      </c>
      <c r="J43" s="706"/>
      <c r="K43" s="14">
        <f t="shared" si="18"/>
        <v>1</v>
      </c>
      <c r="L43" s="706"/>
      <c r="M43" s="14">
        <f t="shared" si="19"/>
        <v>1</v>
      </c>
      <c r="N43" s="706"/>
      <c r="O43" s="14">
        <f t="shared" si="20"/>
        <v>1</v>
      </c>
      <c r="P43" s="706"/>
      <c r="Q43" s="14">
        <f t="shared" si="21"/>
        <v>0.02</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6"/>
      <c r="E44" s="14">
        <f t="shared" si="15"/>
        <v>0.02</v>
      </c>
      <c r="F44" s="706"/>
      <c r="G44" s="14">
        <f t="shared" si="16"/>
        <v>1</v>
      </c>
      <c r="H44" s="706"/>
      <c r="I44" s="14">
        <f t="shared" si="17"/>
        <v>1</v>
      </c>
      <c r="J44" s="706"/>
      <c r="K44" s="14">
        <f t="shared" si="18"/>
        <v>1</v>
      </c>
      <c r="L44" s="706"/>
      <c r="M44" s="14">
        <f t="shared" si="19"/>
        <v>1</v>
      </c>
      <c r="N44" s="706"/>
      <c r="O44" s="14">
        <f t="shared" si="20"/>
        <v>1</v>
      </c>
      <c r="P44" s="706"/>
      <c r="Q44" s="14">
        <f t="shared" si="21"/>
        <v>0.02</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6"/>
      <c r="E45" s="14">
        <f t="shared" si="15"/>
        <v>0.02</v>
      </c>
      <c r="F45" s="706"/>
      <c r="G45" s="14">
        <f t="shared" si="16"/>
        <v>1</v>
      </c>
      <c r="H45" s="706"/>
      <c r="I45" s="14">
        <f t="shared" si="17"/>
        <v>1</v>
      </c>
      <c r="J45" s="706"/>
      <c r="K45" s="14">
        <f t="shared" si="18"/>
        <v>1</v>
      </c>
      <c r="L45" s="706"/>
      <c r="M45" s="14">
        <f t="shared" si="19"/>
        <v>1</v>
      </c>
      <c r="N45" s="706"/>
      <c r="O45" s="14">
        <f t="shared" si="20"/>
        <v>1</v>
      </c>
      <c r="P45" s="706"/>
      <c r="Q45" s="14">
        <f t="shared" si="21"/>
        <v>0.02</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6"/>
      <c r="E46" s="14">
        <f t="shared" si="15"/>
        <v>0.02</v>
      </c>
      <c r="F46" s="706"/>
      <c r="G46" s="14">
        <f t="shared" si="16"/>
        <v>1</v>
      </c>
      <c r="H46" s="706"/>
      <c r="I46" s="14">
        <f t="shared" si="17"/>
        <v>1</v>
      </c>
      <c r="J46" s="706"/>
      <c r="K46" s="14">
        <f t="shared" si="18"/>
        <v>1</v>
      </c>
      <c r="L46" s="706"/>
      <c r="M46" s="14">
        <f t="shared" si="19"/>
        <v>1</v>
      </c>
      <c r="N46" s="706"/>
      <c r="O46" s="14">
        <f t="shared" si="20"/>
        <v>1</v>
      </c>
      <c r="P46" s="706"/>
      <c r="Q46" s="14">
        <f t="shared" si="21"/>
        <v>0.02</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6"/>
      <c r="E47" s="14">
        <f t="shared" si="15"/>
        <v>0.02</v>
      </c>
      <c r="F47" s="706"/>
      <c r="G47" s="14">
        <f t="shared" si="16"/>
        <v>1</v>
      </c>
      <c r="H47" s="706"/>
      <c r="I47" s="14">
        <f t="shared" si="17"/>
        <v>1</v>
      </c>
      <c r="J47" s="706"/>
      <c r="K47" s="14">
        <f t="shared" si="18"/>
        <v>1</v>
      </c>
      <c r="L47" s="706"/>
      <c r="M47" s="14">
        <f t="shared" si="19"/>
        <v>1</v>
      </c>
      <c r="N47" s="706"/>
      <c r="O47" s="14">
        <f t="shared" si="20"/>
        <v>1</v>
      </c>
      <c r="P47" s="706"/>
      <c r="Q47" s="14">
        <f t="shared" si="21"/>
        <v>0.02</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6"/>
      <c r="E48" s="14">
        <f t="shared" si="15"/>
        <v>0.02</v>
      </c>
      <c r="F48" s="706"/>
      <c r="G48" s="14">
        <f t="shared" si="16"/>
        <v>1</v>
      </c>
      <c r="H48" s="706"/>
      <c r="I48" s="14">
        <f t="shared" si="17"/>
        <v>1</v>
      </c>
      <c r="J48" s="706"/>
      <c r="K48" s="14">
        <f t="shared" si="18"/>
        <v>1</v>
      </c>
      <c r="L48" s="706"/>
      <c r="M48" s="14">
        <f t="shared" si="19"/>
        <v>1</v>
      </c>
      <c r="N48" s="706"/>
      <c r="O48" s="14">
        <f t="shared" si="20"/>
        <v>1</v>
      </c>
      <c r="P48" s="706"/>
      <c r="Q48" s="14">
        <f t="shared" si="21"/>
        <v>0.02</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6"/>
      <c r="E49" s="14">
        <f t="shared" si="15"/>
        <v>0.02</v>
      </c>
      <c r="F49" s="706"/>
      <c r="G49" s="14">
        <f t="shared" si="16"/>
        <v>1</v>
      </c>
      <c r="H49" s="706"/>
      <c r="I49" s="14">
        <f t="shared" si="17"/>
        <v>1</v>
      </c>
      <c r="J49" s="706"/>
      <c r="K49" s="14">
        <f t="shared" si="18"/>
        <v>1</v>
      </c>
      <c r="L49" s="706"/>
      <c r="M49" s="14">
        <f t="shared" si="19"/>
        <v>1</v>
      </c>
      <c r="N49" s="706"/>
      <c r="O49" s="14">
        <f t="shared" si="20"/>
        <v>1</v>
      </c>
      <c r="P49" s="706"/>
      <c r="Q49" s="14">
        <f t="shared" si="21"/>
        <v>0.02</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6"/>
      <c r="E50" s="14">
        <f t="shared" si="15"/>
        <v>0.02</v>
      </c>
      <c r="F50" s="706"/>
      <c r="G50" s="14">
        <f t="shared" si="16"/>
        <v>1</v>
      </c>
      <c r="H50" s="706"/>
      <c r="I50" s="14">
        <f t="shared" si="17"/>
        <v>1</v>
      </c>
      <c r="J50" s="706"/>
      <c r="K50" s="14">
        <f t="shared" si="18"/>
        <v>1</v>
      </c>
      <c r="L50" s="706"/>
      <c r="M50" s="14">
        <f t="shared" si="19"/>
        <v>1</v>
      </c>
      <c r="N50" s="706"/>
      <c r="O50" s="14">
        <f t="shared" si="20"/>
        <v>1</v>
      </c>
      <c r="P50" s="706"/>
      <c r="Q50" s="14">
        <f t="shared" si="21"/>
        <v>0.02</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6"/>
      <c r="E51" s="14">
        <f t="shared" si="15"/>
        <v>0.02</v>
      </c>
      <c r="F51" s="706"/>
      <c r="G51" s="14">
        <f t="shared" si="16"/>
        <v>1</v>
      </c>
      <c r="H51" s="706"/>
      <c r="I51" s="14">
        <f t="shared" si="17"/>
        <v>1</v>
      </c>
      <c r="J51" s="706"/>
      <c r="K51" s="14">
        <f t="shared" si="18"/>
        <v>1</v>
      </c>
      <c r="L51" s="706"/>
      <c r="M51" s="14">
        <f t="shared" si="19"/>
        <v>1</v>
      </c>
      <c r="N51" s="706"/>
      <c r="O51" s="14">
        <f t="shared" si="20"/>
        <v>1</v>
      </c>
      <c r="P51" s="706"/>
      <c r="Q51" s="14">
        <f t="shared" si="21"/>
        <v>0.02</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6"/>
      <c r="E52" s="14">
        <f t="shared" si="15"/>
        <v>0.02</v>
      </c>
      <c r="F52" s="706"/>
      <c r="G52" s="14">
        <f t="shared" si="16"/>
        <v>1</v>
      </c>
      <c r="H52" s="706"/>
      <c r="I52" s="14">
        <f t="shared" si="17"/>
        <v>1</v>
      </c>
      <c r="J52" s="706"/>
      <c r="K52" s="14">
        <f t="shared" si="18"/>
        <v>1</v>
      </c>
      <c r="L52" s="706"/>
      <c r="M52" s="14">
        <f t="shared" si="19"/>
        <v>1</v>
      </c>
      <c r="N52" s="706"/>
      <c r="O52" s="14">
        <f t="shared" si="20"/>
        <v>1</v>
      </c>
      <c r="P52" s="706"/>
      <c r="Q52" s="14">
        <f t="shared" si="21"/>
        <v>0.02</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6"/>
      <c r="E53" s="14">
        <f t="shared" si="15"/>
        <v>0.02</v>
      </c>
      <c r="F53" s="706"/>
      <c r="G53" s="14">
        <f t="shared" si="16"/>
        <v>1</v>
      </c>
      <c r="H53" s="706"/>
      <c r="I53" s="14">
        <f t="shared" si="17"/>
        <v>1</v>
      </c>
      <c r="J53" s="706"/>
      <c r="K53" s="14">
        <f t="shared" si="18"/>
        <v>1</v>
      </c>
      <c r="L53" s="706"/>
      <c r="M53" s="14">
        <f t="shared" si="19"/>
        <v>1</v>
      </c>
      <c r="N53" s="706"/>
      <c r="O53" s="14">
        <f t="shared" si="20"/>
        <v>1</v>
      </c>
      <c r="P53" s="706"/>
      <c r="Q53" s="14">
        <f t="shared" si="21"/>
        <v>0.02</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6"/>
      <c r="E54" s="14">
        <f t="shared" si="15"/>
        <v>0.02</v>
      </c>
      <c r="F54" s="706"/>
      <c r="G54" s="14">
        <f t="shared" si="16"/>
        <v>1</v>
      </c>
      <c r="H54" s="706"/>
      <c r="I54" s="14">
        <f t="shared" si="17"/>
        <v>1</v>
      </c>
      <c r="J54" s="706"/>
      <c r="K54" s="14">
        <f t="shared" si="18"/>
        <v>1</v>
      </c>
      <c r="L54" s="706"/>
      <c r="M54" s="14">
        <f t="shared" si="19"/>
        <v>1</v>
      </c>
      <c r="N54" s="706"/>
      <c r="O54" s="14">
        <f t="shared" si="20"/>
        <v>1</v>
      </c>
      <c r="P54" s="706"/>
      <c r="Q54" s="14">
        <f t="shared" si="21"/>
        <v>0.02</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6"/>
      <c r="E55" s="14">
        <f t="shared" si="15"/>
        <v>0.02</v>
      </c>
      <c r="F55" s="706"/>
      <c r="G55" s="14">
        <f t="shared" si="16"/>
        <v>1</v>
      </c>
      <c r="H55" s="706"/>
      <c r="I55" s="14">
        <f t="shared" si="17"/>
        <v>1</v>
      </c>
      <c r="J55" s="706"/>
      <c r="K55" s="14">
        <f t="shared" si="18"/>
        <v>1</v>
      </c>
      <c r="L55" s="706"/>
      <c r="M55" s="14">
        <f t="shared" si="19"/>
        <v>1</v>
      </c>
      <c r="N55" s="706"/>
      <c r="O55" s="14">
        <f t="shared" si="20"/>
        <v>1</v>
      </c>
      <c r="P55" s="706"/>
      <c r="Q55" s="14">
        <f t="shared" si="21"/>
        <v>0.02</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6"/>
      <c r="E56" s="14">
        <f t="shared" si="15"/>
        <v>0.02</v>
      </c>
      <c r="F56" s="706"/>
      <c r="G56" s="14">
        <f t="shared" si="16"/>
        <v>1</v>
      </c>
      <c r="H56" s="706"/>
      <c r="I56" s="14">
        <f t="shared" si="17"/>
        <v>1</v>
      </c>
      <c r="J56" s="706"/>
      <c r="K56" s="14">
        <f t="shared" si="18"/>
        <v>1</v>
      </c>
      <c r="L56" s="706"/>
      <c r="M56" s="14">
        <f t="shared" si="19"/>
        <v>1</v>
      </c>
      <c r="N56" s="706"/>
      <c r="O56" s="14">
        <f t="shared" si="20"/>
        <v>1</v>
      </c>
      <c r="P56" s="706"/>
      <c r="Q56" s="14">
        <f t="shared" si="21"/>
        <v>0.02</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6"/>
      <c r="E57" s="14">
        <f t="shared" si="15"/>
        <v>0.02</v>
      </c>
      <c r="F57" s="706"/>
      <c r="G57" s="14">
        <f t="shared" si="16"/>
        <v>1</v>
      </c>
      <c r="H57" s="706"/>
      <c r="I57" s="14">
        <f t="shared" si="17"/>
        <v>1</v>
      </c>
      <c r="J57" s="706"/>
      <c r="K57" s="14">
        <f t="shared" si="18"/>
        <v>1</v>
      </c>
      <c r="L57" s="706"/>
      <c r="M57" s="14">
        <f t="shared" si="19"/>
        <v>1</v>
      </c>
      <c r="N57" s="706"/>
      <c r="O57" s="14">
        <f t="shared" si="20"/>
        <v>1</v>
      </c>
      <c r="P57" s="706"/>
      <c r="Q57" s="14">
        <f t="shared" si="21"/>
        <v>0.02</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6"/>
      <c r="E58" s="14">
        <f t="shared" si="15"/>
        <v>0.02</v>
      </c>
      <c r="F58" s="706"/>
      <c r="G58" s="14">
        <f t="shared" si="16"/>
        <v>1</v>
      </c>
      <c r="H58" s="706"/>
      <c r="I58" s="14">
        <f t="shared" si="17"/>
        <v>1</v>
      </c>
      <c r="J58" s="706"/>
      <c r="K58" s="14">
        <f t="shared" si="18"/>
        <v>1</v>
      </c>
      <c r="L58" s="706"/>
      <c r="M58" s="14">
        <f t="shared" si="19"/>
        <v>1</v>
      </c>
      <c r="N58" s="706"/>
      <c r="O58" s="14">
        <f t="shared" si="20"/>
        <v>1</v>
      </c>
      <c r="P58" s="706"/>
      <c r="Q58" s="14">
        <f t="shared" si="21"/>
        <v>0.02</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6"/>
      <c r="E59" s="14">
        <f t="shared" si="15"/>
        <v>0.02</v>
      </c>
      <c r="F59" s="706"/>
      <c r="G59" s="14">
        <f t="shared" si="16"/>
        <v>1</v>
      </c>
      <c r="H59" s="706"/>
      <c r="I59" s="14">
        <f t="shared" si="17"/>
        <v>1</v>
      </c>
      <c r="J59" s="706"/>
      <c r="K59" s="14">
        <f t="shared" si="18"/>
        <v>1</v>
      </c>
      <c r="L59" s="706"/>
      <c r="M59" s="14">
        <f t="shared" si="19"/>
        <v>1</v>
      </c>
      <c r="N59" s="706"/>
      <c r="O59" s="14">
        <f t="shared" si="20"/>
        <v>1</v>
      </c>
      <c r="P59" s="706"/>
      <c r="Q59" s="14">
        <f t="shared" si="21"/>
        <v>0.02</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6"/>
      <c r="E60" s="14">
        <f t="shared" si="15"/>
        <v>0.02</v>
      </c>
      <c r="F60" s="706"/>
      <c r="G60" s="14">
        <f t="shared" si="16"/>
        <v>1</v>
      </c>
      <c r="H60" s="706"/>
      <c r="I60" s="14">
        <f t="shared" si="17"/>
        <v>1</v>
      </c>
      <c r="J60" s="706"/>
      <c r="K60" s="14">
        <f t="shared" si="18"/>
        <v>1</v>
      </c>
      <c r="L60" s="706"/>
      <c r="M60" s="14">
        <f t="shared" si="19"/>
        <v>1</v>
      </c>
      <c r="N60" s="706"/>
      <c r="O60" s="14">
        <f t="shared" si="20"/>
        <v>1</v>
      </c>
      <c r="P60" s="706"/>
      <c r="Q60" s="14">
        <f t="shared" si="21"/>
        <v>0.02</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6"/>
      <c r="E61" s="14">
        <f t="shared" si="15"/>
        <v>0.02</v>
      </c>
      <c r="F61" s="706"/>
      <c r="G61" s="14">
        <f t="shared" si="16"/>
        <v>1</v>
      </c>
      <c r="H61" s="706"/>
      <c r="I61" s="14">
        <f t="shared" si="17"/>
        <v>1</v>
      </c>
      <c r="J61" s="706"/>
      <c r="K61" s="14">
        <f t="shared" si="18"/>
        <v>1</v>
      </c>
      <c r="L61" s="706"/>
      <c r="M61" s="14">
        <f t="shared" si="19"/>
        <v>1</v>
      </c>
      <c r="N61" s="706"/>
      <c r="O61" s="14">
        <f t="shared" si="20"/>
        <v>1</v>
      </c>
      <c r="P61" s="706"/>
      <c r="Q61" s="14">
        <f t="shared" si="21"/>
        <v>0.02</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6"/>
      <c r="E62" s="14">
        <f t="shared" si="15"/>
        <v>0.02</v>
      </c>
      <c r="F62" s="706"/>
      <c r="G62" s="14">
        <f t="shared" si="16"/>
        <v>1</v>
      </c>
      <c r="H62" s="706"/>
      <c r="I62" s="14">
        <f t="shared" si="17"/>
        <v>1</v>
      </c>
      <c r="J62" s="706"/>
      <c r="K62" s="14">
        <f t="shared" si="18"/>
        <v>1</v>
      </c>
      <c r="L62" s="706"/>
      <c r="M62" s="14">
        <f t="shared" si="19"/>
        <v>1</v>
      </c>
      <c r="N62" s="706"/>
      <c r="O62" s="14">
        <f t="shared" si="20"/>
        <v>1</v>
      </c>
      <c r="P62" s="706"/>
      <c r="Q62" s="14">
        <f t="shared" si="21"/>
        <v>0.02</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6"/>
      <c r="E63" s="14">
        <f t="shared" si="15"/>
        <v>0.02</v>
      </c>
      <c r="F63" s="706"/>
      <c r="G63" s="14">
        <f t="shared" si="16"/>
        <v>1</v>
      </c>
      <c r="H63" s="706"/>
      <c r="I63" s="14">
        <f t="shared" si="17"/>
        <v>1</v>
      </c>
      <c r="J63" s="706"/>
      <c r="K63" s="14">
        <f t="shared" si="18"/>
        <v>1</v>
      </c>
      <c r="L63" s="706"/>
      <c r="M63" s="14">
        <f t="shared" si="19"/>
        <v>1</v>
      </c>
      <c r="N63" s="706"/>
      <c r="O63" s="14">
        <f t="shared" si="20"/>
        <v>1</v>
      </c>
      <c r="P63" s="706"/>
      <c r="Q63" s="14">
        <f t="shared" si="21"/>
        <v>0.02</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6"/>
      <c r="E64" s="14">
        <f t="shared" si="15"/>
        <v>0.02</v>
      </c>
      <c r="F64" s="706"/>
      <c r="G64" s="14">
        <f t="shared" si="16"/>
        <v>1</v>
      </c>
      <c r="H64" s="706"/>
      <c r="I64" s="14">
        <f t="shared" si="17"/>
        <v>1</v>
      </c>
      <c r="J64" s="706"/>
      <c r="K64" s="14">
        <f t="shared" si="18"/>
        <v>1</v>
      </c>
      <c r="L64" s="706"/>
      <c r="M64" s="14">
        <f t="shared" si="19"/>
        <v>1</v>
      </c>
      <c r="N64" s="706"/>
      <c r="O64" s="14">
        <f t="shared" si="20"/>
        <v>1</v>
      </c>
      <c r="P64" s="706"/>
      <c r="Q64" s="14">
        <f t="shared" si="21"/>
        <v>0.02</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6"/>
      <c r="E65" s="14">
        <f t="shared" si="15"/>
        <v>0.02</v>
      </c>
      <c r="F65" s="706"/>
      <c r="G65" s="14">
        <f t="shared" si="16"/>
        <v>1</v>
      </c>
      <c r="H65" s="706"/>
      <c r="I65" s="14">
        <f t="shared" si="17"/>
        <v>1</v>
      </c>
      <c r="J65" s="706"/>
      <c r="K65" s="14">
        <f t="shared" si="18"/>
        <v>1</v>
      </c>
      <c r="L65" s="706"/>
      <c r="M65" s="14">
        <f t="shared" si="19"/>
        <v>1</v>
      </c>
      <c r="N65" s="706"/>
      <c r="O65" s="14">
        <f t="shared" si="20"/>
        <v>1</v>
      </c>
      <c r="P65" s="706"/>
      <c r="Q65" s="14">
        <f t="shared" si="21"/>
        <v>0.02</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6"/>
      <c r="E66" s="14">
        <f t="shared" si="15"/>
        <v>0.02</v>
      </c>
      <c r="F66" s="706"/>
      <c r="G66" s="14">
        <f t="shared" si="16"/>
        <v>1</v>
      </c>
      <c r="H66" s="706"/>
      <c r="I66" s="14">
        <f t="shared" si="17"/>
        <v>1</v>
      </c>
      <c r="J66" s="706"/>
      <c r="K66" s="14">
        <f t="shared" si="18"/>
        <v>1</v>
      </c>
      <c r="L66" s="706"/>
      <c r="M66" s="14">
        <f t="shared" si="19"/>
        <v>1</v>
      </c>
      <c r="N66" s="706"/>
      <c r="O66" s="14">
        <f t="shared" si="20"/>
        <v>1</v>
      </c>
      <c r="P66" s="706"/>
      <c r="Q66" s="14">
        <f t="shared" si="21"/>
        <v>0.02</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6"/>
      <c r="E67" s="14">
        <f t="shared" si="15"/>
        <v>0.02</v>
      </c>
      <c r="F67" s="706"/>
      <c r="G67" s="14">
        <f t="shared" si="16"/>
        <v>1</v>
      </c>
      <c r="H67" s="706"/>
      <c r="I67" s="14">
        <f t="shared" si="17"/>
        <v>1</v>
      </c>
      <c r="J67" s="706"/>
      <c r="K67" s="14">
        <f t="shared" si="18"/>
        <v>1</v>
      </c>
      <c r="L67" s="706"/>
      <c r="M67" s="14">
        <f t="shared" si="19"/>
        <v>1</v>
      </c>
      <c r="N67" s="706"/>
      <c r="O67" s="14">
        <f t="shared" si="20"/>
        <v>1</v>
      </c>
      <c r="P67" s="706"/>
      <c r="Q67" s="14">
        <f t="shared" si="21"/>
        <v>0.02</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6"/>
      <c r="E68" s="14">
        <f t="shared" si="15"/>
        <v>0.02</v>
      </c>
      <c r="F68" s="706"/>
      <c r="G68" s="14">
        <f t="shared" si="16"/>
        <v>1</v>
      </c>
      <c r="H68" s="706"/>
      <c r="I68" s="14">
        <f t="shared" si="17"/>
        <v>1</v>
      </c>
      <c r="J68" s="706"/>
      <c r="K68" s="14">
        <f t="shared" si="18"/>
        <v>1</v>
      </c>
      <c r="L68" s="706"/>
      <c r="M68" s="14">
        <f t="shared" si="19"/>
        <v>1</v>
      </c>
      <c r="N68" s="706"/>
      <c r="O68" s="14">
        <f t="shared" si="20"/>
        <v>1</v>
      </c>
      <c r="P68" s="706"/>
      <c r="Q68" s="14">
        <f t="shared" si="21"/>
        <v>0.02</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6"/>
      <c r="E69" s="14">
        <f t="shared" si="15"/>
        <v>0.02</v>
      </c>
      <c r="F69" s="706"/>
      <c r="G69" s="14">
        <f t="shared" si="16"/>
        <v>1</v>
      </c>
      <c r="H69" s="706"/>
      <c r="I69" s="14">
        <f t="shared" si="17"/>
        <v>1</v>
      </c>
      <c r="J69" s="706"/>
      <c r="K69" s="14">
        <f t="shared" si="18"/>
        <v>1</v>
      </c>
      <c r="L69" s="706"/>
      <c r="M69" s="14">
        <f t="shared" si="19"/>
        <v>1</v>
      </c>
      <c r="N69" s="706"/>
      <c r="O69" s="14">
        <f t="shared" si="20"/>
        <v>1</v>
      </c>
      <c r="P69" s="706"/>
      <c r="Q69" s="14">
        <f t="shared" si="21"/>
        <v>0.02</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6"/>
      <c r="E70" s="14">
        <f t="shared" si="15"/>
        <v>0.02</v>
      </c>
      <c r="F70" s="706"/>
      <c r="G70" s="14">
        <f t="shared" si="16"/>
        <v>1</v>
      </c>
      <c r="H70" s="706"/>
      <c r="I70" s="14">
        <f t="shared" si="17"/>
        <v>1</v>
      </c>
      <c r="J70" s="706"/>
      <c r="K70" s="14">
        <f t="shared" si="18"/>
        <v>1</v>
      </c>
      <c r="L70" s="706"/>
      <c r="M70" s="14">
        <f t="shared" si="19"/>
        <v>1</v>
      </c>
      <c r="N70" s="706"/>
      <c r="O70" s="14">
        <f t="shared" si="20"/>
        <v>1</v>
      </c>
      <c r="P70" s="706"/>
      <c r="Q70" s="14">
        <f t="shared" si="21"/>
        <v>0.02</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6"/>
      <c r="E71" s="14">
        <f t="shared" si="15"/>
        <v>0.02</v>
      </c>
      <c r="F71" s="706"/>
      <c r="G71" s="14">
        <f t="shared" si="16"/>
        <v>1</v>
      </c>
      <c r="H71" s="706"/>
      <c r="I71" s="14">
        <f t="shared" si="17"/>
        <v>1</v>
      </c>
      <c r="J71" s="706"/>
      <c r="K71" s="14">
        <f t="shared" si="18"/>
        <v>1</v>
      </c>
      <c r="L71" s="706"/>
      <c r="M71" s="14">
        <f t="shared" si="19"/>
        <v>1</v>
      </c>
      <c r="N71" s="706"/>
      <c r="O71" s="14">
        <f t="shared" si="20"/>
        <v>1</v>
      </c>
      <c r="P71" s="706"/>
      <c r="Q71" s="14">
        <f t="shared" si="21"/>
        <v>0.02</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6"/>
      <c r="E72" s="14">
        <f t="shared" si="15"/>
        <v>0.02</v>
      </c>
      <c r="F72" s="706"/>
      <c r="G72" s="14">
        <f t="shared" si="16"/>
        <v>1</v>
      </c>
      <c r="H72" s="706"/>
      <c r="I72" s="14">
        <f t="shared" si="17"/>
        <v>1</v>
      </c>
      <c r="J72" s="706"/>
      <c r="K72" s="14">
        <f t="shared" si="18"/>
        <v>1</v>
      </c>
      <c r="L72" s="706"/>
      <c r="M72" s="14">
        <f t="shared" si="19"/>
        <v>1</v>
      </c>
      <c r="N72" s="706"/>
      <c r="O72" s="14">
        <f t="shared" si="20"/>
        <v>1</v>
      </c>
      <c r="P72" s="706"/>
      <c r="Q72" s="14">
        <f t="shared" si="21"/>
        <v>0.02</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6"/>
      <c r="E73" s="14">
        <f t="shared" si="15"/>
        <v>0.02</v>
      </c>
      <c r="F73" s="706"/>
      <c r="G73" s="14">
        <f t="shared" si="16"/>
        <v>1</v>
      </c>
      <c r="H73" s="706"/>
      <c r="I73" s="14">
        <f t="shared" si="17"/>
        <v>1</v>
      </c>
      <c r="J73" s="706"/>
      <c r="K73" s="14">
        <f t="shared" si="18"/>
        <v>1</v>
      </c>
      <c r="L73" s="706"/>
      <c r="M73" s="14">
        <f t="shared" si="19"/>
        <v>1</v>
      </c>
      <c r="N73" s="706"/>
      <c r="O73" s="14">
        <f t="shared" si="20"/>
        <v>1</v>
      </c>
      <c r="P73" s="706"/>
      <c r="Q73" s="14">
        <f t="shared" si="21"/>
        <v>0.02</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6"/>
      <c r="E74" s="14">
        <f t="shared" si="15"/>
        <v>0.02</v>
      </c>
      <c r="F74" s="706"/>
      <c r="G74" s="14">
        <f t="shared" si="16"/>
        <v>1</v>
      </c>
      <c r="H74" s="706"/>
      <c r="I74" s="14">
        <f t="shared" si="17"/>
        <v>1</v>
      </c>
      <c r="J74" s="706"/>
      <c r="K74" s="14">
        <f t="shared" si="18"/>
        <v>1</v>
      </c>
      <c r="L74" s="706"/>
      <c r="M74" s="14">
        <f t="shared" si="19"/>
        <v>1</v>
      </c>
      <c r="N74" s="706"/>
      <c r="O74" s="14">
        <f t="shared" si="20"/>
        <v>1</v>
      </c>
      <c r="P74" s="706"/>
      <c r="Q74" s="14">
        <f t="shared" si="21"/>
        <v>0.02</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6"/>
      <c r="E75" s="14">
        <f t="shared" si="15"/>
        <v>0.02</v>
      </c>
      <c r="F75" s="706"/>
      <c r="G75" s="14">
        <f t="shared" si="16"/>
        <v>1</v>
      </c>
      <c r="H75" s="706"/>
      <c r="I75" s="14">
        <f t="shared" si="17"/>
        <v>1</v>
      </c>
      <c r="J75" s="706"/>
      <c r="K75" s="14">
        <f t="shared" si="18"/>
        <v>1</v>
      </c>
      <c r="L75" s="706"/>
      <c r="M75" s="14">
        <f t="shared" si="19"/>
        <v>1</v>
      </c>
      <c r="N75" s="706"/>
      <c r="O75" s="14">
        <f t="shared" si="20"/>
        <v>1</v>
      </c>
      <c r="P75" s="706"/>
      <c r="Q75" s="14">
        <f t="shared" si="21"/>
        <v>0.02</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6"/>
      <c r="E76" s="14">
        <f t="shared" si="15"/>
        <v>0.02</v>
      </c>
      <c r="F76" s="706"/>
      <c r="G76" s="14">
        <f t="shared" si="16"/>
        <v>1</v>
      </c>
      <c r="H76" s="706"/>
      <c r="I76" s="14">
        <f t="shared" si="17"/>
        <v>1</v>
      </c>
      <c r="J76" s="706"/>
      <c r="K76" s="14">
        <f t="shared" si="18"/>
        <v>1</v>
      </c>
      <c r="L76" s="706"/>
      <c r="M76" s="14">
        <f t="shared" si="19"/>
        <v>1</v>
      </c>
      <c r="N76" s="706"/>
      <c r="O76" s="14">
        <f t="shared" si="20"/>
        <v>1</v>
      </c>
      <c r="P76" s="706"/>
      <c r="Q76" s="14">
        <f t="shared" si="21"/>
        <v>0.02</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6"/>
      <c r="E77" s="14">
        <f t="shared" si="15"/>
        <v>0.02</v>
      </c>
      <c r="F77" s="706"/>
      <c r="G77" s="14">
        <f t="shared" si="16"/>
        <v>1</v>
      </c>
      <c r="H77" s="706"/>
      <c r="I77" s="14">
        <f t="shared" si="17"/>
        <v>1</v>
      </c>
      <c r="J77" s="706"/>
      <c r="K77" s="14">
        <f t="shared" si="18"/>
        <v>1</v>
      </c>
      <c r="L77" s="706"/>
      <c r="M77" s="14">
        <f t="shared" si="19"/>
        <v>1</v>
      </c>
      <c r="N77" s="706"/>
      <c r="O77" s="14">
        <f t="shared" si="20"/>
        <v>1</v>
      </c>
      <c r="P77" s="706"/>
      <c r="Q77" s="14">
        <f t="shared" si="21"/>
        <v>0.02</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6"/>
      <c r="E78" s="14">
        <f t="shared" si="15"/>
        <v>0.02</v>
      </c>
      <c r="F78" s="706"/>
      <c r="G78" s="14">
        <f t="shared" si="16"/>
        <v>1</v>
      </c>
      <c r="H78" s="706"/>
      <c r="I78" s="14">
        <f t="shared" si="17"/>
        <v>1</v>
      </c>
      <c r="J78" s="706"/>
      <c r="K78" s="14">
        <f t="shared" si="18"/>
        <v>1</v>
      </c>
      <c r="L78" s="706"/>
      <c r="M78" s="14">
        <f t="shared" si="19"/>
        <v>1</v>
      </c>
      <c r="N78" s="706"/>
      <c r="O78" s="14">
        <f t="shared" si="20"/>
        <v>1</v>
      </c>
      <c r="P78" s="706"/>
      <c r="Q78" s="14">
        <f t="shared" si="21"/>
        <v>0.02</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6"/>
      <c r="E79" s="14">
        <f t="shared" si="15"/>
        <v>0.02</v>
      </c>
      <c r="F79" s="706"/>
      <c r="G79" s="14">
        <f t="shared" si="16"/>
        <v>1</v>
      </c>
      <c r="H79" s="706"/>
      <c r="I79" s="14">
        <f t="shared" si="17"/>
        <v>1</v>
      </c>
      <c r="J79" s="706"/>
      <c r="K79" s="14">
        <f t="shared" si="18"/>
        <v>1</v>
      </c>
      <c r="L79" s="706"/>
      <c r="M79" s="14">
        <f t="shared" si="19"/>
        <v>1</v>
      </c>
      <c r="N79" s="706"/>
      <c r="O79" s="14">
        <f t="shared" si="20"/>
        <v>1</v>
      </c>
      <c r="P79" s="706"/>
      <c r="Q79" s="14">
        <f t="shared" si="21"/>
        <v>0.02</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6"/>
      <c r="E80" s="14">
        <f t="shared" si="15"/>
        <v>0.02</v>
      </c>
      <c r="F80" s="706"/>
      <c r="G80" s="14">
        <f t="shared" si="16"/>
        <v>1</v>
      </c>
      <c r="H80" s="706"/>
      <c r="I80" s="14">
        <f t="shared" si="17"/>
        <v>1</v>
      </c>
      <c r="J80" s="706"/>
      <c r="K80" s="14">
        <f t="shared" si="18"/>
        <v>1</v>
      </c>
      <c r="L80" s="706"/>
      <c r="M80" s="14">
        <f t="shared" si="19"/>
        <v>1</v>
      </c>
      <c r="N80" s="706"/>
      <c r="O80" s="14">
        <f t="shared" si="20"/>
        <v>1</v>
      </c>
      <c r="P80" s="706"/>
      <c r="Q80" s="14">
        <f t="shared" si="21"/>
        <v>0.02</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6"/>
      <c r="E81" s="14">
        <f t="shared" si="15"/>
        <v>0.02</v>
      </c>
      <c r="F81" s="706"/>
      <c r="G81" s="14">
        <f t="shared" si="16"/>
        <v>1</v>
      </c>
      <c r="H81" s="706"/>
      <c r="I81" s="14">
        <f t="shared" si="17"/>
        <v>1</v>
      </c>
      <c r="J81" s="706"/>
      <c r="K81" s="14">
        <f t="shared" si="18"/>
        <v>1</v>
      </c>
      <c r="L81" s="706"/>
      <c r="M81" s="14">
        <f t="shared" si="19"/>
        <v>1</v>
      </c>
      <c r="N81" s="706"/>
      <c r="O81" s="14">
        <f t="shared" si="20"/>
        <v>1</v>
      </c>
      <c r="P81" s="706"/>
      <c r="Q81" s="14">
        <f t="shared" si="21"/>
        <v>0.02</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6"/>
      <c r="E82" s="14">
        <f t="shared" si="15"/>
        <v>0.02</v>
      </c>
      <c r="F82" s="706"/>
      <c r="G82" s="14">
        <f t="shared" si="16"/>
        <v>1</v>
      </c>
      <c r="H82" s="706"/>
      <c r="I82" s="14">
        <f t="shared" si="17"/>
        <v>1</v>
      </c>
      <c r="J82" s="706"/>
      <c r="K82" s="14">
        <f t="shared" si="18"/>
        <v>1</v>
      </c>
      <c r="L82" s="706"/>
      <c r="M82" s="14">
        <f t="shared" si="19"/>
        <v>1</v>
      </c>
      <c r="N82" s="706"/>
      <c r="O82" s="14">
        <f t="shared" si="20"/>
        <v>1</v>
      </c>
      <c r="P82" s="706"/>
      <c r="Q82" s="14">
        <f t="shared" si="21"/>
        <v>0.02</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6"/>
      <c r="E83" s="14">
        <f t="shared" si="15"/>
        <v>0.02</v>
      </c>
      <c r="F83" s="706"/>
      <c r="G83" s="14">
        <f t="shared" si="16"/>
        <v>1</v>
      </c>
      <c r="H83" s="706"/>
      <c r="I83" s="14">
        <f t="shared" si="17"/>
        <v>1</v>
      </c>
      <c r="J83" s="706"/>
      <c r="K83" s="14">
        <f t="shared" si="18"/>
        <v>1</v>
      </c>
      <c r="L83" s="706"/>
      <c r="M83" s="14">
        <f t="shared" si="19"/>
        <v>1</v>
      </c>
      <c r="N83" s="706"/>
      <c r="O83" s="14">
        <f t="shared" si="20"/>
        <v>1</v>
      </c>
      <c r="P83" s="706"/>
      <c r="Q83" s="14">
        <f t="shared" si="21"/>
        <v>0.02</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6"/>
      <c r="E84" s="14">
        <f t="shared" si="15"/>
        <v>0.02</v>
      </c>
      <c r="F84" s="706"/>
      <c r="G84" s="14">
        <f t="shared" si="16"/>
        <v>1</v>
      </c>
      <c r="H84" s="706"/>
      <c r="I84" s="14">
        <f t="shared" si="17"/>
        <v>1</v>
      </c>
      <c r="J84" s="706"/>
      <c r="K84" s="14">
        <f t="shared" si="18"/>
        <v>1</v>
      </c>
      <c r="L84" s="706"/>
      <c r="M84" s="14">
        <f t="shared" si="19"/>
        <v>1</v>
      </c>
      <c r="N84" s="706"/>
      <c r="O84" s="14">
        <f t="shared" si="20"/>
        <v>1</v>
      </c>
      <c r="P84" s="706"/>
      <c r="Q84" s="14">
        <f t="shared" si="21"/>
        <v>0.02</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6"/>
      <c r="E85" s="14">
        <f t="shared" si="15"/>
        <v>0.02</v>
      </c>
      <c r="F85" s="706"/>
      <c r="G85" s="14">
        <f t="shared" si="16"/>
        <v>1</v>
      </c>
      <c r="H85" s="706"/>
      <c r="I85" s="14">
        <f t="shared" si="17"/>
        <v>1</v>
      </c>
      <c r="J85" s="706"/>
      <c r="K85" s="14">
        <f t="shared" si="18"/>
        <v>1</v>
      </c>
      <c r="L85" s="706"/>
      <c r="M85" s="14">
        <f t="shared" si="19"/>
        <v>1</v>
      </c>
      <c r="N85" s="706"/>
      <c r="O85" s="14">
        <f t="shared" si="20"/>
        <v>1</v>
      </c>
      <c r="P85" s="706"/>
      <c r="Q85" s="14">
        <f t="shared" si="21"/>
        <v>0.02</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6"/>
      <c r="E86" s="14">
        <f t="shared" si="15"/>
        <v>0.02</v>
      </c>
      <c r="F86" s="706"/>
      <c r="G86" s="14">
        <f t="shared" si="16"/>
        <v>1</v>
      </c>
      <c r="H86" s="706"/>
      <c r="I86" s="14">
        <f t="shared" si="17"/>
        <v>1</v>
      </c>
      <c r="J86" s="706"/>
      <c r="K86" s="14">
        <f t="shared" si="18"/>
        <v>1</v>
      </c>
      <c r="L86" s="706"/>
      <c r="M86" s="14">
        <f t="shared" si="19"/>
        <v>1</v>
      </c>
      <c r="N86" s="706"/>
      <c r="O86" s="14">
        <f t="shared" si="20"/>
        <v>1</v>
      </c>
      <c r="P86" s="706"/>
      <c r="Q86" s="14">
        <f t="shared" si="21"/>
        <v>0.02</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6"/>
      <c r="E87" s="14">
        <f t="shared" si="15"/>
        <v>0.02</v>
      </c>
      <c r="F87" s="706"/>
      <c r="G87" s="14">
        <f t="shared" si="16"/>
        <v>1</v>
      </c>
      <c r="H87" s="706"/>
      <c r="I87" s="14">
        <f t="shared" si="17"/>
        <v>1</v>
      </c>
      <c r="J87" s="706"/>
      <c r="K87" s="14">
        <f t="shared" si="18"/>
        <v>1</v>
      </c>
      <c r="L87" s="706"/>
      <c r="M87" s="14">
        <f t="shared" si="19"/>
        <v>1</v>
      </c>
      <c r="N87" s="706"/>
      <c r="O87" s="14">
        <f t="shared" si="20"/>
        <v>1</v>
      </c>
      <c r="P87" s="706"/>
      <c r="Q87" s="14">
        <f t="shared" si="21"/>
        <v>0.02</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6"/>
      <c r="E88" s="14">
        <f t="shared" si="15"/>
        <v>0.02</v>
      </c>
      <c r="F88" s="706"/>
      <c r="G88" s="14">
        <f t="shared" si="16"/>
        <v>1</v>
      </c>
      <c r="H88" s="706"/>
      <c r="I88" s="14">
        <f t="shared" si="17"/>
        <v>1</v>
      </c>
      <c r="J88" s="706"/>
      <c r="K88" s="14">
        <f t="shared" si="18"/>
        <v>1</v>
      </c>
      <c r="L88" s="706"/>
      <c r="M88" s="14">
        <f t="shared" si="19"/>
        <v>1</v>
      </c>
      <c r="N88" s="706"/>
      <c r="O88" s="14">
        <f t="shared" si="20"/>
        <v>1</v>
      </c>
      <c r="P88" s="706"/>
      <c r="Q88" s="14">
        <f t="shared" si="21"/>
        <v>0.02</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6"/>
      <c r="E89" s="14">
        <f t="shared" si="15"/>
        <v>0.02</v>
      </c>
      <c r="F89" s="706"/>
      <c r="G89" s="14">
        <f t="shared" si="16"/>
        <v>1</v>
      </c>
      <c r="H89" s="706"/>
      <c r="I89" s="14">
        <f t="shared" si="17"/>
        <v>1</v>
      </c>
      <c r="J89" s="706"/>
      <c r="K89" s="14">
        <f t="shared" si="18"/>
        <v>1</v>
      </c>
      <c r="L89" s="706"/>
      <c r="M89" s="14">
        <f t="shared" si="19"/>
        <v>1</v>
      </c>
      <c r="N89" s="706"/>
      <c r="O89" s="14">
        <f t="shared" si="20"/>
        <v>1</v>
      </c>
      <c r="P89" s="706"/>
      <c r="Q89" s="14">
        <f t="shared" si="21"/>
        <v>0.02</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6"/>
      <c r="E90" s="14">
        <f t="shared" si="15"/>
        <v>0.02</v>
      </c>
      <c r="F90" s="706"/>
      <c r="G90" s="14">
        <f t="shared" si="16"/>
        <v>1</v>
      </c>
      <c r="H90" s="706"/>
      <c r="I90" s="14">
        <f t="shared" si="17"/>
        <v>1</v>
      </c>
      <c r="J90" s="706"/>
      <c r="K90" s="14">
        <f t="shared" si="18"/>
        <v>1</v>
      </c>
      <c r="L90" s="706"/>
      <c r="M90" s="14">
        <f t="shared" si="19"/>
        <v>1</v>
      </c>
      <c r="N90" s="706"/>
      <c r="O90" s="14">
        <f t="shared" si="20"/>
        <v>1</v>
      </c>
      <c r="P90" s="706"/>
      <c r="Q90" s="14">
        <f t="shared" si="21"/>
        <v>0.02</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6"/>
      <c r="E91" s="14">
        <f t="shared" si="15"/>
        <v>0.02</v>
      </c>
      <c r="F91" s="706"/>
      <c r="G91" s="14">
        <f t="shared" si="16"/>
        <v>1</v>
      </c>
      <c r="H91" s="706"/>
      <c r="I91" s="14">
        <f t="shared" si="17"/>
        <v>1</v>
      </c>
      <c r="J91" s="706"/>
      <c r="K91" s="14">
        <f t="shared" si="18"/>
        <v>1</v>
      </c>
      <c r="L91" s="706"/>
      <c r="M91" s="14">
        <f t="shared" si="19"/>
        <v>1</v>
      </c>
      <c r="N91" s="706"/>
      <c r="O91" s="14">
        <f t="shared" si="20"/>
        <v>1</v>
      </c>
      <c r="P91" s="706"/>
      <c r="Q91" s="14">
        <f t="shared" si="21"/>
        <v>0.02</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6"/>
      <c r="E92" s="14">
        <f t="shared" ref="E92:E155" si="30">(SUMIF($8:$8,D92,$9:$9)-SUMIF($8:$8,$D$27,$9:$9)+100)/100</f>
        <v>0.02</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0.02</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6"/>
      <c r="E93" s="14">
        <f t="shared" si="30"/>
        <v>0.02</v>
      </c>
      <c r="F93" s="706"/>
      <c r="G93" s="14">
        <f t="shared" si="31"/>
        <v>1</v>
      </c>
      <c r="H93" s="706"/>
      <c r="I93" s="14">
        <f t="shared" si="32"/>
        <v>1</v>
      </c>
      <c r="J93" s="706"/>
      <c r="K93" s="14">
        <f t="shared" si="33"/>
        <v>1</v>
      </c>
      <c r="L93" s="706"/>
      <c r="M93" s="14">
        <f t="shared" si="34"/>
        <v>1</v>
      </c>
      <c r="N93" s="706"/>
      <c r="O93" s="14">
        <f t="shared" si="35"/>
        <v>1</v>
      </c>
      <c r="P93" s="706"/>
      <c r="Q93" s="14">
        <f t="shared" si="36"/>
        <v>0.02</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6"/>
      <c r="E94" s="14">
        <f t="shared" si="30"/>
        <v>0.02</v>
      </c>
      <c r="F94" s="706"/>
      <c r="G94" s="14">
        <f t="shared" si="31"/>
        <v>1</v>
      </c>
      <c r="H94" s="706"/>
      <c r="I94" s="14">
        <f t="shared" si="32"/>
        <v>1</v>
      </c>
      <c r="J94" s="706"/>
      <c r="K94" s="14">
        <f t="shared" si="33"/>
        <v>1</v>
      </c>
      <c r="L94" s="706"/>
      <c r="M94" s="14">
        <f t="shared" si="34"/>
        <v>1</v>
      </c>
      <c r="N94" s="706"/>
      <c r="O94" s="14">
        <f t="shared" si="35"/>
        <v>1</v>
      </c>
      <c r="P94" s="706"/>
      <c r="Q94" s="14">
        <f t="shared" si="36"/>
        <v>0.02</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6"/>
      <c r="E95" s="14">
        <f t="shared" si="30"/>
        <v>0.02</v>
      </c>
      <c r="F95" s="706"/>
      <c r="G95" s="14">
        <f t="shared" si="31"/>
        <v>1</v>
      </c>
      <c r="H95" s="706"/>
      <c r="I95" s="14">
        <f t="shared" si="32"/>
        <v>1</v>
      </c>
      <c r="J95" s="706"/>
      <c r="K95" s="14">
        <f t="shared" si="33"/>
        <v>1</v>
      </c>
      <c r="L95" s="706"/>
      <c r="M95" s="14">
        <f t="shared" si="34"/>
        <v>1</v>
      </c>
      <c r="N95" s="706"/>
      <c r="O95" s="14">
        <f t="shared" si="35"/>
        <v>1</v>
      </c>
      <c r="P95" s="706"/>
      <c r="Q95" s="14">
        <f t="shared" si="36"/>
        <v>0.02</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6"/>
      <c r="E96" s="14">
        <f t="shared" si="30"/>
        <v>0.02</v>
      </c>
      <c r="F96" s="706"/>
      <c r="G96" s="14">
        <f t="shared" si="31"/>
        <v>1</v>
      </c>
      <c r="H96" s="706"/>
      <c r="I96" s="14">
        <f t="shared" si="32"/>
        <v>1</v>
      </c>
      <c r="J96" s="706"/>
      <c r="K96" s="14">
        <f t="shared" si="33"/>
        <v>1</v>
      </c>
      <c r="L96" s="706"/>
      <c r="M96" s="14">
        <f t="shared" si="34"/>
        <v>1</v>
      </c>
      <c r="N96" s="706"/>
      <c r="O96" s="14">
        <f t="shared" si="35"/>
        <v>1</v>
      </c>
      <c r="P96" s="706"/>
      <c r="Q96" s="14">
        <f t="shared" si="36"/>
        <v>0.02</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6"/>
      <c r="E97" s="14">
        <f t="shared" si="30"/>
        <v>0.02</v>
      </c>
      <c r="F97" s="706"/>
      <c r="G97" s="14">
        <f t="shared" si="31"/>
        <v>1</v>
      </c>
      <c r="H97" s="706"/>
      <c r="I97" s="14">
        <f t="shared" si="32"/>
        <v>1</v>
      </c>
      <c r="J97" s="706"/>
      <c r="K97" s="14">
        <f t="shared" si="33"/>
        <v>1</v>
      </c>
      <c r="L97" s="706"/>
      <c r="M97" s="14">
        <f t="shared" si="34"/>
        <v>1</v>
      </c>
      <c r="N97" s="706"/>
      <c r="O97" s="14">
        <f t="shared" si="35"/>
        <v>1</v>
      </c>
      <c r="P97" s="706"/>
      <c r="Q97" s="14">
        <f t="shared" si="36"/>
        <v>0.02</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6"/>
      <c r="E98" s="14">
        <f t="shared" si="30"/>
        <v>0.02</v>
      </c>
      <c r="F98" s="706"/>
      <c r="G98" s="14">
        <f t="shared" si="31"/>
        <v>1</v>
      </c>
      <c r="H98" s="706"/>
      <c r="I98" s="14">
        <f t="shared" si="32"/>
        <v>1</v>
      </c>
      <c r="J98" s="706"/>
      <c r="K98" s="14">
        <f t="shared" si="33"/>
        <v>1</v>
      </c>
      <c r="L98" s="706"/>
      <c r="M98" s="14">
        <f t="shared" si="34"/>
        <v>1</v>
      </c>
      <c r="N98" s="706"/>
      <c r="O98" s="14">
        <f t="shared" si="35"/>
        <v>1</v>
      </c>
      <c r="P98" s="706"/>
      <c r="Q98" s="14">
        <f t="shared" si="36"/>
        <v>0.02</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6"/>
      <c r="E99" s="14">
        <f t="shared" si="30"/>
        <v>0.02</v>
      </c>
      <c r="F99" s="706"/>
      <c r="G99" s="14">
        <f t="shared" si="31"/>
        <v>1</v>
      </c>
      <c r="H99" s="706"/>
      <c r="I99" s="14">
        <f t="shared" si="32"/>
        <v>1</v>
      </c>
      <c r="J99" s="706"/>
      <c r="K99" s="14">
        <f t="shared" si="33"/>
        <v>1</v>
      </c>
      <c r="L99" s="706"/>
      <c r="M99" s="14">
        <f t="shared" si="34"/>
        <v>1</v>
      </c>
      <c r="N99" s="706"/>
      <c r="O99" s="14">
        <f t="shared" si="35"/>
        <v>1</v>
      </c>
      <c r="P99" s="706"/>
      <c r="Q99" s="14">
        <f t="shared" si="36"/>
        <v>0.02</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6"/>
      <c r="E100" s="14">
        <f t="shared" si="30"/>
        <v>0.02</v>
      </c>
      <c r="F100" s="706"/>
      <c r="G100" s="14">
        <f t="shared" si="31"/>
        <v>1</v>
      </c>
      <c r="H100" s="706"/>
      <c r="I100" s="14">
        <f t="shared" si="32"/>
        <v>1</v>
      </c>
      <c r="J100" s="706"/>
      <c r="K100" s="14">
        <f t="shared" si="33"/>
        <v>1</v>
      </c>
      <c r="L100" s="706"/>
      <c r="M100" s="14">
        <f t="shared" si="34"/>
        <v>1</v>
      </c>
      <c r="N100" s="706"/>
      <c r="O100" s="14">
        <f t="shared" si="35"/>
        <v>1</v>
      </c>
      <c r="P100" s="706"/>
      <c r="Q100" s="14">
        <f t="shared" si="36"/>
        <v>0.02</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6"/>
      <c r="E101" s="14">
        <f t="shared" si="30"/>
        <v>0.02</v>
      </c>
      <c r="F101" s="706"/>
      <c r="G101" s="14">
        <f t="shared" si="31"/>
        <v>1</v>
      </c>
      <c r="H101" s="706"/>
      <c r="I101" s="14">
        <f t="shared" si="32"/>
        <v>1</v>
      </c>
      <c r="J101" s="706"/>
      <c r="K101" s="14">
        <f t="shared" si="33"/>
        <v>1</v>
      </c>
      <c r="L101" s="706"/>
      <c r="M101" s="14">
        <f t="shared" si="34"/>
        <v>1</v>
      </c>
      <c r="N101" s="706"/>
      <c r="O101" s="14">
        <f t="shared" si="35"/>
        <v>1</v>
      </c>
      <c r="P101" s="706"/>
      <c r="Q101" s="14">
        <f t="shared" si="36"/>
        <v>0.02</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6"/>
      <c r="E102" s="14">
        <f t="shared" si="30"/>
        <v>0.02</v>
      </c>
      <c r="F102" s="706"/>
      <c r="G102" s="14">
        <f t="shared" si="31"/>
        <v>1</v>
      </c>
      <c r="H102" s="706"/>
      <c r="I102" s="14">
        <f t="shared" si="32"/>
        <v>1</v>
      </c>
      <c r="J102" s="706"/>
      <c r="K102" s="14">
        <f t="shared" si="33"/>
        <v>1</v>
      </c>
      <c r="L102" s="706"/>
      <c r="M102" s="14">
        <f t="shared" si="34"/>
        <v>1</v>
      </c>
      <c r="N102" s="706"/>
      <c r="O102" s="14">
        <f t="shared" si="35"/>
        <v>1</v>
      </c>
      <c r="P102" s="706"/>
      <c r="Q102" s="14">
        <f t="shared" si="36"/>
        <v>0.02</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6"/>
      <c r="E103" s="14">
        <f t="shared" si="30"/>
        <v>0.02</v>
      </c>
      <c r="F103" s="706"/>
      <c r="G103" s="14">
        <f t="shared" si="31"/>
        <v>1</v>
      </c>
      <c r="H103" s="706"/>
      <c r="I103" s="14">
        <f t="shared" si="32"/>
        <v>1</v>
      </c>
      <c r="J103" s="706"/>
      <c r="K103" s="14">
        <f t="shared" si="33"/>
        <v>1</v>
      </c>
      <c r="L103" s="706"/>
      <c r="M103" s="14">
        <f t="shared" si="34"/>
        <v>1</v>
      </c>
      <c r="N103" s="706"/>
      <c r="O103" s="14">
        <f t="shared" si="35"/>
        <v>1</v>
      </c>
      <c r="P103" s="706"/>
      <c r="Q103" s="14">
        <f t="shared" si="36"/>
        <v>0.02</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6"/>
      <c r="E104" s="14">
        <f t="shared" si="30"/>
        <v>0.02</v>
      </c>
      <c r="F104" s="706"/>
      <c r="G104" s="14">
        <f t="shared" si="31"/>
        <v>1</v>
      </c>
      <c r="H104" s="706"/>
      <c r="I104" s="14">
        <f t="shared" si="32"/>
        <v>1</v>
      </c>
      <c r="J104" s="706"/>
      <c r="K104" s="14">
        <f t="shared" si="33"/>
        <v>1</v>
      </c>
      <c r="L104" s="706"/>
      <c r="M104" s="14">
        <f t="shared" si="34"/>
        <v>1</v>
      </c>
      <c r="N104" s="706"/>
      <c r="O104" s="14">
        <f t="shared" si="35"/>
        <v>1</v>
      </c>
      <c r="P104" s="706"/>
      <c r="Q104" s="14">
        <f t="shared" si="36"/>
        <v>0.02</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6"/>
      <c r="E105" s="14">
        <f t="shared" si="30"/>
        <v>0.02</v>
      </c>
      <c r="F105" s="706"/>
      <c r="G105" s="14">
        <f t="shared" si="31"/>
        <v>1</v>
      </c>
      <c r="H105" s="706"/>
      <c r="I105" s="14">
        <f t="shared" si="32"/>
        <v>1</v>
      </c>
      <c r="J105" s="706"/>
      <c r="K105" s="14">
        <f t="shared" si="33"/>
        <v>1</v>
      </c>
      <c r="L105" s="706"/>
      <c r="M105" s="14">
        <f t="shared" si="34"/>
        <v>1</v>
      </c>
      <c r="N105" s="706"/>
      <c r="O105" s="14">
        <f t="shared" si="35"/>
        <v>1</v>
      </c>
      <c r="P105" s="706"/>
      <c r="Q105" s="14">
        <f t="shared" si="36"/>
        <v>0.02</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6"/>
      <c r="E106" s="14">
        <f t="shared" si="30"/>
        <v>0.02</v>
      </c>
      <c r="F106" s="706"/>
      <c r="G106" s="14">
        <f t="shared" si="31"/>
        <v>1</v>
      </c>
      <c r="H106" s="706"/>
      <c r="I106" s="14">
        <f t="shared" si="32"/>
        <v>1</v>
      </c>
      <c r="J106" s="706"/>
      <c r="K106" s="14">
        <f t="shared" si="33"/>
        <v>1</v>
      </c>
      <c r="L106" s="706"/>
      <c r="M106" s="14">
        <f t="shared" si="34"/>
        <v>1</v>
      </c>
      <c r="N106" s="706"/>
      <c r="O106" s="14">
        <f t="shared" si="35"/>
        <v>1</v>
      </c>
      <c r="P106" s="706"/>
      <c r="Q106" s="14">
        <f t="shared" si="36"/>
        <v>0.02</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6"/>
      <c r="E107" s="14">
        <f t="shared" si="30"/>
        <v>0.02</v>
      </c>
      <c r="F107" s="706"/>
      <c r="G107" s="14">
        <f t="shared" si="31"/>
        <v>1</v>
      </c>
      <c r="H107" s="706"/>
      <c r="I107" s="14">
        <f t="shared" si="32"/>
        <v>1</v>
      </c>
      <c r="J107" s="706"/>
      <c r="K107" s="14">
        <f t="shared" si="33"/>
        <v>1</v>
      </c>
      <c r="L107" s="706"/>
      <c r="M107" s="14">
        <f t="shared" si="34"/>
        <v>1</v>
      </c>
      <c r="N107" s="706"/>
      <c r="O107" s="14">
        <f t="shared" si="35"/>
        <v>1</v>
      </c>
      <c r="P107" s="706"/>
      <c r="Q107" s="14">
        <f t="shared" si="36"/>
        <v>0.02</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6"/>
      <c r="E108" s="14">
        <f t="shared" si="30"/>
        <v>0.02</v>
      </c>
      <c r="F108" s="706"/>
      <c r="G108" s="14">
        <f t="shared" si="31"/>
        <v>1</v>
      </c>
      <c r="H108" s="706"/>
      <c r="I108" s="14">
        <f t="shared" si="32"/>
        <v>1</v>
      </c>
      <c r="J108" s="706"/>
      <c r="K108" s="14">
        <f t="shared" si="33"/>
        <v>1</v>
      </c>
      <c r="L108" s="706"/>
      <c r="M108" s="14">
        <f t="shared" si="34"/>
        <v>1</v>
      </c>
      <c r="N108" s="706"/>
      <c r="O108" s="14">
        <f t="shared" si="35"/>
        <v>1</v>
      </c>
      <c r="P108" s="706"/>
      <c r="Q108" s="14">
        <f t="shared" si="36"/>
        <v>0.02</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6"/>
      <c r="E109" s="14">
        <f t="shared" si="30"/>
        <v>0.02</v>
      </c>
      <c r="F109" s="706"/>
      <c r="G109" s="14">
        <f t="shared" si="31"/>
        <v>1</v>
      </c>
      <c r="H109" s="706"/>
      <c r="I109" s="14">
        <f t="shared" si="32"/>
        <v>1</v>
      </c>
      <c r="J109" s="706"/>
      <c r="K109" s="14">
        <f t="shared" si="33"/>
        <v>1</v>
      </c>
      <c r="L109" s="706"/>
      <c r="M109" s="14">
        <f t="shared" si="34"/>
        <v>1</v>
      </c>
      <c r="N109" s="706"/>
      <c r="O109" s="14">
        <f t="shared" si="35"/>
        <v>1</v>
      </c>
      <c r="P109" s="706"/>
      <c r="Q109" s="14">
        <f t="shared" si="36"/>
        <v>0.02</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6"/>
      <c r="E110" s="14">
        <f t="shared" si="30"/>
        <v>0.02</v>
      </c>
      <c r="F110" s="706"/>
      <c r="G110" s="14">
        <f t="shared" si="31"/>
        <v>1</v>
      </c>
      <c r="H110" s="706"/>
      <c r="I110" s="14">
        <f t="shared" si="32"/>
        <v>1</v>
      </c>
      <c r="J110" s="706"/>
      <c r="K110" s="14">
        <f t="shared" si="33"/>
        <v>1</v>
      </c>
      <c r="L110" s="706"/>
      <c r="M110" s="14">
        <f t="shared" si="34"/>
        <v>1</v>
      </c>
      <c r="N110" s="706"/>
      <c r="O110" s="14">
        <f t="shared" si="35"/>
        <v>1</v>
      </c>
      <c r="P110" s="706"/>
      <c r="Q110" s="14">
        <f t="shared" si="36"/>
        <v>0.02</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6"/>
      <c r="E111" s="14">
        <f t="shared" si="30"/>
        <v>0.02</v>
      </c>
      <c r="F111" s="706"/>
      <c r="G111" s="14">
        <f t="shared" si="31"/>
        <v>1</v>
      </c>
      <c r="H111" s="706"/>
      <c r="I111" s="14">
        <f t="shared" si="32"/>
        <v>1</v>
      </c>
      <c r="J111" s="706"/>
      <c r="K111" s="14">
        <f t="shared" si="33"/>
        <v>1</v>
      </c>
      <c r="L111" s="706"/>
      <c r="M111" s="14">
        <f t="shared" si="34"/>
        <v>1</v>
      </c>
      <c r="N111" s="706"/>
      <c r="O111" s="14">
        <f t="shared" si="35"/>
        <v>1</v>
      </c>
      <c r="P111" s="706"/>
      <c r="Q111" s="14">
        <f t="shared" si="36"/>
        <v>0.02</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6"/>
      <c r="E112" s="14">
        <f t="shared" si="30"/>
        <v>0.02</v>
      </c>
      <c r="F112" s="706"/>
      <c r="G112" s="14">
        <f t="shared" si="31"/>
        <v>1</v>
      </c>
      <c r="H112" s="706"/>
      <c r="I112" s="14">
        <f t="shared" si="32"/>
        <v>1</v>
      </c>
      <c r="J112" s="706"/>
      <c r="K112" s="14">
        <f t="shared" si="33"/>
        <v>1</v>
      </c>
      <c r="L112" s="706"/>
      <c r="M112" s="14">
        <f t="shared" si="34"/>
        <v>1</v>
      </c>
      <c r="N112" s="706"/>
      <c r="O112" s="14">
        <f t="shared" si="35"/>
        <v>1</v>
      </c>
      <c r="P112" s="706"/>
      <c r="Q112" s="14">
        <f t="shared" si="36"/>
        <v>0.02</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6"/>
      <c r="E113" s="14">
        <f t="shared" si="30"/>
        <v>0.02</v>
      </c>
      <c r="F113" s="706"/>
      <c r="G113" s="14">
        <f t="shared" si="31"/>
        <v>1</v>
      </c>
      <c r="H113" s="706"/>
      <c r="I113" s="14">
        <f t="shared" si="32"/>
        <v>1</v>
      </c>
      <c r="J113" s="706"/>
      <c r="K113" s="14">
        <f t="shared" si="33"/>
        <v>1</v>
      </c>
      <c r="L113" s="706"/>
      <c r="M113" s="14">
        <f t="shared" si="34"/>
        <v>1</v>
      </c>
      <c r="N113" s="706"/>
      <c r="O113" s="14">
        <f t="shared" si="35"/>
        <v>1</v>
      </c>
      <c r="P113" s="706"/>
      <c r="Q113" s="14">
        <f t="shared" si="36"/>
        <v>0.02</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6"/>
      <c r="E114" s="14">
        <f t="shared" si="30"/>
        <v>0.02</v>
      </c>
      <c r="F114" s="706"/>
      <c r="G114" s="14">
        <f t="shared" si="31"/>
        <v>1</v>
      </c>
      <c r="H114" s="706"/>
      <c r="I114" s="14">
        <f t="shared" si="32"/>
        <v>1</v>
      </c>
      <c r="J114" s="706"/>
      <c r="K114" s="14">
        <f t="shared" si="33"/>
        <v>1</v>
      </c>
      <c r="L114" s="706"/>
      <c r="M114" s="14">
        <f t="shared" si="34"/>
        <v>1</v>
      </c>
      <c r="N114" s="706"/>
      <c r="O114" s="14">
        <f t="shared" si="35"/>
        <v>1</v>
      </c>
      <c r="P114" s="706"/>
      <c r="Q114" s="14">
        <f t="shared" si="36"/>
        <v>0.02</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6"/>
      <c r="E115" s="14">
        <f t="shared" si="30"/>
        <v>0.02</v>
      </c>
      <c r="F115" s="706"/>
      <c r="G115" s="14">
        <f t="shared" si="31"/>
        <v>1</v>
      </c>
      <c r="H115" s="706"/>
      <c r="I115" s="14">
        <f t="shared" si="32"/>
        <v>1</v>
      </c>
      <c r="J115" s="706"/>
      <c r="K115" s="14">
        <f t="shared" si="33"/>
        <v>1</v>
      </c>
      <c r="L115" s="706"/>
      <c r="M115" s="14">
        <f t="shared" si="34"/>
        <v>1</v>
      </c>
      <c r="N115" s="706"/>
      <c r="O115" s="14">
        <f t="shared" si="35"/>
        <v>1</v>
      </c>
      <c r="P115" s="706"/>
      <c r="Q115" s="14">
        <f t="shared" si="36"/>
        <v>0.02</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6"/>
      <c r="E116" s="14">
        <f t="shared" si="30"/>
        <v>0.02</v>
      </c>
      <c r="F116" s="706"/>
      <c r="G116" s="14">
        <f t="shared" si="31"/>
        <v>1</v>
      </c>
      <c r="H116" s="706"/>
      <c r="I116" s="14">
        <f t="shared" si="32"/>
        <v>1</v>
      </c>
      <c r="J116" s="706"/>
      <c r="K116" s="14">
        <f t="shared" si="33"/>
        <v>1</v>
      </c>
      <c r="L116" s="706"/>
      <c r="M116" s="14">
        <f t="shared" si="34"/>
        <v>1</v>
      </c>
      <c r="N116" s="706"/>
      <c r="O116" s="14">
        <f t="shared" si="35"/>
        <v>1</v>
      </c>
      <c r="P116" s="706"/>
      <c r="Q116" s="14">
        <f t="shared" si="36"/>
        <v>0.02</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6"/>
      <c r="E117" s="14">
        <f t="shared" si="30"/>
        <v>0.02</v>
      </c>
      <c r="F117" s="706"/>
      <c r="G117" s="14">
        <f t="shared" si="31"/>
        <v>1</v>
      </c>
      <c r="H117" s="706"/>
      <c r="I117" s="14">
        <f t="shared" si="32"/>
        <v>1</v>
      </c>
      <c r="J117" s="706"/>
      <c r="K117" s="14">
        <f t="shared" si="33"/>
        <v>1</v>
      </c>
      <c r="L117" s="706"/>
      <c r="M117" s="14">
        <f t="shared" si="34"/>
        <v>1</v>
      </c>
      <c r="N117" s="706"/>
      <c r="O117" s="14">
        <f t="shared" si="35"/>
        <v>1</v>
      </c>
      <c r="P117" s="706"/>
      <c r="Q117" s="14">
        <f t="shared" si="36"/>
        <v>0.02</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6"/>
      <c r="E118" s="14">
        <f t="shared" si="30"/>
        <v>0.02</v>
      </c>
      <c r="F118" s="706"/>
      <c r="G118" s="14">
        <f t="shared" si="31"/>
        <v>1</v>
      </c>
      <c r="H118" s="706"/>
      <c r="I118" s="14">
        <f t="shared" si="32"/>
        <v>1</v>
      </c>
      <c r="J118" s="706"/>
      <c r="K118" s="14">
        <f t="shared" si="33"/>
        <v>1</v>
      </c>
      <c r="L118" s="706"/>
      <c r="M118" s="14">
        <f t="shared" si="34"/>
        <v>1</v>
      </c>
      <c r="N118" s="706"/>
      <c r="O118" s="14">
        <f t="shared" si="35"/>
        <v>1</v>
      </c>
      <c r="P118" s="706"/>
      <c r="Q118" s="14">
        <f t="shared" si="36"/>
        <v>0.02</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6"/>
      <c r="E119" s="14">
        <f t="shared" si="30"/>
        <v>0.02</v>
      </c>
      <c r="F119" s="706"/>
      <c r="G119" s="14">
        <f t="shared" si="31"/>
        <v>1</v>
      </c>
      <c r="H119" s="706"/>
      <c r="I119" s="14">
        <f t="shared" si="32"/>
        <v>1</v>
      </c>
      <c r="J119" s="706"/>
      <c r="K119" s="14">
        <f t="shared" si="33"/>
        <v>1</v>
      </c>
      <c r="L119" s="706"/>
      <c r="M119" s="14">
        <f t="shared" si="34"/>
        <v>1</v>
      </c>
      <c r="N119" s="706"/>
      <c r="O119" s="14">
        <f t="shared" si="35"/>
        <v>1</v>
      </c>
      <c r="P119" s="706"/>
      <c r="Q119" s="14">
        <f t="shared" si="36"/>
        <v>0.02</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6"/>
      <c r="E120" s="14">
        <f t="shared" si="30"/>
        <v>0.02</v>
      </c>
      <c r="F120" s="706"/>
      <c r="G120" s="14">
        <f t="shared" si="31"/>
        <v>1</v>
      </c>
      <c r="H120" s="706"/>
      <c r="I120" s="14">
        <f t="shared" si="32"/>
        <v>1</v>
      </c>
      <c r="J120" s="706"/>
      <c r="K120" s="14">
        <f t="shared" si="33"/>
        <v>1</v>
      </c>
      <c r="L120" s="706"/>
      <c r="M120" s="14">
        <f t="shared" si="34"/>
        <v>1</v>
      </c>
      <c r="N120" s="706"/>
      <c r="O120" s="14">
        <f t="shared" si="35"/>
        <v>1</v>
      </c>
      <c r="P120" s="706"/>
      <c r="Q120" s="14">
        <f t="shared" si="36"/>
        <v>0.02</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6"/>
      <c r="E121" s="14">
        <f t="shared" si="30"/>
        <v>0.02</v>
      </c>
      <c r="F121" s="706"/>
      <c r="G121" s="14">
        <f t="shared" si="31"/>
        <v>1</v>
      </c>
      <c r="H121" s="706"/>
      <c r="I121" s="14">
        <f t="shared" si="32"/>
        <v>1</v>
      </c>
      <c r="J121" s="706"/>
      <c r="K121" s="14">
        <f t="shared" si="33"/>
        <v>1</v>
      </c>
      <c r="L121" s="706"/>
      <c r="M121" s="14">
        <f t="shared" si="34"/>
        <v>1</v>
      </c>
      <c r="N121" s="706"/>
      <c r="O121" s="14">
        <f t="shared" si="35"/>
        <v>1</v>
      </c>
      <c r="P121" s="706"/>
      <c r="Q121" s="14">
        <f t="shared" si="36"/>
        <v>0.02</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6"/>
      <c r="E122" s="14">
        <f t="shared" si="30"/>
        <v>0.02</v>
      </c>
      <c r="F122" s="706"/>
      <c r="G122" s="14">
        <f t="shared" si="31"/>
        <v>1</v>
      </c>
      <c r="H122" s="706"/>
      <c r="I122" s="14">
        <f t="shared" si="32"/>
        <v>1</v>
      </c>
      <c r="J122" s="706"/>
      <c r="K122" s="14">
        <f t="shared" si="33"/>
        <v>1</v>
      </c>
      <c r="L122" s="706"/>
      <c r="M122" s="14">
        <f t="shared" si="34"/>
        <v>1</v>
      </c>
      <c r="N122" s="706"/>
      <c r="O122" s="14">
        <f t="shared" si="35"/>
        <v>1</v>
      </c>
      <c r="P122" s="706"/>
      <c r="Q122" s="14">
        <f t="shared" si="36"/>
        <v>0.02</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6"/>
      <c r="E123" s="14">
        <f t="shared" si="30"/>
        <v>0.02</v>
      </c>
      <c r="F123" s="706"/>
      <c r="G123" s="14">
        <f t="shared" si="31"/>
        <v>1</v>
      </c>
      <c r="H123" s="706"/>
      <c r="I123" s="14">
        <f t="shared" si="32"/>
        <v>1</v>
      </c>
      <c r="J123" s="706"/>
      <c r="K123" s="14">
        <f t="shared" si="33"/>
        <v>1</v>
      </c>
      <c r="L123" s="706"/>
      <c r="M123" s="14">
        <f t="shared" si="34"/>
        <v>1</v>
      </c>
      <c r="N123" s="706"/>
      <c r="O123" s="14">
        <f t="shared" si="35"/>
        <v>1</v>
      </c>
      <c r="P123" s="706"/>
      <c r="Q123" s="14">
        <f t="shared" si="36"/>
        <v>0.02</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6"/>
      <c r="E124" s="14">
        <f t="shared" si="30"/>
        <v>0.02</v>
      </c>
      <c r="F124" s="706"/>
      <c r="G124" s="14">
        <f t="shared" si="31"/>
        <v>1</v>
      </c>
      <c r="H124" s="706"/>
      <c r="I124" s="14">
        <f t="shared" si="32"/>
        <v>1</v>
      </c>
      <c r="J124" s="706"/>
      <c r="K124" s="14">
        <f t="shared" si="33"/>
        <v>1</v>
      </c>
      <c r="L124" s="706"/>
      <c r="M124" s="14">
        <f t="shared" si="34"/>
        <v>1</v>
      </c>
      <c r="N124" s="706"/>
      <c r="O124" s="14">
        <f t="shared" si="35"/>
        <v>1</v>
      </c>
      <c r="P124" s="706"/>
      <c r="Q124" s="14">
        <f t="shared" si="36"/>
        <v>0.02</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6"/>
      <c r="E125" s="14">
        <f t="shared" si="30"/>
        <v>0.02</v>
      </c>
      <c r="F125" s="706"/>
      <c r="G125" s="14">
        <f t="shared" si="31"/>
        <v>1</v>
      </c>
      <c r="H125" s="706"/>
      <c r="I125" s="14">
        <f t="shared" si="32"/>
        <v>1</v>
      </c>
      <c r="J125" s="706"/>
      <c r="K125" s="14">
        <f t="shared" si="33"/>
        <v>1</v>
      </c>
      <c r="L125" s="706"/>
      <c r="M125" s="14">
        <f t="shared" si="34"/>
        <v>1</v>
      </c>
      <c r="N125" s="706"/>
      <c r="O125" s="14">
        <f t="shared" si="35"/>
        <v>1</v>
      </c>
      <c r="P125" s="706"/>
      <c r="Q125" s="14">
        <f t="shared" si="36"/>
        <v>0.02</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6"/>
      <c r="E126" s="14">
        <f t="shared" si="30"/>
        <v>0.02</v>
      </c>
      <c r="F126" s="706"/>
      <c r="G126" s="14">
        <f t="shared" si="31"/>
        <v>1</v>
      </c>
      <c r="H126" s="706"/>
      <c r="I126" s="14">
        <f t="shared" si="32"/>
        <v>1</v>
      </c>
      <c r="J126" s="706"/>
      <c r="K126" s="14">
        <f t="shared" si="33"/>
        <v>1</v>
      </c>
      <c r="L126" s="706"/>
      <c r="M126" s="14">
        <f t="shared" si="34"/>
        <v>1</v>
      </c>
      <c r="N126" s="706"/>
      <c r="O126" s="14">
        <f t="shared" si="35"/>
        <v>1</v>
      </c>
      <c r="P126" s="706"/>
      <c r="Q126" s="14">
        <f t="shared" si="36"/>
        <v>0.02</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6"/>
      <c r="E127" s="14">
        <f t="shared" si="30"/>
        <v>0.02</v>
      </c>
      <c r="F127" s="706"/>
      <c r="G127" s="14">
        <f t="shared" si="31"/>
        <v>1</v>
      </c>
      <c r="H127" s="706"/>
      <c r="I127" s="14">
        <f t="shared" si="32"/>
        <v>1</v>
      </c>
      <c r="J127" s="706"/>
      <c r="K127" s="14">
        <f t="shared" si="33"/>
        <v>1</v>
      </c>
      <c r="L127" s="706"/>
      <c r="M127" s="14">
        <f t="shared" si="34"/>
        <v>1</v>
      </c>
      <c r="N127" s="706"/>
      <c r="O127" s="14">
        <f t="shared" si="35"/>
        <v>1</v>
      </c>
      <c r="P127" s="706"/>
      <c r="Q127" s="14">
        <f t="shared" si="36"/>
        <v>0.02</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6"/>
      <c r="E128" s="14">
        <f t="shared" si="30"/>
        <v>0.02</v>
      </c>
      <c r="F128" s="706"/>
      <c r="G128" s="14">
        <f t="shared" si="31"/>
        <v>1</v>
      </c>
      <c r="H128" s="706"/>
      <c r="I128" s="14">
        <f t="shared" si="32"/>
        <v>1</v>
      </c>
      <c r="J128" s="706"/>
      <c r="K128" s="14">
        <f t="shared" si="33"/>
        <v>1</v>
      </c>
      <c r="L128" s="706"/>
      <c r="M128" s="14">
        <f t="shared" si="34"/>
        <v>1</v>
      </c>
      <c r="N128" s="706"/>
      <c r="O128" s="14">
        <f t="shared" si="35"/>
        <v>1</v>
      </c>
      <c r="P128" s="706"/>
      <c r="Q128" s="14">
        <f t="shared" si="36"/>
        <v>0.02</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6"/>
      <c r="E129" s="14">
        <f t="shared" si="30"/>
        <v>0.02</v>
      </c>
      <c r="F129" s="706"/>
      <c r="G129" s="14">
        <f t="shared" si="31"/>
        <v>1</v>
      </c>
      <c r="H129" s="706"/>
      <c r="I129" s="14">
        <f t="shared" si="32"/>
        <v>1</v>
      </c>
      <c r="J129" s="706"/>
      <c r="K129" s="14">
        <f t="shared" si="33"/>
        <v>1</v>
      </c>
      <c r="L129" s="706"/>
      <c r="M129" s="14">
        <f t="shared" si="34"/>
        <v>1</v>
      </c>
      <c r="N129" s="706"/>
      <c r="O129" s="14">
        <f t="shared" si="35"/>
        <v>1</v>
      </c>
      <c r="P129" s="706"/>
      <c r="Q129" s="14">
        <f t="shared" si="36"/>
        <v>0.02</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6"/>
      <c r="E130" s="14">
        <f t="shared" si="30"/>
        <v>0.02</v>
      </c>
      <c r="F130" s="706"/>
      <c r="G130" s="14">
        <f t="shared" si="31"/>
        <v>1</v>
      </c>
      <c r="H130" s="706"/>
      <c r="I130" s="14">
        <f t="shared" si="32"/>
        <v>1</v>
      </c>
      <c r="J130" s="706"/>
      <c r="K130" s="14">
        <f t="shared" si="33"/>
        <v>1</v>
      </c>
      <c r="L130" s="706"/>
      <c r="M130" s="14">
        <f t="shared" si="34"/>
        <v>1</v>
      </c>
      <c r="N130" s="706"/>
      <c r="O130" s="14">
        <f t="shared" si="35"/>
        <v>1</v>
      </c>
      <c r="P130" s="706"/>
      <c r="Q130" s="14">
        <f t="shared" si="36"/>
        <v>0.02</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6"/>
      <c r="E131" s="14">
        <f t="shared" si="30"/>
        <v>0.02</v>
      </c>
      <c r="F131" s="706"/>
      <c r="G131" s="14">
        <f t="shared" si="31"/>
        <v>1</v>
      </c>
      <c r="H131" s="706"/>
      <c r="I131" s="14">
        <f t="shared" si="32"/>
        <v>1</v>
      </c>
      <c r="J131" s="706"/>
      <c r="K131" s="14">
        <f t="shared" si="33"/>
        <v>1</v>
      </c>
      <c r="L131" s="706"/>
      <c r="M131" s="14">
        <f t="shared" si="34"/>
        <v>1</v>
      </c>
      <c r="N131" s="706"/>
      <c r="O131" s="14">
        <f t="shared" si="35"/>
        <v>1</v>
      </c>
      <c r="P131" s="706"/>
      <c r="Q131" s="14">
        <f t="shared" si="36"/>
        <v>0.02</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6"/>
      <c r="E132" s="14">
        <f t="shared" si="30"/>
        <v>0.02</v>
      </c>
      <c r="F132" s="706"/>
      <c r="G132" s="14">
        <f t="shared" si="31"/>
        <v>1</v>
      </c>
      <c r="H132" s="706"/>
      <c r="I132" s="14">
        <f t="shared" si="32"/>
        <v>1</v>
      </c>
      <c r="J132" s="706"/>
      <c r="K132" s="14">
        <f t="shared" si="33"/>
        <v>1</v>
      </c>
      <c r="L132" s="706"/>
      <c r="M132" s="14">
        <f t="shared" si="34"/>
        <v>1</v>
      </c>
      <c r="N132" s="706"/>
      <c r="O132" s="14">
        <f t="shared" si="35"/>
        <v>1</v>
      </c>
      <c r="P132" s="706"/>
      <c r="Q132" s="14">
        <f t="shared" si="36"/>
        <v>0.02</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6"/>
      <c r="E133" s="14">
        <f t="shared" si="30"/>
        <v>0.02</v>
      </c>
      <c r="F133" s="706"/>
      <c r="G133" s="14">
        <f t="shared" si="31"/>
        <v>1</v>
      </c>
      <c r="H133" s="706"/>
      <c r="I133" s="14">
        <f t="shared" si="32"/>
        <v>1</v>
      </c>
      <c r="J133" s="706"/>
      <c r="K133" s="14">
        <f t="shared" si="33"/>
        <v>1</v>
      </c>
      <c r="L133" s="706"/>
      <c r="M133" s="14">
        <f t="shared" si="34"/>
        <v>1</v>
      </c>
      <c r="N133" s="706"/>
      <c r="O133" s="14">
        <f t="shared" si="35"/>
        <v>1</v>
      </c>
      <c r="P133" s="706"/>
      <c r="Q133" s="14">
        <f t="shared" si="36"/>
        <v>0.02</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6"/>
      <c r="E134" s="14">
        <f t="shared" si="30"/>
        <v>0.02</v>
      </c>
      <c r="F134" s="706"/>
      <c r="G134" s="14">
        <f t="shared" si="31"/>
        <v>1</v>
      </c>
      <c r="H134" s="706"/>
      <c r="I134" s="14">
        <f t="shared" si="32"/>
        <v>1</v>
      </c>
      <c r="J134" s="706"/>
      <c r="K134" s="14">
        <f t="shared" si="33"/>
        <v>1</v>
      </c>
      <c r="L134" s="706"/>
      <c r="M134" s="14">
        <f t="shared" si="34"/>
        <v>1</v>
      </c>
      <c r="N134" s="706"/>
      <c r="O134" s="14">
        <f t="shared" si="35"/>
        <v>1</v>
      </c>
      <c r="P134" s="706"/>
      <c r="Q134" s="14">
        <f t="shared" si="36"/>
        <v>0.02</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6"/>
      <c r="E135" s="14">
        <f t="shared" si="30"/>
        <v>0.02</v>
      </c>
      <c r="F135" s="706"/>
      <c r="G135" s="14">
        <f t="shared" si="31"/>
        <v>1</v>
      </c>
      <c r="H135" s="706"/>
      <c r="I135" s="14">
        <f t="shared" si="32"/>
        <v>1</v>
      </c>
      <c r="J135" s="706"/>
      <c r="K135" s="14">
        <f t="shared" si="33"/>
        <v>1</v>
      </c>
      <c r="L135" s="706"/>
      <c r="M135" s="14">
        <f t="shared" si="34"/>
        <v>1</v>
      </c>
      <c r="N135" s="706"/>
      <c r="O135" s="14">
        <f t="shared" si="35"/>
        <v>1</v>
      </c>
      <c r="P135" s="706"/>
      <c r="Q135" s="14">
        <f t="shared" si="36"/>
        <v>0.02</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6"/>
      <c r="E136" s="14">
        <f t="shared" si="30"/>
        <v>0.02</v>
      </c>
      <c r="F136" s="706"/>
      <c r="G136" s="14">
        <f t="shared" si="31"/>
        <v>1</v>
      </c>
      <c r="H136" s="706"/>
      <c r="I136" s="14">
        <f t="shared" si="32"/>
        <v>1</v>
      </c>
      <c r="J136" s="706"/>
      <c r="K136" s="14">
        <f t="shared" si="33"/>
        <v>1</v>
      </c>
      <c r="L136" s="706"/>
      <c r="M136" s="14">
        <f t="shared" si="34"/>
        <v>1</v>
      </c>
      <c r="N136" s="706"/>
      <c r="O136" s="14">
        <f t="shared" si="35"/>
        <v>1</v>
      </c>
      <c r="P136" s="706"/>
      <c r="Q136" s="14">
        <f t="shared" si="36"/>
        <v>0.02</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6"/>
      <c r="E137" s="14">
        <f t="shared" si="30"/>
        <v>0.02</v>
      </c>
      <c r="F137" s="706"/>
      <c r="G137" s="14">
        <f t="shared" si="31"/>
        <v>1</v>
      </c>
      <c r="H137" s="706"/>
      <c r="I137" s="14">
        <f t="shared" si="32"/>
        <v>1</v>
      </c>
      <c r="J137" s="706"/>
      <c r="K137" s="14">
        <f t="shared" si="33"/>
        <v>1</v>
      </c>
      <c r="L137" s="706"/>
      <c r="M137" s="14">
        <f t="shared" si="34"/>
        <v>1</v>
      </c>
      <c r="N137" s="706"/>
      <c r="O137" s="14">
        <f t="shared" si="35"/>
        <v>1</v>
      </c>
      <c r="P137" s="706"/>
      <c r="Q137" s="14">
        <f t="shared" si="36"/>
        <v>0.02</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6"/>
      <c r="E138" s="14">
        <f t="shared" si="30"/>
        <v>0.02</v>
      </c>
      <c r="F138" s="706"/>
      <c r="G138" s="14">
        <f t="shared" si="31"/>
        <v>1</v>
      </c>
      <c r="H138" s="706"/>
      <c r="I138" s="14">
        <f t="shared" si="32"/>
        <v>1</v>
      </c>
      <c r="J138" s="706"/>
      <c r="K138" s="14">
        <f t="shared" si="33"/>
        <v>1</v>
      </c>
      <c r="L138" s="706"/>
      <c r="M138" s="14">
        <f t="shared" si="34"/>
        <v>1</v>
      </c>
      <c r="N138" s="706"/>
      <c r="O138" s="14">
        <f t="shared" si="35"/>
        <v>1</v>
      </c>
      <c r="P138" s="706"/>
      <c r="Q138" s="14">
        <f t="shared" si="36"/>
        <v>0.02</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6"/>
      <c r="E139" s="14">
        <f t="shared" si="30"/>
        <v>0.02</v>
      </c>
      <c r="F139" s="706"/>
      <c r="G139" s="14">
        <f t="shared" si="31"/>
        <v>1</v>
      </c>
      <c r="H139" s="706"/>
      <c r="I139" s="14">
        <f t="shared" si="32"/>
        <v>1</v>
      </c>
      <c r="J139" s="706"/>
      <c r="K139" s="14">
        <f t="shared" si="33"/>
        <v>1</v>
      </c>
      <c r="L139" s="706"/>
      <c r="M139" s="14">
        <f t="shared" si="34"/>
        <v>1</v>
      </c>
      <c r="N139" s="706"/>
      <c r="O139" s="14">
        <f t="shared" si="35"/>
        <v>1</v>
      </c>
      <c r="P139" s="706"/>
      <c r="Q139" s="14">
        <f t="shared" si="36"/>
        <v>0.02</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6"/>
      <c r="E140" s="14">
        <f t="shared" si="30"/>
        <v>0.02</v>
      </c>
      <c r="F140" s="706"/>
      <c r="G140" s="14">
        <f t="shared" si="31"/>
        <v>1</v>
      </c>
      <c r="H140" s="706"/>
      <c r="I140" s="14">
        <f t="shared" si="32"/>
        <v>1</v>
      </c>
      <c r="J140" s="706"/>
      <c r="K140" s="14">
        <f t="shared" si="33"/>
        <v>1</v>
      </c>
      <c r="L140" s="706"/>
      <c r="M140" s="14">
        <f t="shared" si="34"/>
        <v>1</v>
      </c>
      <c r="N140" s="706"/>
      <c r="O140" s="14">
        <f t="shared" si="35"/>
        <v>1</v>
      </c>
      <c r="P140" s="706"/>
      <c r="Q140" s="14">
        <f t="shared" si="36"/>
        <v>0.02</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6"/>
      <c r="E141" s="14">
        <f t="shared" si="30"/>
        <v>0.02</v>
      </c>
      <c r="F141" s="706"/>
      <c r="G141" s="14">
        <f t="shared" si="31"/>
        <v>1</v>
      </c>
      <c r="H141" s="706"/>
      <c r="I141" s="14">
        <f t="shared" si="32"/>
        <v>1</v>
      </c>
      <c r="J141" s="706"/>
      <c r="K141" s="14">
        <f t="shared" si="33"/>
        <v>1</v>
      </c>
      <c r="L141" s="706"/>
      <c r="M141" s="14">
        <f t="shared" si="34"/>
        <v>1</v>
      </c>
      <c r="N141" s="706"/>
      <c r="O141" s="14">
        <f t="shared" si="35"/>
        <v>1</v>
      </c>
      <c r="P141" s="706"/>
      <c r="Q141" s="14">
        <f t="shared" si="36"/>
        <v>0.02</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6"/>
      <c r="E142" s="14">
        <f t="shared" si="30"/>
        <v>0.02</v>
      </c>
      <c r="F142" s="706"/>
      <c r="G142" s="14">
        <f t="shared" si="31"/>
        <v>1</v>
      </c>
      <c r="H142" s="706"/>
      <c r="I142" s="14">
        <f t="shared" si="32"/>
        <v>1</v>
      </c>
      <c r="J142" s="706"/>
      <c r="K142" s="14">
        <f t="shared" si="33"/>
        <v>1</v>
      </c>
      <c r="L142" s="706"/>
      <c r="M142" s="14">
        <f t="shared" si="34"/>
        <v>1</v>
      </c>
      <c r="N142" s="706"/>
      <c r="O142" s="14">
        <f t="shared" si="35"/>
        <v>1</v>
      </c>
      <c r="P142" s="706"/>
      <c r="Q142" s="14">
        <f t="shared" si="36"/>
        <v>0.02</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6"/>
      <c r="E143" s="14">
        <f t="shared" si="30"/>
        <v>0.02</v>
      </c>
      <c r="F143" s="706"/>
      <c r="G143" s="14">
        <f t="shared" si="31"/>
        <v>1</v>
      </c>
      <c r="H143" s="706"/>
      <c r="I143" s="14">
        <f t="shared" si="32"/>
        <v>1</v>
      </c>
      <c r="J143" s="706"/>
      <c r="K143" s="14">
        <f t="shared" si="33"/>
        <v>1</v>
      </c>
      <c r="L143" s="706"/>
      <c r="M143" s="14">
        <f t="shared" si="34"/>
        <v>1</v>
      </c>
      <c r="N143" s="706"/>
      <c r="O143" s="14">
        <f t="shared" si="35"/>
        <v>1</v>
      </c>
      <c r="P143" s="706"/>
      <c r="Q143" s="14">
        <f t="shared" si="36"/>
        <v>0.02</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6"/>
      <c r="E144" s="14">
        <f t="shared" si="30"/>
        <v>0.02</v>
      </c>
      <c r="F144" s="706"/>
      <c r="G144" s="14">
        <f t="shared" si="31"/>
        <v>1</v>
      </c>
      <c r="H144" s="706"/>
      <c r="I144" s="14">
        <f t="shared" si="32"/>
        <v>1</v>
      </c>
      <c r="J144" s="706"/>
      <c r="K144" s="14">
        <f t="shared" si="33"/>
        <v>1</v>
      </c>
      <c r="L144" s="706"/>
      <c r="M144" s="14">
        <f t="shared" si="34"/>
        <v>1</v>
      </c>
      <c r="N144" s="706"/>
      <c r="O144" s="14">
        <f t="shared" si="35"/>
        <v>1</v>
      </c>
      <c r="P144" s="706"/>
      <c r="Q144" s="14">
        <f t="shared" si="36"/>
        <v>0.02</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6"/>
      <c r="E145" s="14">
        <f t="shared" si="30"/>
        <v>0.02</v>
      </c>
      <c r="F145" s="706"/>
      <c r="G145" s="14">
        <f t="shared" si="31"/>
        <v>1</v>
      </c>
      <c r="H145" s="706"/>
      <c r="I145" s="14">
        <f t="shared" si="32"/>
        <v>1</v>
      </c>
      <c r="J145" s="706"/>
      <c r="K145" s="14">
        <f t="shared" si="33"/>
        <v>1</v>
      </c>
      <c r="L145" s="706"/>
      <c r="M145" s="14">
        <f t="shared" si="34"/>
        <v>1</v>
      </c>
      <c r="N145" s="706"/>
      <c r="O145" s="14">
        <f t="shared" si="35"/>
        <v>1</v>
      </c>
      <c r="P145" s="706"/>
      <c r="Q145" s="14">
        <f t="shared" si="36"/>
        <v>0.02</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6"/>
      <c r="E146" s="14">
        <f t="shared" si="30"/>
        <v>0.02</v>
      </c>
      <c r="F146" s="706"/>
      <c r="G146" s="14">
        <f t="shared" si="31"/>
        <v>1</v>
      </c>
      <c r="H146" s="706"/>
      <c r="I146" s="14">
        <f t="shared" si="32"/>
        <v>1</v>
      </c>
      <c r="J146" s="706"/>
      <c r="K146" s="14">
        <f t="shared" si="33"/>
        <v>1</v>
      </c>
      <c r="L146" s="706"/>
      <c r="M146" s="14">
        <f t="shared" si="34"/>
        <v>1</v>
      </c>
      <c r="N146" s="706"/>
      <c r="O146" s="14">
        <f t="shared" si="35"/>
        <v>1</v>
      </c>
      <c r="P146" s="706"/>
      <c r="Q146" s="14">
        <f t="shared" si="36"/>
        <v>0.02</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6"/>
      <c r="E147" s="14">
        <f t="shared" si="30"/>
        <v>0.02</v>
      </c>
      <c r="F147" s="706"/>
      <c r="G147" s="14">
        <f t="shared" si="31"/>
        <v>1</v>
      </c>
      <c r="H147" s="706"/>
      <c r="I147" s="14">
        <f t="shared" si="32"/>
        <v>1</v>
      </c>
      <c r="J147" s="706"/>
      <c r="K147" s="14">
        <f t="shared" si="33"/>
        <v>1</v>
      </c>
      <c r="L147" s="706"/>
      <c r="M147" s="14">
        <f t="shared" si="34"/>
        <v>1</v>
      </c>
      <c r="N147" s="706"/>
      <c r="O147" s="14">
        <f t="shared" si="35"/>
        <v>1</v>
      </c>
      <c r="P147" s="706"/>
      <c r="Q147" s="14">
        <f t="shared" si="36"/>
        <v>0.02</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6"/>
      <c r="E148" s="14">
        <f t="shared" si="30"/>
        <v>0.02</v>
      </c>
      <c r="F148" s="706"/>
      <c r="G148" s="14">
        <f t="shared" si="31"/>
        <v>1</v>
      </c>
      <c r="H148" s="706"/>
      <c r="I148" s="14">
        <f t="shared" si="32"/>
        <v>1</v>
      </c>
      <c r="J148" s="706"/>
      <c r="K148" s="14">
        <f t="shared" si="33"/>
        <v>1</v>
      </c>
      <c r="L148" s="706"/>
      <c r="M148" s="14">
        <f t="shared" si="34"/>
        <v>1</v>
      </c>
      <c r="N148" s="706"/>
      <c r="O148" s="14">
        <f t="shared" si="35"/>
        <v>1</v>
      </c>
      <c r="P148" s="706"/>
      <c r="Q148" s="14">
        <f t="shared" si="36"/>
        <v>0.02</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6"/>
      <c r="E149" s="14">
        <f t="shared" si="30"/>
        <v>0.02</v>
      </c>
      <c r="F149" s="706"/>
      <c r="G149" s="14">
        <f t="shared" si="31"/>
        <v>1</v>
      </c>
      <c r="H149" s="706"/>
      <c r="I149" s="14">
        <f t="shared" si="32"/>
        <v>1</v>
      </c>
      <c r="J149" s="706"/>
      <c r="K149" s="14">
        <f t="shared" si="33"/>
        <v>1</v>
      </c>
      <c r="L149" s="706"/>
      <c r="M149" s="14">
        <f t="shared" si="34"/>
        <v>1</v>
      </c>
      <c r="N149" s="706"/>
      <c r="O149" s="14">
        <f t="shared" si="35"/>
        <v>1</v>
      </c>
      <c r="P149" s="706"/>
      <c r="Q149" s="14">
        <f t="shared" si="36"/>
        <v>0.02</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6"/>
      <c r="E150" s="14">
        <f t="shared" si="30"/>
        <v>0.02</v>
      </c>
      <c r="F150" s="706"/>
      <c r="G150" s="14">
        <f t="shared" si="31"/>
        <v>1</v>
      </c>
      <c r="H150" s="706"/>
      <c r="I150" s="14">
        <f t="shared" si="32"/>
        <v>1</v>
      </c>
      <c r="J150" s="706"/>
      <c r="K150" s="14">
        <f t="shared" si="33"/>
        <v>1</v>
      </c>
      <c r="L150" s="706"/>
      <c r="M150" s="14">
        <f t="shared" si="34"/>
        <v>1</v>
      </c>
      <c r="N150" s="706"/>
      <c r="O150" s="14">
        <f t="shared" si="35"/>
        <v>1</v>
      </c>
      <c r="P150" s="706"/>
      <c r="Q150" s="14">
        <f t="shared" si="36"/>
        <v>0.02</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6"/>
      <c r="E151" s="14">
        <f t="shared" si="30"/>
        <v>0.02</v>
      </c>
      <c r="F151" s="706"/>
      <c r="G151" s="14">
        <f t="shared" si="31"/>
        <v>1</v>
      </c>
      <c r="H151" s="706"/>
      <c r="I151" s="14">
        <f t="shared" si="32"/>
        <v>1</v>
      </c>
      <c r="J151" s="706"/>
      <c r="K151" s="14">
        <f t="shared" si="33"/>
        <v>1</v>
      </c>
      <c r="L151" s="706"/>
      <c r="M151" s="14">
        <f t="shared" si="34"/>
        <v>1</v>
      </c>
      <c r="N151" s="706"/>
      <c r="O151" s="14">
        <f t="shared" si="35"/>
        <v>1</v>
      </c>
      <c r="P151" s="706"/>
      <c r="Q151" s="14">
        <f t="shared" si="36"/>
        <v>0.02</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6"/>
      <c r="E152" s="14">
        <f t="shared" si="30"/>
        <v>0.02</v>
      </c>
      <c r="F152" s="706"/>
      <c r="G152" s="14">
        <f t="shared" si="31"/>
        <v>1</v>
      </c>
      <c r="H152" s="706"/>
      <c r="I152" s="14">
        <f t="shared" si="32"/>
        <v>1</v>
      </c>
      <c r="J152" s="706"/>
      <c r="K152" s="14">
        <f t="shared" si="33"/>
        <v>1</v>
      </c>
      <c r="L152" s="706"/>
      <c r="M152" s="14">
        <f t="shared" si="34"/>
        <v>1</v>
      </c>
      <c r="N152" s="706"/>
      <c r="O152" s="14">
        <f t="shared" si="35"/>
        <v>1</v>
      </c>
      <c r="P152" s="706"/>
      <c r="Q152" s="14">
        <f t="shared" si="36"/>
        <v>0.02</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6"/>
      <c r="E153" s="14">
        <f t="shared" si="30"/>
        <v>0.02</v>
      </c>
      <c r="F153" s="706"/>
      <c r="G153" s="14">
        <f t="shared" si="31"/>
        <v>1</v>
      </c>
      <c r="H153" s="706"/>
      <c r="I153" s="14">
        <f t="shared" si="32"/>
        <v>1</v>
      </c>
      <c r="J153" s="706"/>
      <c r="K153" s="14">
        <f t="shared" si="33"/>
        <v>1</v>
      </c>
      <c r="L153" s="706"/>
      <c r="M153" s="14">
        <f t="shared" si="34"/>
        <v>1</v>
      </c>
      <c r="N153" s="706"/>
      <c r="O153" s="14">
        <f t="shared" si="35"/>
        <v>1</v>
      </c>
      <c r="P153" s="706"/>
      <c r="Q153" s="14">
        <f t="shared" si="36"/>
        <v>0.02</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6"/>
      <c r="E154" s="14">
        <f t="shared" si="30"/>
        <v>0.02</v>
      </c>
      <c r="F154" s="706"/>
      <c r="G154" s="14">
        <f t="shared" si="31"/>
        <v>1</v>
      </c>
      <c r="H154" s="706"/>
      <c r="I154" s="14">
        <f t="shared" si="32"/>
        <v>1</v>
      </c>
      <c r="J154" s="706"/>
      <c r="K154" s="14">
        <f t="shared" si="33"/>
        <v>1</v>
      </c>
      <c r="L154" s="706"/>
      <c r="M154" s="14">
        <f t="shared" si="34"/>
        <v>1</v>
      </c>
      <c r="N154" s="706"/>
      <c r="O154" s="14">
        <f t="shared" si="35"/>
        <v>1</v>
      </c>
      <c r="P154" s="706"/>
      <c r="Q154" s="14">
        <f t="shared" si="36"/>
        <v>0.02</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6"/>
      <c r="E155" s="14">
        <f t="shared" si="30"/>
        <v>0.02</v>
      </c>
      <c r="F155" s="706"/>
      <c r="G155" s="14">
        <f t="shared" si="31"/>
        <v>1</v>
      </c>
      <c r="H155" s="706"/>
      <c r="I155" s="14">
        <f t="shared" si="32"/>
        <v>1</v>
      </c>
      <c r="J155" s="706"/>
      <c r="K155" s="14">
        <f t="shared" si="33"/>
        <v>1</v>
      </c>
      <c r="L155" s="706"/>
      <c r="M155" s="14">
        <f t="shared" si="34"/>
        <v>1</v>
      </c>
      <c r="N155" s="706"/>
      <c r="O155" s="14">
        <f t="shared" si="35"/>
        <v>1</v>
      </c>
      <c r="P155" s="706"/>
      <c r="Q155" s="14">
        <f t="shared" si="36"/>
        <v>0.02</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6"/>
      <c r="E156" s="14">
        <f t="shared" ref="E156:E219" si="45">(SUMIF($8:$8,D156,$9:$9)-SUMIF($8:$8,$D$27,$9:$9)+100)/100</f>
        <v>0.02</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0.02</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6"/>
      <c r="E157" s="14">
        <f t="shared" si="45"/>
        <v>0.02</v>
      </c>
      <c r="F157" s="706"/>
      <c r="G157" s="14">
        <f t="shared" si="46"/>
        <v>1</v>
      </c>
      <c r="H157" s="706"/>
      <c r="I157" s="14">
        <f t="shared" si="47"/>
        <v>1</v>
      </c>
      <c r="J157" s="706"/>
      <c r="K157" s="14">
        <f t="shared" si="48"/>
        <v>1</v>
      </c>
      <c r="L157" s="706"/>
      <c r="M157" s="14">
        <f t="shared" si="49"/>
        <v>1</v>
      </c>
      <c r="N157" s="706"/>
      <c r="O157" s="14">
        <f t="shared" si="50"/>
        <v>1</v>
      </c>
      <c r="P157" s="706"/>
      <c r="Q157" s="14">
        <f t="shared" si="51"/>
        <v>0.02</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6"/>
      <c r="E158" s="14">
        <f t="shared" si="45"/>
        <v>0.02</v>
      </c>
      <c r="F158" s="706"/>
      <c r="G158" s="14">
        <f t="shared" si="46"/>
        <v>1</v>
      </c>
      <c r="H158" s="706"/>
      <c r="I158" s="14">
        <f t="shared" si="47"/>
        <v>1</v>
      </c>
      <c r="J158" s="706"/>
      <c r="K158" s="14">
        <f t="shared" si="48"/>
        <v>1</v>
      </c>
      <c r="L158" s="706"/>
      <c r="M158" s="14">
        <f t="shared" si="49"/>
        <v>1</v>
      </c>
      <c r="N158" s="706"/>
      <c r="O158" s="14">
        <f t="shared" si="50"/>
        <v>1</v>
      </c>
      <c r="P158" s="706"/>
      <c r="Q158" s="14">
        <f t="shared" si="51"/>
        <v>0.02</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6"/>
      <c r="E159" s="14">
        <f t="shared" si="45"/>
        <v>0.02</v>
      </c>
      <c r="F159" s="706"/>
      <c r="G159" s="14">
        <f t="shared" si="46"/>
        <v>1</v>
      </c>
      <c r="H159" s="706"/>
      <c r="I159" s="14">
        <f t="shared" si="47"/>
        <v>1</v>
      </c>
      <c r="J159" s="706"/>
      <c r="K159" s="14">
        <f t="shared" si="48"/>
        <v>1</v>
      </c>
      <c r="L159" s="706"/>
      <c r="M159" s="14">
        <f t="shared" si="49"/>
        <v>1</v>
      </c>
      <c r="N159" s="706"/>
      <c r="O159" s="14">
        <f t="shared" si="50"/>
        <v>1</v>
      </c>
      <c r="P159" s="706"/>
      <c r="Q159" s="14">
        <f t="shared" si="51"/>
        <v>0.02</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6"/>
      <c r="E160" s="14">
        <f t="shared" si="45"/>
        <v>0.02</v>
      </c>
      <c r="F160" s="706"/>
      <c r="G160" s="14">
        <f t="shared" si="46"/>
        <v>1</v>
      </c>
      <c r="H160" s="706"/>
      <c r="I160" s="14">
        <f t="shared" si="47"/>
        <v>1</v>
      </c>
      <c r="J160" s="706"/>
      <c r="K160" s="14">
        <f t="shared" si="48"/>
        <v>1</v>
      </c>
      <c r="L160" s="706"/>
      <c r="M160" s="14">
        <f t="shared" si="49"/>
        <v>1</v>
      </c>
      <c r="N160" s="706"/>
      <c r="O160" s="14">
        <f t="shared" si="50"/>
        <v>1</v>
      </c>
      <c r="P160" s="706"/>
      <c r="Q160" s="14">
        <f t="shared" si="51"/>
        <v>0.02</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6"/>
      <c r="E161" s="14">
        <f t="shared" si="45"/>
        <v>0.02</v>
      </c>
      <c r="F161" s="706"/>
      <c r="G161" s="14">
        <f t="shared" si="46"/>
        <v>1</v>
      </c>
      <c r="H161" s="706"/>
      <c r="I161" s="14">
        <f t="shared" si="47"/>
        <v>1</v>
      </c>
      <c r="J161" s="706"/>
      <c r="K161" s="14">
        <f t="shared" si="48"/>
        <v>1</v>
      </c>
      <c r="L161" s="706"/>
      <c r="M161" s="14">
        <f t="shared" si="49"/>
        <v>1</v>
      </c>
      <c r="N161" s="706"/>
      <c r="O161" s="14">
        <f t="shared" si="50"/>
        <v>1</v>
      </c>
      <c r="P161" s="706"/>
      <c r="Q161" s="14">
        <f t="shared" si="51"/>
        <v>0.02</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6"/>
      <c r="E162" s="14">
        <f t="shared" si="45"/>
        <v>0.02</v>
      </c>
      <c r="F162" s="706"/>
      <c r="G162" s="14">
        <f t="shared" si="46"/>
        <v>1</v>
      </c>
      <c r="H162" s="706"/>
      <c r="I162" s="14">
        <f t="shared" si="47"/>
        <v>1</v>
      </c>
      <c r="J162" s="706"/>
      <c r="K162" s="14">
        <f t="shared" si="48"/>
        <v>1</v>
      </c>
      <c r="L162" s="706"/>
      <c r="M162" s="14">
        <f t="shared" si="49"/>
        <v>1</v>
      </c>
      <c r="N162" s="706"/>
      <c r="O162" s="14">
        <f t="shared" si="50"/>
        <v>1</v>
      </c>
      <c r="P162" s="706"/>
      <c r="Q162" s="14">
        <f t="shared" si="51"/>
        <v>0.02</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6"/>
      <c r="E163" s="14">
        <f t="shared" si="45"/>
        <v>0.02</v>
      </c>
      <c r="F163" s="706"/>
      <c r="G163" s="14">
        <f t="shared" si="46"/>
        <v>1</v>
      </c>
      <c r="H163" s="706"/>
      <c r="I163" s="14">
        <f t="shared" si="47"/>
        <v>1</v>
      </c>
      <c r="J163" s="706"/>
      <c r="K163" s="14">
        <f t="shared" si="48"/>
        <v>1</v>
      </c>
      <c r="L163" s="706"/>
      <c r="M163" s="14">
        <f t="shared" si="49"/>
        <v>1</v>
      </c>
      <c r="N163" s="706"/>
      <c r="O163" s="14">
        <f t="shared" si="50"/>
        <v>1</v>
      </c>
      <c r="P163" s="706"/>
      <c r="Q163" s="14">
        <f t="shared" si="51"/>
        <v>0.02</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6"/>
      <c r="E164" s="14">
        <f t="shared" si="45"/>
        <v>0.02</v>
      </c>
      <c r="F164" s="706"/>
      <c r="G164" s="14">
        <f t="shared" si="46"/>
        <v>1</v>
      </c>
      <c r="H164" s="706"/>
      <c r="I164" s="14">
        <f t="shared" si="47"/>
        <v>1</v>
      </c>
      <c r="J164" s="706"/>
      <c r="K164" s="14">
        <f t="shared" si="48"/>
        <v>1</v>
      </c>
      <c r="L164" s="706"/>
      <c r="M164" s="14">
        <f t="shared" si="49"/>
        <v>1</v>
      </c>
      <c r="N164" s="706"/>
      <c r="O164" s="14">
        <f t="shared" si="50"/>
        <v>1</v>
      </c>
      <c r="P164" s="706"/>
      <c r="Q164" s="14">
        <f t="shared" si="51"/>
        <v>0.02</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6"/>
      <c r="E165" s="14">
        <f t="shared" si="45"/>
        <v>0.02</v>
      </c>
      <c r="F165" s="706"/>
      <c r="G165" s="14">
        <f t="shared" si="46"/>
        <v>1</v>
      </c>
      <c r="H165" s="706"/>
      <c r="I165" s="14">
        <f t="shared" si="47"/>
        <v>1</v>
      </c>
      <c r="J165" s="706"/>
      <c r="K165" s="14">
        <f t="shared" si="48"/>
        <v>1</v>
      </c>
      <c r="L165" s="706"/>
      <c r="M165" s="14">
        <f t="shared" si="49"/>
        <v>1</v>
      </c>
      <c r="N165" s="706"/>
      <c r="O165" s="14">
        <f t="shared" si="50"/>
        <v>1</v>
      </c>
      <c r="P165" s="706"/>
      <c r="Q165" s="14">
        <f t="shared" si="51"/>
        <v>0.02</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6"/>
      <c r="E166" s="14">
        <f t="shared" si="45"/>
        <v>0.02</v>
      </c>
      <c r="F166" s="706"/>
      <c r="G166" s="14">
        <f t="shared" si="46"/>
        <v>1</v>
      </c>
      <c r="H166" s="706"/>
      <c r="I166" s="14">
        <f t="shared" si="47"/>
        <v>1</v>
      </c>
      <c r="J166" s="706"/>
      <c r="K166" s="14">
        <f t="shared" si="48"/>
        <v>1</v>
      </c>
      <c r="L166" s="706"/>
      <c r="M166" s="14">
        <f t="shared" si="49"/>
        <v>1</v>
      </c>
      <c r="N166" s="706"/>
      <c r="O166" s="14">
        <f t="shared" si="50"/>
        <v>1</v>
      </c>
      <c r="P166" s="706"/>
      <c r="Q166" s="14">
        <f t="shared" si="51"/>
        <v>0.02</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6"/>
      <c r="E167" s="14">
        <f t="shared" si="45"/>
        <v>0.02</v>
      </c>
      <c r="F167" s="706"/>
      <c r="G167" s="14">
        <f t="shared" si="46"/>
        <v>1</v>
      </c>
      <c r="H167" s="706"/>
      <c r="I167" s="14">
        <f t="shared" si="47"/>
        <v>1</v>
      </c>
      <c r="J167" s="706"/>
      <c r="K167" s="14">
        <f t="shared" si="48"/>
        <v>1</v>
      </c>
      <c r="L167" s="706"/>
      <c r="M167" s="14">
        <f t="shared" si="49"/>
        <v>1</v>
      </c>
      <c r="N167" s="706"/>
      <c r="O167" s="14">
        <f t="shared" si="50"/>
        <v>1</v>
      </c>
      <c r="P167" s="706"/>
      <c r="Q167" s="14">
        <f t="shared" si="51"/>
        <v>0.02</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6"/>
      <c r="E168" s="14">
        <f t="shared" si="45"/>
        <v>0.02</v>
      </c>
      <c r="F168" s="706"/>
      <c r="G168" s="14">
        <f t="shared" si="46"/>
        <v>1</v>
      </c>
      <c r="H168" s="706"/>
      <c r="I168" s="14">
        <f t="shared" si="47"/>
        <v>1</v>
      </c>
      <c r="J168" s="706"/>
      <c r="K168" s="14">
        <f t="shared" si="48"/>
        <v>1</v>
      </c>
      <c r="L168" s="706"/>
      <c r="M168" s="14">
        <f t="shared" si="49"/>
        <v>1</v>
      </c>
      <c r="N168" s="706"/>
      <c r="O168" s="14">
        <f t="shared" si="50"/>
        <v>1</v>
      </c>
      <c r="P168" s="706"/>
      <c r="Q168" s="14">
        <f t="shared" si="51"/>
        <v>0.02</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6"/>
      <c r="E169" s="14">
        <f t="shared" si="45"/>
        <v>0.02</v>
      </c>
      <c r="F169" s="706"/>
      <c r="G169" s="14">
        <f t="shared" si="46"/>
        <v>1</v>
      </c>
      <c r="H169" s="706"/>
      <c r="I169" s="14">
        <f t="shared" si="47"/>
        <v>1</v>
      </c>
      <c r="J169" s="706"/>
      <c r="K169" s="14">
        <f t="shared" si="48"/>
        <v>1</v>
      </c>
      <c r="L169" s="706"/>
      <c r="M169" s="14">
        <f t="shared" si="49"/>
        <v>1</v>
      </c>
      <c r="N169" s="706"/>
      <c r="O169" s="14">
        <f t="shared" si="50"/>
        <v>1</v>
      </c>
      <c r="P169" s="706"/>
      <c r="Q169" s="14">
        <f t="shared" si="51"/>
        <v>0.02</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6"/>
      <c r="E170" s="14">
        <f t="shared" si="45"/>
        <v>0.02</v>
      </c>
      <c r="F170" s="706"/>
      <c r="G170" s="14">
        <f t="shared" si="46"/>
        <v>1</v>
      </c>
      <c r="H170" s="706"/>
      <c r="I170" s="14">
        <f t="shared" si="47"/>
        <v>1</v>
      </c>
      <c r="J170" s="706"/>
      <c r="K170" s="14">
        <f t="shared" si="48"/>
        <v>1</v>
      </c>
      <c r="L170" s="706"/>
      <c r="M170" s="14">
        <f t="shared" si="49"/>
        <v>1</v>
      </c>
      <c r="N170" s="706"/>
      <c r="O170" s="14">
        <f t="shared" si="50"/>
        <v>1</v>
      </c>
      <c r="P170" s="706"/>
      <c r="Q170" s="14">
        <f t="shared" si="51"/>
        <v>0.02</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6"/>
      <c r="E171" s="14">
        <f t="shared" si="45"/>
        <v>0.02</v>
      </c>
      <c r="F171" s="706"/>
      <c r="G171" s="14">
        <f t="shared" si="46"/>
        <v>1</v>
      </c>
      <c r="H171" s="706"/>
      <c r="I171" s="14">
        <f t="shared" si="47"/>
        <v>1</v>
      </c>
      <c r="J171" s="706"/>
      <c r="K171" s="14">
        <f t="shared" si="48"/>
        <v>1</v>
      </c>
      <c r="L171" s="706"/>
      <c r="M171" s="14">
        <f t="shared" si="49"/>
        <v>1</v>
      </c>
      <c r="N171" s="706"/>
      <c r="O171" s="14">
        <f t="shared" si="50"/>
        <v>1</v>
      </c>
      <c r="P171" s="706"/>
      <c r="Q171" s="14">
        <f t="shared" si="51"/>
        <v>0.02</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6"/>
      <c r="E172" s="14">
        <f t="shared" si="45"/>
        <v>0.02</v>
      </c>
      <c r="F172" s="706"/>
      <c r="G172" s="14">
        <f t="shared" si="46"/>
        <v>1</v>
      </c>
      <c r="H172" s="706"/>
      <c r="I172" s="14">
        <f t="shared" si="47"/>
        <v>1</v>
      </c>
      <c r="J172" s="706"/>
      <c r="K172" s="14">
        <f t="shared" si="48"/>
        <v>1</v>
      </c>
      <c r="L172" s="706"/>
      <c r="M172" s="14">
        <f t="shared" si="49"/>
        <v>1</v>
      </c>
      <c r="N172" s="706"/>
      <c r="O172" s="14">
        <f t="shared" si="50"/>
        <v>1</v>
      </c>
      <c r="P172" s="706"/>
      <c r="Q172" s="14">
        <f t="shared" si="51"/>
        <v>0.02</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6"/>
      <c r="E173" s="14">
        <f t="shared" si="45"/>
        <v>0.02</v>
      </c>
      <c r="F173" s="706"/>
      <c r="G173" s="14">
        <f t="shared" si="46"/>
        <v>1</v>
      </c>
      <c r="H173" s="706"/>
      <c r="I173" s="14">
        <f t="shared" si="47"/>
        <v>1</v>
      </c>
      <c r="J173" s="706"/>
      <c r="K173" s="14">
        <f t="shared" si="48"/>
        <v>1</v>
      </c>
      <c r="L173" s="706"/>
      <c r="M173" s="14">
        <f t="shared" si="49"/>
        <v>1</v>
      </c>
      <c r="N173" s="706"/>
      <c r="O173" s="14">
        <f t="shared" si="50"/>
        <v>1</v>
      </c>
      <c r="P173" s="706"/>
      <c r="Q173" s="14">
        <f t="shared" si="51"/>
        <v>0.02</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6"/>
      <c r="E174" s="14">
        <f t="shared" si="45"/>
        <v>0.02</v>
      </c>
      <c r="F174" s="706"/>
      <c r="G174" s="14">
        <f t="shared" si="46"/>
        <v>1</v>
      </c>
      <c r="H174" s="706"/>
      <c r="I174" s="14">
        <f t="shared" si="47"/>
        <v>1</v>
      </c>
      <c r="J174" s="706"/>
      <c r="K174" s="14">
        <f t="shared" si="48"/>
        <v>1</v>
      </c>
      <c r="L174" s="706"/>
      <c r="M174" s="14">
        <f t="shared" si="49"/>
        <v>1</v>
      </c>
      <c r="N174" s="706"/>
      <c r="O174" s="14">
        <f t="shared" si="50"/>
        <v>1</v>
      </c>
      <c r="P174" s="706"/>
      <c r="Q174" s="14">
        <f t="shared" si="51"/>
        <v>0.02</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6"/>
      <c r="E175" s="14">
        <f t="shared" si="45"/>
        <v>0.02</v>
      </c>
      <c r="F175" s="706"/>
      <c r="G175" s="14">
        <f t="shared" si="46"/>
        <v>1</v>
      </c>
      <c r="H175" s="706"/>
      <c r="I175" s="14">
        <f t="shared" si="47"/>
        <v>1</v>
      </c>
      <c r="J175" s="706"/>
      <c r="K175" s="14">
        <f t="shared" si="48"/>
        <v>1</v>
      </c>
      <c r="L175" s="706"/>
      <c r="M175" s="14">
        <f t="shared" si="49"/>
        <v>1</v>
      </c>
      <c r="N175" s="706"/>
      <c r="O175" s="14">
        <f t="shared" si="50"/>
        <v>1</v>
      </c>
      <c r="P175" s="706"/>
      <c r="Q175" s="14">
        <f t="shared" si="51"/>
        <v>0.02</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6"/>
      <c r="E176" s="14">
        <f t="shared" si="45"/>
        <v>0.02</v>
      </c>
      <c r="F176" s="706"/>
      <c r="G176" s="14">
        <f t="shared" si="46"/>
        <v>1</v>
      </c>
      <c r="H176" s="706"/>
      <c r="I176" s="14">
        <f t="shared" si="47"/>
        <v>1</v>
      </c>
      <c r="J176" s="706"/>
      <c r="K176" s="14">
        <f t="shared" si="48"/>
        <v>1</v>
      </c>
      <c r="L176" s="706"/>
      <c r="M176" s="14">
        <f t="shared" si="49"/>
        <v>1</v>
      </c>
      <c r="N176" s="706"/>
      <c r="O176" s="14">
        <f t="shared" si="50"/>
        <v>1</v>
      </c>
      <c r="P176" s="706"/>
      <c r="Q176" s="14">
        <f t="shared" si="51"/>
        <v>0.02</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6"/>
      <c r="E177" s="14">
        <f t="shared" si="45"/>
        <v>0.02</v>
      </c>
      <c r="F177" s="706"/>
      <c r="G177" s="14">
        <f t="shared" si="46"/>
        <v>1</v>
      </c>
      <c r="H177" s="706"/>
      <c r="I177" s="14">
        <f t="shared" si="47"/>
        <v>1</v>
      </c>
      <c r="J177" s="706"/>
      <c r="K177" s="14">
        <f t="shared" si="48"/>
        <v>1</v>
      </c>
      <c r="L177" s="706"/>
      <c r="M177" s="14">
        <f t="shared" si="49"/>
        <v>1</v>
      </c>
      <c r="N177" s="706"/>
      <c r="O177" s="14">
        <f t="shared" si="50"/>
        <v>1</v>
      </c>
      <c r="P177" s="706"/>
      <c r="Q177" s="14">
        <f t="shared" si="51"/>
        <v>0.02</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6"/>
      <c r="E178" s="14">
        <f t="shared" si="45"/>
        <v>0.02</v>
      </c>
      <c r="F178" s="706"/>
      <c r="G178" s="14">
        <f t="shared" si="46"/>
        <v>1</v>
      </c>
      <c r="H178" s="706"/>
      <c r="I178" s="14">
        <f t="shared" si="47"/>
        <v>1</v>
      </c>
      <c r="J178" s="706"/>
      <c r="K178" s="14">
        <f t="shared" si="48"/>
        <v>1</v>
      </c>
      <c r="L178" s="706"/>
      <c r="M178" s="14">
        <f t="shared" si="49"/>
        <v>1</v>
      </c>
      <c r="N178" s="706"/>
      <c r="O178" s="14">
        <f t="shared" si="50"/>
        <v>1</v>
      </c>
      <c r="P178" s="706"/>
      <c r="Q178" s="14">
        <f t="shared" si="51"/>
        <v>0.02</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6"/>
      <c r="E179" s="14">
        <f t="shared" si="45"/>
        <v>0.02</v>
      </c>
      <c r="F179" s="706"/>
      <c r="G179" s="14">
        <f t="shared" si="46"/>
        <v>1</v>
      </c>
      <c r="H179" s="706"/>
      <c r="I179" s="14">
        <f t="shared" si="47"/>
        <v>1</v>
      </c>
      <c r="J179" s="706"/>
      <c r="K179" s="14">
        <f t="shared" si="48"/>
        <v>1</v>
      </c>
      <c r="L179" s="706"/>
      <c r="M179" s="14">
        <f t="shared" si="49"/>
        <v>1</v>
      </c>
      <c r="N179" s="706"/>
      <c r="O179" s="14">
        <f t="shared" si="50"/>
        <v>1</v>
      </c>
      <c r="P179" s="706"/>
      <c r="Q179" s="14">
        <f t="shared" si="51"/>
        <v>0.02</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6"/>
      <c r="E180" s="14">
        <f t="shared" si="45"/>
        <v>0.02</v>
      </c>
      <c r="F180" s="706"/>
      <c r="G180" s="14">
        <f t="shared" si="46"/>
        <v>1</v>
      </c>
      <c r="H180" s="706"/>
      <c r="I180" s="14">
        <f t="shared" si="47"/>
        <v>1</v>
      </c>
      <c r="J180" s="706"/>
      <c r="K180" s="14">
        <f t="shared" si="48"/>
        <v>1</v>
      </c>
      <c r="L180" s="706"/>
      <c r="M180" s="14">
        <f t="shared" si="49"/>
        <v>1</v>
      </c>
      <c r="N180" s="706"/>
      <c r="O180" s="14">
        <f t="shared" si="50"/>
        <v>1</v>
      </c>
      <c r="P180" s="706"/>
      <c r="Q180" s="14">
        <f t="shared" si="51"/>
        <v>0.02</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6"/>
      <c r="E181" s="14">
        <f t="shared" si="45"/>
        <v>0.02</v>
      </c>
      <c r="F181" s="706"/>
      <c r="G181" s="14">
        <f t="shared" si="46"/>
        <v>1</v>
      </c>
      <c r="H181" s="706"/>
      <c r="I181" s="14">
        <f t="shared" si="47"/>
        <v>1</v>
      </c>
      <c r="J181" s="706"/>
      <c r="K181" s="14">
        <f t="shared" si="48"/>
        <v>1</v>
      </c>
      <c r="L181" s="706"/>
      <c r="M181" s="14">
        <f t="shared" si="49"/>
        <v>1</v>
      </c>
      <c r="N181" s="706"/>
      <c r="O181" s="14">
        <f t="shared" si="50"/>
        <v>1</v>
      </c>
      <c r="P181" s="706"/>
      <c r="Q181" s="14">
        <f t="shared" si="51"/>
        <v>0.02</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6"/>
      <c r="E182" s="14">
        <f t="shared" si="45"/>
        <v>0.02</v>
      </c>
      <c r="F182" s="706"/>
      <c r="G182" s="14">
        <f t="shared" si="46"/>
        <v>1</v>
      </c>
      <c r="H182" s="706"/>
      <c r="I182" s="14">
        <f t="shared" si="47"/>
        <v>1</v>
      </c>
      <c r="J182" s="706"/>
      <c r="K182" s="14">
        <f t="shared" si="48"/>
        <v>1</v>
      </c>
      <c r="L182" s="706"/>
      <c r="M182" s="14">
        <f t="shared" si="49"/>
        <v>1</v>
      </c>
      <c r="N182" s="706"/>
      <c r="O182" s="14">
        <f t="shared" si="50"/>
        <v>1</v>
      </c>
      <c r="P182" s="706"/>
      <c r="Q182" s="14">
        <f t="shared" si="51"/>
        <v>0.02</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6"/>
      <c r="E183" s="14">
        <f t="shared" si="45"/>
        <v>0.02</v>
      </c>
      <c r="F183" s="706"/>
      <c r="G183" s="14">
        <f t="shared" si="46"/>
        <v>1</v>
      </c>
      <c r="H183" s="706"/>
      <c r="I183" s="14">
        <f t="shared" si="47"/>
        <v>1</v>
      </c>
      <c r="J183" s="706"/>
      <c r="K183" s="14">
        <f t="shared" si="48"/>
        <v>1</v>
      </c>
      <c r="L183" s="706"/>
      <c r="M183" s="14">
        <f t="shared" si="49"/>
        <v>1</v>
      </c>
      <c r="N183" s="706"/>
      <c r="O183" s="14">
        <f t="shared" si="50"/>
        <v>1</v>
      </c>
      <c r="P183" s="706"/>
      <c r="Q183" s="14">
        <f t="shared" si="51"/>
        <v>0.02</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6"/>
      <c r="E184" s="14">
        <f t="shared" si="45"/>
        <v>0.02</v>
      </c>
      <c r="F184" s="706"/>
      <c r="G184" s="14">
        <f t="shared" si="46"/>
        <v>1</v>
      </c>
      <c r="H184" s="706"/>
      <c r="I184" s="14">
        <f t="shared" si="47"/>
        <v>1</v>
      </c>
      <c r="J184" s="706"/>
      <c r="K184" s="14">
        <f t="shared" si="48"/>
        <v>1</v>
      </c>
      <c r="L184" s="706"/>
      <c r="M184" s="14">
        <f t="shared" si="49"/>
        <v>1</v>
      </c>
      <c r="N184" s="706"/>
      <c r="O184" s="14">
        <f t="shared" si="50"/>
        <v>1</v>
      </c>
      <c r="P184" s="706"/>
      <c r="Q184" s="14">
        <f t="shared" si="51"/>
        <v>0.02</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6"/>
      <c r="E185" s="14">
        <f t="shared" si="45"/>
        <v>0.02</v>
      </c>
      <c r="F185" s="706"/>
      <c r="G185" s="14">
        <f t="shared" si="46"/>
        <v>1</v>
      </c>
      <c r="H185" s="706"/>
      <c r="I185" s="14">
        <f t="shared" si="47"/>
        <v>1</v>
      </c>
      <c r="J185" s="706"/>
      <c r="K185" s="14">
        <f t="shared" si="48"/>
        <v>1</v>
      </c>
      <c r="L185" s="706"/>
      <c r="M185" s="14">
        <f t="shared" si="49"/>
        <v>1</v>
      </c>
      <c r="N185" s="706"/>
      <c r="O185" s="14">
        <f t="shared" si="50"/>
        <v>1</v>
      </c>
      <c r="P185" s="706"/>
      <c r="Q185" s="14">
        <f t="shared" si="51"/>
        <v>0.02</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6"/>
      <c r="E186" s="14">
        <f t="shared" si="45"/>
        <v>0.02</v>
      </c>
      <c r="F186" s="706"/>
      <c r="G186" s="14">
        <f t="shared" si="46"/>
        <v>1</v>
      </c>
      <c r="H186" s="706"/>
      <c r="I186" s="14">
        <f t="shared" si="47"/>
        <v>1</v>
      </c>
      <c r="J186" s="706"/>
      <c r="K186" s="14">
        <f t="shared" si="48"/>
        <v>1</v>
      </c>
      <c r="L186" s="706"/>
      <c r="M186" s="14">
        <f t="shared" si="49"/>
        <v>1</v>
      </c>
      <c r="N186" s="706"/>
      <c r="O186" s="14">
        <f t="shared" si="50"/>
        <v>1</v>
      </c>
      <c r="P186" s="706"/>
      <c r="Q186" s="14">
        <f t="shared" si="51"/>
        <v>0.02</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6"/>
      <c r="E187" s="14">
        <f t="shared" si="45"/>
        <v>0.02</v>
      </c>
      <c r="F187" s="706"/>
      <c r="G187" s="14">
        <f t="shared" si="46"/>
        <v>1</v>
      </c>
      <c r="H187" s="706"/>
      <c r="I187" s="14">
        <f t="shared" si="47"/>
        <v>1</v>
      </c>
      <c r="J187" s="706"/>
      <c r="K187" s="14">
        <f t="shared" si="48"/>
        <v>1</v>
      </c>
      <c r="L187" s="706"/>
      <c r="M187" s="14">
        <f t="shared" si="49"/>
        <v>1</v>
      </c>
      <c r="N187" s="706"/>
      <c r="O187" s="14">
        <f t="shared" si="50"/>
        <v>1</v>
      </c>
      <c r="P187" s="706"/>
      <c r="Q187" s="14">
        <f t="shared" si="51"/>
        <v>0.02</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6"/>
      <c r="E188" s="14">
        <f t="shared" si="45"/>
        <v>0.02</v>
      </c>
      <c r="F188" s="706"/>
      <c r="G188" s="14">
        <f t="shared" si="46"/>
        <v>1</v>
      </c>
      <c r="H188" s="706"/>
      <c r="I188" s="14">
        <f t="shared" si="47"/>
        <v>1</v>
      </c>
      <c r="J188" s="706"/>
      <c r="K188" s="14">
        <f t="shared" si="48"/>
        <v>1</v>
      </c>
      <c r="L188" s="706"/>
      <c r="M188" s="14">
        <f t="shared" si="49"/>
        <v>1</v>
      </c>
      <c r="N188" s="706"/>
      <c r="O188" s="14">
        <f t="shared" si="50"/>
        <v>1</v>
      </c>
      <c r="P188" s="706"/>
      <c r="Q188" s="14">
        <f t="shared" si="51"/>
        <v>0.02</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6"/>
      <c r="E189" s="14">
        <f t="shared" si="45"/>
        <v>0.02</v>
      </c>
      <c r="F189" s="706"/>
      <c r="G189" s="14">
        <f t="shared" si="46"/>
        <v>1</v>
      </c>
      <c r="H189" s="706"/>
      <c r="I189" s="14">
        <f t="shared" si="47"/>
        <v>1</v>
      </c>
      <c r="J189" s="706"/>
      <c r="K189" s="14">
        <f t="shared" si="48"/>
        <v>1</v>
      </c>
      <c r="L189" s="706"/>
      <c r="M189" s="14">
        <f t="shared" si="49"/>
        <v>1</v>
      </c>
      <c r="N189" s="706"/>
      <c r="O189" s="14">
        <f t="shared" si="50"/>
        <v>1</v>
      </c>
      <c r="P189" s="706"/>
      <c r="Q189" s="14">
        <f t="shared" si="51"/>
        <v>0.02</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6"/>
      <c r="E190" s="14">
        <f t="shared" si="45"/>
        <v>0.02</v>
      </c>
      <c r="F190" s="706"/>
      <c r="G190" s="14">
        <f t="shared" si="46"/>
        <v>1</v>
      </c>
      <c r="H190" s="706"/>
      <c r="I190" s="14">
        <f t="shared" si="47"/>
        <v>1</v>
      </c>
      <c r="J190" s="706"/>
      <c r="K190" s="14">
        <f t="shared" si="48"/>
        <v>1</v>
      </c>
      <c r="L190" s="706"/>
      <c r="M190" s="14">
        <f t="shared" si="49"/>
        <v>1</v>
      </c>
      <c r="N190" s="706"/>
      <c r="O190" s="14">
        <f t="shared" si="50"/>
        <v>1</v>
      </c>
      <c r="P190" s="706"/>
      <c r="Q190" s="14">
        <f t="shared" si="51"/>
        <v>0.02</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6"/>
      <c r="E191" s="14">
        <f t="shared" si="45"/>
        <v>0.02</v>
      </c>
      <c r="F191" s="706"/>
      <c r="G191" s="14">
        <f t="shared" si="46"/>
        <v>1</v>
      </c>
      <c r="H191" s="706"/>
      <c r="I191" s="14">
        <f t="shared" si="47"/>
        <v>1</v>
      </c>
      <c r="J191" s="706"/>
      <c r="K191" s="14">
        <f t="shared" si="48"/>
        <v>1</v>
      </c>
      <c r="L191" s="706"/>
      <c r="M191" s="14">
        <f t="shared" si="49"/>
        <v>1</v>
      </c>
      <c r="N191" s="706"/>
      <c r="O191" s="14">
        <f t="shared" si="50"/>
        <v>1</v>
      </c>
      <c r="P191" s="706"/>
      <c r="Q191" s="14">
        <f t="shared" si="51"/>
        <v>0.02</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6"/>
      <c r="E192" s="14">
        <f t="shared" si="45"/>
        <v>0.02</v>
      </c>
      <c r="F192" s="706"/>
      <c r="G192" s="14">
        <f t="shared" si="46"/>
        <v>1</v>
      </c>
      <c r="H192" s="706"/>
      <c r="I192" s="14">
        <f t="shared" si="47"/>
        <v>1</v>
      </c>
      <c r="J192" s="706"/>
      <c r="K192" s="14">
        <f t="shared" si="48"/>
        <v>1</v>
      </c>
      <c r="L192" s="706"/>
      <c r="M192" s="14">
        <f t="shared" si="49"/>
        <v>1</v>
      </c>
      <c r="N192" s="706"/>
      <c r="O192" s="14">
        <f t="shared" si="50"/>
        <v>1</v>
      </c>
      <c r="P192" s="706"/>
      <c r="Q192" s="14">
        <f t="shared" si="51"/>
        <v>0.02</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6"/>
      <c r="E193" s="14">
        <f t="shared" si="45"/>
        <v>0.02</v>
      </c>
      <c r="F193" s="706"/>
      <c r="G193" s="14">
        <f t="shared" si="46"/>
        <v>1</v>
      </c>
      <c r="H193" s="706"/>
      <c r="I193" s="14">
        <f t="shared" si="47"/>
        <v>1</v>
      </c>
      <c r="J193" s="706"/>
      <c r="K193" s="14">
        <f t="shared" si="48"/>
        <v>1</v>
      </c>
      <c r="L193" s="706"/>
      <c r="M193" s="14">
        <f t="shared" si="49"/>
        <v>1</v>
      </c>
      <c r="N193" s="706"/>
      <c r="O193" s="14">
        <f t="shared" si="50"/>
        <v>1</v>
      </c>
      <c r="P193" s="706"/>
      <c r="Q193" s="14">
        <f t="shared" si="51"/>
        <v>0.02</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6"/>
      <c r="E194" s="14">
        <f t="shared" si="45"/>
        <v>0.02</v>
      </c>
      <c r="F194" s="706"/>
      <c r="G194" s="14">
        <f t="shared" si="46"/>
        <v>1</v>
      </c>
      <c r="H194" s="706"/>
      <c r="I194" s="14">
        <f t="shared" si="47"/>
        <v>1</v>
      </c>
      <c r="J194" s="706"/>
      <c r="K194" s="14">
        <f t="shared" si="48"/>
        <v>1</v>
      </c>
      <c r="L194" s="706"/>
      <c r="M194" s="14">
        <f t="shared" si="49"/>
        <v>1</v>
      </c>
      <c r="N194" s="706"/>
      <c r="O194" s="14">
        <f t="shared" si="50"/>
        <v>1</v>
      </c>
      <c r="P194" s="706"/>
      <c r="Q194" s="14">
        <f t="shared" si="51"/>
        <v>0.02</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6"/>
      <c r="E195" s="14">
        <f t="shared" si="45"/>
        <v>0.02</v>
      </c>
      <c r="F195" s="706"/>
      <c r="G195" s="14">
        <f t="shared" si="46"/>
        <v>1</v>
      </c>
      <c r="H195" s="706"/>
      <c r="I195" s="14">
        <f t="shared" si="47"/>
        <v>1</v>
      </c>
      <c r="J195" s="706"/>
      <c r="K195" s="14">
        <f t="shared" si="48"/>
        <v>1</v>
      </c>
      <c r="L195" s="706"/>
      <c r="M195" s="14">
        <f t="shared" si="49"/>
        <v>1</v>
      </c>
      <c r="N195" s="706"/>
      <c r="O195" s="14">
        <f t="shared" si="50"/>
        <v>1</v>
      </c>
      <c r="P195" s="706"/>
      <c r="Q195" s="14">
        <f t="shared" si="51"/>
        <v>0.02</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6"/>
      <c r="E196" s="14">
        <f t="shared" si="45"/>
        <v>0.02</v>
      </c>
      <c r="F196" s="706"/>
      <c r="G196" s="14">
        <f t="shared" si="46"/>
        <v>1</v>
      </c>
      <c r="H196" s="706"/>
      <c r="I196" s="14">
        <f t="shared" si="47"/>
        <v>1</v>
      </c>
      <c r="J196" s="706"/>
      <c r="K196" s="14">
        <f t="shared" si="48"/>
        <v>1</v>
      </c>
      <c r="L196" s="706"/>
      <c r="M196" s="14">
        <f t="shared" si="49"/>
        <v>1</v>
      </c>
      <c r="N196" s="706"/>
      <c r="O196" s="14">
        <f t="shared" si="50"/>
        <v>1</v>
      </c>
      <c r="P196" s="706"/>
      <c r="Q196" s="14">
        <f t="shared" si="51"/>
        <v>0.02</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6"/>
      <c r="E197" s="14">
        <f t="shared" si="45"/>
        <v>0.02</v>
      </c>
      <c r="F197" s="706"/>
      <c r="G197" s="14">
        <f t="shared" si="46"/>
        <v>1</v>
      </c>
      <c r="H197" s="706"/>
      <c r="I197" s="14">
        <f t="shared" si="47"/>
        <v>1</v>
      </c>
      <c r="J197" s="706"/>
      <c r="K197" s="14">
        <f t="shared" si="48"/>
        <v>1</v>
      </c>
      <c r="L197" s="706"/>
      <c r="M197" s="14">
        <f t="shared" si="49"/>
        <v>1</v>
      </c>
      <c r="N197" s="706"/>
      <c r="O197" s="14">
        <f t="shared" si="50"/>
        <v>1</v>
      </c>
      <c r="P197" s="706"/>
      <c r="Q197" s="14">
        <f t="shared" si="51"/>
        <v>0.02</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6"/>
      <c r="E198" s="14">
        <f t="shared" si="45"/>
        <v>0.02</v>
      </c>
      <c r="F198" s="706"/>
      <c r="G198" s="14">
        <f t="shared" si="46"/>
        <v>1</v>
      </c>
      <c r="H198" s="706"/>
      <c r="I198" s="14">
        <f t="shared" si="47"/>
        <v>1</v>
      </c>
      <c r="J198" s="706"/>
      <c r="K198" s="14">
        <f t="shared" si="48"/>
        <v>1</v>
      </c>
      <c r="L198" s="706"/>
      <c r="M198" s="14">
        <f t="shared" si="49"/>
        <v>1</v>
      </c>
      <c r="N198" s="706"/>
      <c r="O198" s="14">
        <f t="shared" si="50"/>
        <v>1</v>
      </c>
      <c r="P198" s="706"/>
      <c r="Q198" s="14">
        <f t="shared" si="51"/>
        <v>0.02</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6"/>
      <c r="E199" s="14">
        <f t="shared" si="45"/>
        <v>0.02</v>
      </c>
      <c r="F199" s="706"/>
      <c r="G199" s="14">
        <f t="shared" si="46"/>
        <v>1</v>
      </c>
      <c r="H199" s="706"/>
      <c r="I199" s="14">
        <f t="shared" si="47"/>
        <v>1</v>
      </c>
      <c r="J199" s="706"/>
      <c r="K199" s="14">
        <f t="shared" si="48"/>
        <v>1</v>
      </c>
      <c r="L199" s="706"/>
      <c r="M199" s="14">
        <f t="shared" si="49"/>
        <v>1</v>
      </c>
      <c r="N199" s="706"/>
      <c r="O199" s="14">
        <f t="shared" si="50"/>
        <v>1</v>
      </c>
      <c r="P199" s="706"/>
      <c r="Q199" s="14">
        <f t="shared" si="51"/>
        <v>0.02</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6"/>
      <c r="E200" s="14">
        <f t="shared" si="45"/>
        <v>0.02</v>
      </c>
      <c r="F200" s="706"/>
      <c r="G200" s="14">
        <f t="shared" si="46"/>
        <v>1</v>
      </c>
      <c r="H200" s="706"/>
      <c r="I200" s="14">
        <f t="shared" si="47"/>
        <v>1</v>
      </c>
      <c r="J200" s="706"/>
      <c r="K200" s="14">
        <f t="shared" si="48"/>
        <v>1</v>
      </c>
      <c r="L200" s="706"/>
      <c r="M200" s="14">
        <f t="shared" si="49"/>
        <v>1</v>
      </c>
      <c r="N200" s="706"/>
      <c r="O200" s="14">
        <f t="shared" si="50"/>
        <v>1</v>
      </c>
      <c r="P200" s="706"/>
      <c r="Q200" s="14">
        <f t="shared" si="51"/>
        <v>0.02</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6"/>
      <c r="E201" s="14">
        <f t="shared" si="45"/>
        <v>0.02</v>
      </c>
      <c r="F201" s="706"/>
      <c r="G201" s="14">
        <f t="shared" si="46"/>
        <v>1</v>
      </c>
      <c r="H201" s="706"/>
      <c r="I201" s="14">
        <f t="shared" si="47"/>
        <v>1</v>
      </c>
      <c r="J201" s="706"/>
      <c r="K201" s="14">
        <f t="shared" si="48"/>
        <v>1</v>
      </c>
      <c r="L201" s="706"/>
      <c r="M201" s="14">
        <f t="shared" si="49"/>
        <v>1</v>
      </c>
      <c r="N201" s="706"/>
      <c r="O201" s="14">
        <f t="shared" si="50"/>
        <v>1</v>
      </c>
      <c r="P201" s="706"/>
      <c r="Q201" s="14">
        <f t="shared" si="51"/>
        <v>0.02</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6"/>
      <c r="E202" s="14">
        <f t="shared" si="45"/>
        <v>0.02</v>
      </c>
      <c r="F202" s="706"/>
      <c r="G202" s="14">
        <f t="shared" si="46"/>
        <v>1</v>
      </c>
      <c r="H202" s="706"/>
      <c r="I202" s="14">
        <f t="shared" si="47"/>
        <v>1</v>
      </c>
      <c r="J202" s="706"/>
      <c r="K202" s="14">
        <f t="shared" si="48"/>
        <v>1</v>
      </c>
      <c r="L202" s="706"/>
      <c r="M202" s="14">
        <f t="shared" si="49"/>
        <v>1</v>
      </c>
      <c r="N202" s="706"/>
      <c r="O202" s="14">
        <f t="shared" si="50"/>
        <v>1</v>
      </c>
      <c r="P202" s="706"/>
      <c r="Q202" s="14">
        <f t="shared" si="51"/>
        <v>0.02</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6"/>
      <c r="E203" s="14">
        <f t="shared" si="45"/>
        <v>0.02</v>
      </c>
      <c r="F203" s="706"/>
      <c r="G203" s="14">
        <f t="shared" si="46"/>
        <v>1</v>
      </c>
      <c r="H203" s="706"/>
      <c r="I203" s="14">
        <f t="shared" si="47"/>
        <v>1</v>
      </c>
      <c r="J203" s="706"/>
      <c r="K203" s="14">
        <f t="shared" si="48"/>
        <v>1</v>
      </c>
      <c r="L203" s="706"/>
      <c r="M203" s="14">
        <f t="shared" si="49"/>
        <v>1</v>
      </c>
      <c r="N203" s="706"/>
      <c r="O203" s="14">
        <f t="shared" si="50"/>
        <v>1</v>
      </c>
      <c r="P203" s="706"/>
      <c r="Q203" s="14">
        <f t="shared" si="51"/>
        <v>0.02</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6"/>
      <c r="E204" s="14">
        <f t="shared" si="45"/>
        <v>0.02</v>
      </c>
      <c r="F204" s="706"/>
      <c r="G204" s="14">
        <f t="shared" si="46"/>
        <v>1</v>
      </c>
      <c r="H204" s="706"/>
      <c r="I204" s="14">
        <f t="shared" si="47"/>
        <v>1</v>
      </c>
      <c r="J204" s="706"/>
      <c r="K204" s="14">
        <f t="shared" si="48"/>
        <v>1</v>
      </c>
      <c r="L204" s="706"/>
      <c r="M204" s="14">
        <f t="shared" si="49"/>
        <v>1</v>
      </c>
      <c r="N204" s="706"/>
      <c r="O204" s="14">
        <f t="shared" si="50"/>
        <v>1</v>
      </c>
      <c r="P204" s="706"/>
      <c r="Q204" s="14">
        <f t="shared" si="51"/>
        <v>0.02</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6"/>
      <c r="E205" s="14">
        <f t="shared" si="45"/>
        <v>0.02</v>
      </c>
      <c r="F205" s="706"/>
      <c r="G205" s="14">
        <f t="shared" si="46"/>
        <v>1</v>
      </c>
      <c r="H205" s="706"/>
      <c r="I205" s="14">
        <f t="shared" si="47"/>
        <v>1</v>
      </c>
      <c r="J205" s="706"/>
      <c r="K205" s="14">
        <f t="shared" si="48"/>
        <v>1</v>
      </c>
      <c r="L205" s="706"/>
      <c r="M205" s="14">
        <f t="shared" si="49"/>
        <v>1</v>
      </c>
      <c r="N205" s="706"/>
      <c r="O205" s="14">
        <f t="shared" si="50"/>
        <v>1</v>
      </c>
      <c r="P205" s="706"/>
      <c r="Q205" s="14">
        <f t="shared" si="51"/>
        <v>0.02</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6"/>
      <c r="E206" s="14">
        <f t="shared" si="45"/>
        <v>0.02</v>
      </c>
      <c r="F206" s="706"/>
      <c r="G206" s="14">
        <f t="shared" si="46"/>
        <v>1</v>
      </c>
      <c r="H206" s="706"/>
      <c r="I206" s="14">
        <f t="shared" si="47"/>
        <v>1</v>
      </c>
      <c r="J206" s="706"/>
      <c r="K206" s="14">
        <f t="shared" si="48"/>
        <v>1</v>
      </c>
      <c r="L206" s="706"/>
      <c r="M206" s="14">
        <f t="shared" si="49"/>
        <v>1</v>
      </c>
      <c r="N206" s="706"/>
      <c r="O206" s="14">
        <f t="shared" si="50"/>
        <v>1</v>
      </c>
      <c r="P206" s="706"/>
      <c r="Q206" s="14">
        <f t="shared" si="51"/>
        <v>0.02</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6"/>
      <c r="E207" s="14">
        <f t="shared" si="45"/>
        <v>0.02</v>
      </c>
      <c r="F207" s="706"/>
      <c r="G207" s="14">
        <f t="shared" si="46"/>
        <v>1</v>
      </c>
      <c r="H207" s="706"/>
      <c r="I207" s="14">
        <f t="shared" si="47"/>
        <v>1</v>
      </c>
      <c r="J207" s="706"/>
      <c r="K207" s="14">
        <f t="shared" si="48"/>
        <v>1</v>
      </c>
      <c r="L207" s="706"/>
      <c r="M207" s="14">
        <f t="shared" si="49"/>
        <v>1</v>
      </c>
      <c r="N207" s="706"/>
      <c r="O207" s="14">
        <f t="shared" si="50"/>
        <v>1</v>
      </c>
      <c r="P207" s="706"/>
      <c r="Q207" s="14">
        <f t="shared" si="51"/>
        <v>0.02</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6"/>
      <c r="E208" s="14">
        <f t="shared" si="45"/>
        <v>0.02</v>
      </c>
      <c r="F208" s="706"/>
      <c r="G208" s="14">
        <f t="shared" si="46"/>
        <v>1</v>
      </c>
      <c r="H208" s="706"/>
      <c r="I208" s="14">
        <f t="shared" si="47"/>
        <v>1</v>
      </c>
      <c r="J208" s="706"/>
      <c r="K208" s="14">
        <f t="shared" si="48"/>
        <v>1</v>
      </c>
      <c r="L208" s="706"/>
      <c r="M208" s="14">
        <f t="shared" si="49"/>
        <v>1</v>
      </c>
      <c r="N208" s="706"/>
      <c r="O208" s="14">
        <f t="shared" si="50"/>
        <v>1</v>
      </c>
      <c r="P208" s="706"/>
      <c r="Q208" s="14">
        <f t="shared" si="51"/>
        <v>0.02</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6"/>
      <c r="E209" s="14">
        <f t="shared" si="45"/>
        <v>0.02</v>
      </c>
      <c r="F209" s="706"/>
      <c r="G209" s="14">
        <f t="shared" si="46"/>
        <v>1</v>
      </c>
      <c r="H209" s="706"/>
      <c r="I209" s="14">
        <f t="shared" si="47"/>
        <v>1</v>
      </c>
      <c r="J209" s="706"/>
      <c r="K209" s="14">
        <f t="shared" si="48"/>
        <v>1</v>
      </c>
      <c r="L209" s="706"/>
      <c r="M209" s="14">
        <f t="shared" si="49"/>
        <v>1</v>
      </c>
      <c r="N209" s="706"/>
      <c r="O209" s="14">
        <f t="shared" si="50"/>
        <v>1</v>
      </c>
      <c r="P209" s="706"/>
      <c r="Q209" s="14">
        <f t="shared" si="51"/>
        <v>0.02</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6"/>
      <c r="E210" s="14">
        <f t="shared" si="45"/>
        <v>0.02</v>
      </c>
      <c r="F210" s="706"/>
      <c r="G210" s="14">
        <f t="shared" si="46"/>
        <v>1</v>
      </c>
      <c r="H210" s="706"/>
      <c r="I210" s="14">
        <f t="shared" si="47"/>
        <v>1</v>
      </c>
      <c r="J210" s="706"/>
      <c r="K210" s="14">
        <f t="shared" si="48"/>
        <v>1</v>
      </c>
      <c r="L210" s="706"/>
      <c r="M210" s="14">
        <f t="shared" si="49"/>
        <v>1</v>
      </c>
      <c r="N210" s="706"/>
      <c r="O210" s="14">
        <f t="shared" si="50"/>
        <v>1</v>
      </c>
      <c r="P210" s="706"/>
      <c r="Q210" s="14">
        <f t="shared" si="51"/>
        <v>0.02</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6"/>
      <c r="E211" s="14">
        <f t="shared" si="45"/>
        <v>0.02</v>
      </c>
      <c r="F211" s="706"/>
      <c r="G211" s="14">
        <f t="shared" si="46"/>
        <v>1</v>
      </c>
      <c r="H211" s="706"/>
      <c r="I211" s="14">
        <f t="shared" si="47"/>
        <v>1</v>
      </c>
      <c r="J211" s="706"/>
      <c r="K211" s="14">
        <f t="shared" si="48"/>
        <v>1</v>
      </c>
      <c r="L211" s="706"/>
      <c r="M211" s="14">
        <f t="shared" si="49"/>
        <v>1</v>
      </c>
      <c r="N211" s="706"/>
      <c r="O211" s="14">
        <f t="shared" si="50"/>
        <v>1</v>
      </c>
      <c r="P211" s="706"/>
      <c r="Q211" s="14">
        <f t="shared" si="51"/>
        <v>0.02</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6"/>
      <c r="E212" s="14">
        <f t="shared" si="45"/>
        <v>0.02</v>
      </c>
      <c r="F212" s="706"/>
      <c r="G212" s="14">
        <f t="shared" si="46"/>
        <v>1</v>
      </c>
      <c r="H212" s="706"/>
      <c r="I212" s="14">
        <f t="shared" si="47"/>
        <v>1</v>
      </c>
      <c r="J212" s="706"/>
      <c r="K212" s="14">
        <f t="shared" si="48"/>
        <v>1</v>
      </c>
      <c r="L212" s="706"/>
      <c r="M212" s="14">
        <f t="shared" si="49"/>
        <v>1</v>
      </c>
      <c r="N212" s="706"/>
      <c r="O212" s="14">
        <f t="shared" si="50"/>
        <v>1</v>
      </c>
      <c r="P212" s="706"/>
      <c r="Q212" s="14">
        <f t="shared" si="51"/>
        <v>0.02</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6"/>
      <c r="E213" s="14">
        <f t="shared" si="45"/>
        <v>0.02</v>
      </c>
      <c r="F213" s="706"/>
      <c r="G213" s="14">
        <f t="shared" si="46"/>
        <v>1</v>
      </c>
      <c r="H213" s="706"/>
      <c r="I213" s="14">
        <f t="shared" si="47"/>
        <v>1</v>
      </c>
      <c r="J213" s="706"/>
      <c r="K213" s="14">
        <f t="shared" si="48"/>
        <v>1</v>
      </c>
      <c r="L213" s="706"/>
      <c r="M213" s="14">
        <f t="shared" si="49"/>
        <v>1</v>
      </c>
      <c r="N213" s="706"/>
      <c r="O213" s="14">
        <f t="shared" si="50"/>
        <v>1</v>
      </c>
      <c r="P213" s="706"/>
      <c r="Q213" s="14">
        <f t="shared" si="51"/>
        <v>0.02</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6"/>
      <c r="E214" s="14">
        <f t="shared" si="45"/>
        <v>0.02</v>
      </c>
      <c r="F214" s="706"/>
      <c r="G214" s="14">
        <f t="shared" si="46"/>
        <v>1</v>
      </c>
      <c r="H214" s="706"/>
      <c r="I214" s="14">
        <f t="shared" si="47"/>
        <v>1</v>
      </c>
      <c r="J214" s="706"/>
      <c r="K214" s="14">
        <f t="shared" si="48"/>
        <v>1</v>
      </c>
      <c r="L214" s="706"/>
      <c r="M214" s="14">
        <f t="shared" si="49"/>
        <v>1</v>
      </c>
      <c r="N214" s="706"/>
      <c r="O214" s="14">
        <f t="shared" si="50"/>
        <v>1</v>
      </c>
      <c r="P214" s="706"/>
      <c r="Q214" s="14">
        <f t="shared" si="51"/>
        <v>0.02</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6"/>
      <c r="E215" s="14">
        <f t="shared" si="45"/>
        <v>0.02</v>
      </c>
      <c r="F215" s="706"/>
      <c r="G215" s="14">
        <f t="shared" si="46"/>
        <v>1</v>
      </c>
      <c r="H215" s="706"/>
      <c r="I215" s="14">
        <f t="shared" si="47"/>
        <v>1</v>
      </c>
      <c r="J215" s="706"/>
      <c r="K215" s="14">
        <f t="shared" si="48"/>
        <v>1</v>
      </c>
      <c r="L215" s="706"/>
      <c r="M215" s="14">
        <f t="shared" si="49"/>
        <v>1</v>
      </c>
      <c r="N215" s="706"/>
      <c r="O215" s="14">
        <f t="shared" si="50"/>
        <v>1</v>
      </c>
      <c r="P215" s="706"/>
      <c r="Q215" s="14">
        <f t="shared" si="51"/>
        <v>0.02</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6"/>
      <c r="E216" s="14">
        <f t="shared" si="45"/>
        <v>0.02</v>
      </c>
      <c r="F216" s="706"/>
      <c r="G216" s="14">
        <f t="shared" si="46"/>
        <v>1</v>
      </c>
      <c r="H216" s="706"/>
      <c r="I216" s="14">
        <f t="shared" si="47"/>
        <v>1</v>
      </c>
      <c r="J216" s="706"/>
      <c r="K216" s="14">
        <f t="shared" si="48"/>
        <v>1</v>
      </c>
      <c r="L216" s="706"/>
      <c r="M216" s="14">
        <f t="shared" si="49"/>
        <v>1</v>
      </c>
      <c r="N216" s="706"/>
      <c r="O216" s="14">
        <f t="shared" si="50"/>
        <v>1</v>
      </c>
      <c r="P216" s="706"/>
      <c r="Q216" s="14">
        <f t="shared" si="51"/>
        <v>0.02</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6"/>
      <c r="E217" s="14">
        <f t="shared" si="45"/>
        <v>0.02</v>
      </c>
      <c r="F217" s="706"/>
      <c r="G217" s="14">
        <f t="shared" si="46"/>
        <v>1</v>
      </c>
      <c r="H217" s="706"/>
      <c r="I217" s="14">
        <f t="shared" si="47"/>
        <v>1</v>
      </c>
      <c r="J217" s="706"/>
      <c r="K217" s="14">
        <f t="shared" si="48"/>
        <v>1</v>
      </c>
      <c r="L217" s="706"/>
      <c r="M217" s="14">
        <f t="shared" si="49"/>
        <v>1</v>
      </c>
      <c r="N217" s="706"/>
      <c r="O217" s="14">
        <f t="shared" si="50"/>
        <v>1</v>
      </c>
      <c r="P217" s="706"/>
      <c r="Q217" s="14">
        <f t="shared" si="51"/>
        <v>0.02</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6"/>
      <c r="E218" s="14">
        <f t="shared" si="45"/>
        <v>0.02</v>
      </c>
      <c r="F218" s="706"/>
      <c r="G218" s="14">
        <f t="shared" si="46"/>
        <v>1</v>
      </c>
      <c r="H218" s="706"/>
      <c r="I218" s="14">
        <f t="shared" si="47"/>
        <v>1</v>
      </c>
      <c r="J218" s="706"/>
      <c r="K218" s="14">
        <f t="shared" si="48"/>
        <v>1</v>
      </c>
      <c r="L218" s="706"/>
      <c r="M218" s="14">
        <f t="shared" si="49"/>
        <v>1</v>
      </c>
      <c r="N218" s="706"/>
      <c r="O218" s="14">
        <f t="shared" si="50"/>
        <v>1</v>
      </c>
      <c r="P218" s="706"/>
      <c r="Q218" s="14">
        <f t="shared" si="51"/>
        <v>0.02</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6"/>
      <c r="E219" s="14">
        <f t="shared" si="45"/>
        <v>0.02</v>
      </c>
      <c r="F219" s="706"/>
      <c r="G219" s="14">
        <f t="shared" si="46"/>
        <v>1</v>
      </c>
      <c r="H219" s="706"/>
      <c r="I219" s="14">
        <f t="shared" si="47"/>
        <v>1</v>
      </c>
      <c r="J219" s="706"/>
      <c r="K219" s="14">
        <f t="shared" si="48"/>
        <v>1</v>
      </c>
      <c r="L219" s="706"/>
      <c r="M219" s="14">
        <f t="shared" si="49"/>
        <v>1</v>
      </c>
      <c r="N219" s="706"/>
      <c r="O219" s="14">
        <f t="shared" si="50"/>
        <v>1</v>
      </c>
      <c r="P219" s="706"/>
      <c r="Q219" s="14">
        <f t="shared" si="51"/>
        <v>0.02</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6"/>
      <c r="E220" s="14">
        <f t="shared" ref="E220:E283" si="60">(SUMIF($8:$8,D220,$9:$9)-SUMIF($8:$8,$D$27,$9:$9)+100)/100</f>
        <v>0.02</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0.02</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6"/>
      <c r="E221" s="14">
        <f t="shared" si="60"/>
        <v>0.02</v>
      </c>
      <c r="F221" s="706"/>
      <c r="G221" s="14">
        <f t="shared" si="61"/>
        <v>1</v>
      </c>
      <c r="H221" s="706"/>
      <c r="I221" s="14">
        <f t="shared" si="62"/>
        <v>1</v>
      </c>
      <c r="J221" s="706"/>
      <c r="K221" s="14">
        <f t="shared" si="63"/>
        <v>1</v>
      </c>
      <c r="L221" s="706"/>
      <c r="M221" s="14">
        <f t="shared" si="64"/>
        <v>1</v>
      </c>
      <c r="N221" s="706"/>
      <c r="O221" s="14">
        <f t="shared" si="65"/>
        <v>1</v>
      </c>
      <c r="P221" s="706"/>
      <c r="Q221" s="14">
        <f t="shared" si="66"/>
        <v>0.02</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6"/>
      <c r="E222" s="14">
        <f t="shared" si="60"/>
        <v>0.02</v>
      </c>
      <c r="F222" s="706"/>
      <c r="G222" s="14">
        <f t="shared" si="61"/>
        <v>1</v>
      </c>
      <c r="H222" s="706"/>
      <c r="I222" s="14">
        <f t="shared" si="62"/>
        <v>1</v>
      </c>
      <c r="J222" s="706"/>
      <c r="K222" s="14">
        <f t="shared" si="63"/>
        <v>1</v>
      </c>
      <c r="L222" s="706"/>
      <c r="M222" s="14">
        <f t="shared" si="64"/>
        <v>1</v>
      </c>
      <c r="N222" s="706"/>
      <c r="O222" s="14">
        <f t="shared" si="65"/>
        <v>1</v>
      </c>
      <c r="P222" s="706"/>
      <c r="Q222" s="14">
        <f t="shared" si="66"/>
        <v>0.02</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6"/>
      <c r="E223" s="14">
        <f t="shared" si="60"/>
        <v>0.02</v>
      </c>
      <c r="F223" s="706"/>
      <c r="G223" s="14">
        <f t="shared" si="61"/>
        <v>1</v>
      </c>
      <c r="H223" s="706"/>
      <c r="I223" s="14">
        <f t="shared" si="62"/>
        <v>1</v>
      </c>
      <c r="J223" s="706"/>
      <c r="K223" s="14">
        <f t="shared" si="63"/>
        <v>1</v>
      </c>
      <c r="L223" s="706"/>
      <c r="M223" s="14">
        <f t="shared" si="64"/>
        <v>1</v>
      </c>
      <c r="N223" s="706"/>
      <c r="O223" s="14">
        <f t="shared" si="65"/>
        <v>1</v>
      </c>
      <c r="P223" s="706"/>
      <c r="Q223" s="14">
        <f t="shared" si="66"/>
        <v>0.02</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6"/>
      <c r="E224" s="14">
        <f t="shared" si="60"/>
        <v>0.02</v>
      </c>
      <c r="F224" s="706"/>
      <c r="G224" s="14">
        <f t="shared" si="61"/>
        <v>1</v>
      </c>
      <c r="H224" s="706"/>
      <c r="I224" s="14">
        <f t="shared" si="62"/>
        <v>1</v>
      </c>
      <c r="J224" s="706"/>
      <c r="K224" s="14">
        <f t="shared" si="63"/>
        <v>1</v>
      </c>
      <c r="L224" s="706"/>
      <c r="M224" s="14">
        <f t="shared" si="64"/>
        <v>1</v>
      </c>
      <c r="N224" s="706"/>
      <c r="O224" s="14">
        <f t="shared" si="65"/>
        <v>1</v>
      </c>
      <c r="P224" s="706"/>
      <c r="Q224" s="14">
        <f t="shared" si="66"/>
        <v>0.02</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6"/>
      <c r="E225" s="14">
        <f t="shared" si="60"/>
        <v>0.02</v>
      </c>
      <c r="F225" s="706"/>
      <c r="G225" s="14">
        <f t="shared" si="61"/>
        <v>1</v>
      </c>
      <c r="H225" s="706"/>
      <c r="I225" s="14">
        <f t="shared" si="62"/>
        <v>1</v>
      </c>
      <c r="J225" s="706"/>
      <c r="K225" s="14">
        <f t="shared" si="63"/>
        <v>1</v>
      </c>
      <c r="L225" s="706"/>
      <c r="M225" s="14">
        <f t="shared" si="64"/>
        <v>1</v>
      </c>
      <c r="N225" s="706"/>
      <c r="O225" s="14">
        <f t="shared" si="65"/>
        <v>1</v>
      </c>
      <c r="P225" s="706"/>
      <c r="Q225" s="14">
        <f t="shared" si="66"/>
        <v>0.02</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6"/>
      <c r="E226" s="14">
        <f t="shared" si="60"/>
        <v>0.02</v>
      </c>
      <c r="F226" s="706"/>
      <c r="G226" s="14">
        <f t="shared" si="61"/>
        <v>1</v>
      </c>
      <c r="H226" s="706"/>
      <c r="I226" s="14">
        <f t="shared" si="62"/>
        <v>1</v>
      </c>
      <c r="J226" s="706"/>
      <c r="K226" s="14">
        <f t="shared" si="63"/>
        <v>1</v>
      </c>
      <c r="L226" s="706"/>
      <c r="M226" s="14">
        <f t="shared" si="64"/>
        <v>1</v>
      </c>
      <c r="N226" s="706"/>
      <c r="O226" s="14">
        <f t="shared" si="65"/>
        <v>1</v>
      </c>
      <c r="P226" s="706"/>
      <c r="Q226" s="14">
        <f t="shared" si="66"/>
        <v>0.02</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6"/>
      <c r="E227" s="14">
        <f t="shared" si="60"/>
        <v>0.02</v>
      </c>
      <c r="F227" s="706"/>
      <c r="G227" s="14">
        <f t="shared" si="61"/>
        <v>1</v>
      </c>
      <c r="H227" s="706"/>
      <c r="I227" s="14">
        <f t="shared" si="62"/>
        <v>1</v>
      </c>
      <c r="J227" s="706"/>
      <c r="K227" s="14">
        <f t="shared" si="63"/>
        <v>1</v>
      </c>
      <c r="L227" s="706"/>
      <c r="M227" s="14">
        <f t="shared" si="64"/>
        <v>1</v>
      </c>
      <c r="N227" s="706"/>
      <c r="O227" s="14">
        <f t="shared" si="65"/>
        <v>1</v>
      </c>
      <c r="P227" s="706"/>
      <c r="Q227" s="14">
        <f t="shared" si="66"/>
        <v>0.02</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6"/>
      <c r="E228" s="14">
        <f t="shared" si="60"/>
        <v>0.02</v>
      </c>
      <c r="F228" s="706"/>
      <c r="G228" s="14">
        <f t="shared" si="61"/>
        <v>1</v>
      </c>
      <c r="H228" s="706"/>
      <c r="I228" s="14">
        <f t="shared" si="62"/>
        <v>1</v>
      </c>
      <c r="J228" s="706"/>
      <c r="K228" s="14">
        <f t="shared" si="63"/>
        <v>1</v>
      </c>
      <c r="L228" s="706"/>
      <c r="M228" s="14">
        <f t="shared" si="64"/>
        <v>1</v>
      </c>
      <c r="N228" s="706"/>
      <c r="O228" s="14">
        <f t="shared" si="65"/>
        <v>1</v>
      </c>
      <c r="P228" s="706"/>
      <c r="Q228" s="14">
        <f t="shared" si="66"/>
        <v>0.02</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6"/>
      <c r="E229" s="14">
        <f t="shared" si="60"/>
        <v>0.02</v>
      </c>
      <c r="F229" s="706"/>
      <c r="G229" s="14">
        <f t="shared" si="61"/>
        <v>1</v>
      </c>
      <c r="H229" s="706"/>
      <c r="I229" s="14">
        <f t="shared" si="62"/>
        <v>1</v>
      </c>
      <c r="J229" s="706"/>
      <c r="K229" s="14">
        <f t="shared" si="63"/>
        <v>1</v>
      </c>
      <c r="L229" s="706"/>
      <c r="M229" s="14">
        <f t="shared" si="64"/>
        <v>1</v>
      </c>
      <c r="N229" s="706"/>
      <c r="O229" s="14">
        <f t="shared" si="65"/>
        <v>1</v>
      </c>
      <c r="P229" s="706"/>
      <c r="Q229" s="14">
        <f t="shared" si="66"/>
        <v>0.02</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6"/>
      <c r="E230" s="14">
        <f t="shared" si="60"/>
        <v>0.02</v>
      </c>
      <c r="F230" s="706"/>
      <c r="G230" s="14">
        <f t="shared" si="61"/>
        <v>1</v>
      </c>
      <c r="H230" s="706"/>
      <c r="I230" s="14">
        <f t="shared" si="62"/>
        <v>1</v>
      </c>
      <c r="J230" s="706"/>
      <c r="K230" s="14">
        <f t="shared" si="63"/>
        <v>1</v>
      </c>
      <c r="L230" s="706"/>
      <c r="M230" s="14">
        <f t="shared" si="64"/>
        <v>1</v>
      </c>
      <c r="N230" s="706"/>
      <c r="O230" s="14">
        <f t="shared" si="65"/>
        <v>1</v>
      </c>
      <c r="P230" s="706"/>
      <c r="Q230" s="14">
        <f t="shared" si="66"/>
        <v>0.02</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6"/>
      <c r="E231" s="14">
        <f t="shared" si="60"/>
        <v>0.02</v>
      </c>
      <c r="F231" s="706"/>
      <c r="G231" s="14">
        <f t="shared" si="61"/>
        <v>1</v>
      </c>
      <c r="H231" s="706"/>
      <c r="I231" s="14">
        <f t="shared" si="62"/>
        <v>1</v>
      </c>
      <c r="J231" s="706"/>
      <c r="K231" s="14">
        <f t="shared" si="63"/>
        <v>1</v>
      </c>
      <c r="L231" s="706"/>
      <c r="M231" s="14">
        <f t="shared" si="64"/>
        <v>1</v>
      </c>
      <c r="N231" s="706"/>
      <c r="O231" s="14">
        <f t="shared" si="65"/>
        <v>1</v>
      </c>
      <c r="P231" s="706"/>
      <c r="Q231" s="14">
        <f t="shared" si="66"/>
        <v>0.02</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6"/>
      <c r="E232" s="14">
        <f t="shared" si="60"/>
        <v>0.02</v>
      </c>
      <c r="F232" s="706"/>
      <c r="G232" s="14">
        <f t="shared" si="61"/>
        <v>1</v>
      </c>
      <c r="H232" s="706"/>
      <c r="I232" s="14">
        <f t="shared" si="62"/>
        <v>1</v>
      </c>
      <c r="J232" s="706"/>
      <c r="K232" s="14">
        <f t="shared" si="63"/>
        <v>1</v>
      </c>
      <c r="L232" s="706"/>
      <c r="M232" s="14">
        <f t="shared" si="64"/>
        <v>1</v>
      </c>
      <c r="N232" s="706"/>
      <c r="O232" s="14">
        <f t="shared" si="65"/>
        <v>1</v>
      </c>
      <c r="P232" s="706"/>
      <c r="Q232" s="14">
        <f t="shared" si="66"/>
        <v>0.02</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6"/>
      <c r="E233" s="14">
        <f t="shared" si="60"/>
        <v>0.02</v>
      </c>
      <c r="F233" s="706"/>
      <c r="G233" s="14">
        <f t="shared" si="61"/>
        <v>1</v>
      </c>
      <c r="H233" s="706"/>
      <c r="I233" s="14">
        <f t="shared" si="62"/>
        <v>1</v>
      </c>
      <c r="J233" s="706"/>
      <c r="K233" s="14">
        <f t="shared" si="63"/>
        <v>1</v>
      </c>
      <c r="L233" s="706"/>
      <c r="M233" s="14">
        <f t="shared" si="64"/>
        <v>1</v>
      </c>
      <c r="N233" s="706"/>
      <c r="O233" s="14">
        <f t="shared" si="65"/>
        <v>1</v>
      </c>
      <c r="P233" s="706"/>
      <c r="Q233" s="14">
        <f t="shared" si="66"/>
        <v>0.02</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6"/>
      <c r="E234" s="14">
        <f t="shared" si="60"/>
        <v>0.02</v>
      </c>
      <c r="F234" s="706"/>
      <c r="G234" s="14">
        <f t="shared" si="61"/>
        <v>1</v>
      </c>
      <c r="H234" s="706"/>
      <c r="I234" s="14">
        <f t="shared" si="62"/>
        <v>1</v>
      </c>
      <c r="J234" s="706"/>
      <c r="K234" s="14">
        <f t="shared" si="63"/>
        <v>1</v>
      </c>
      <c r="L234" s="706"/>
      <c r="M234" s="14">
        <f t="shared" si="64"/>
        <v>1</v>
      </c>
      <c r="N234" s="706"/>
      <c r="O234" s="14">
        <f t="shared" si="65"/>
        <v>1</v>
      </c>
      <c r="P234" s="706"/>
      <c r="Q234" s="14">
        <f t="shared" si="66"/>
        <v>0.02</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6"/>
      <c r="E235" s="14">
        <f t="shared" si="60"/>
        <v>0.02</v>
      </c>
      <c r="F235" s="706"/>
      <c r="G235" s="14">
        <f t="shared" si="61"/>
        <v>1</v>
      </c>
      <c r="H235" s="706"/>
      <c r="I235" s="14">
        <f t="shared" si="62"/>
        <v>1</v>
      </c>
      <c r="J235" s="706"/>
      <c r="K235" s="14">
        <f t="shared" si="63"/>
        <v>1</v>
      </c>
      <c r="L235" s="706"/>
      <c r="M235" s="14">
        <f t="shared" si="64"/>
        <v>1</v>
      </c>
      <c r="N235" s="706"/>
      <c r="O235" s="14">
        <f t="shared" si="65"/>
        <v>1</v>
      </c>
      <c r="P235" s="706"/>
      <c r="Q235" s="14">
        <f t="shared" si="66"/>
        <v>0.02</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6"/>
      <c r="E236" s="14">
        <f t="shared" si="60"/>
        <v>0.02</v>
      </c>
      <c r="F236" s="706"/>
      <c r="G236" s="14">
        <f t="shared" si="61"/>
        <v>1</v>
      </c>
      <c r="H236" s="706"/>
      <c r="I236" s="14">
        <f t="shared" si="62"/>
        <v>1</v>
      </c>
      <c r="J236" s="706"/>
      <c r="K236" s="14">
        <f t="shared" si="63"/>
        <v>1</v>
      </c>
      <c r="L236" s="706"/>
      <c r="M236" s="14">
        <f t="shared" si="64"/>
        <v>1</v>
      </c>
      <c r="N236" s="706"/>
      <c r="O236" s="14">
        <f t="shared" si="65"/>
        <v>1</v>
      </c>
      <c r="P236" s="706"/>
      <c r="Q236" s="14">
        <f t="shared" si="66"/>
        <v>0.02</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6"/>
      <c r="E237" s="14">
        <f t="shared" si="60"/>
        <v>0.02</v>
      </c>
      <c r="F237" s="706"/>
      <c r="G237" s="14">
        <f t="shared" si="61"/>
        <v>1</v>
      </c>
      <c r="H237" s="706"/>
      <c r="I237" s="14">
        <f t="shared" si="62"/>
        <v>1</v>
      </c>
      <c r="J237" s="706"/>
      <c r="K237" s="14">
        <f t="shared" si="63"/>
        <v>1</v>
      </c>
      <c r="L237" s="706"/>
      <c r="M237" s="14">
        <f t="shared" si="64"/>
        <v>1</v>
      </c>
      <c r="N237" s="706"/>
      <c r="O237" s="14">
        <f t="shared" si="65"/>
        <v>1</v>
      </c>
      <c r="P237" s="706"/>
      <c r="Q237" s="14">
        <f t="shared" si="66"/>
        <v>0.02</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6"/>
      <c r="E238" s="14">
        <f t="shared" si="60"/>
        <v>0.02</v>
      </c>
      <c r="F238" s="706"/>
      <c r="G238" s="14">
        <f t="shared" si="61"/>
        <v>1</v>
      </c>
      <c r="H238" s="706"/>
      <c r="I238" s="14">
        <f t="shared" si="62"/>
        <v>1</v>
      </c>
      <c r="J238" s="706"/>
      <c r="K238" s="14">
        <f t="shared" si="63"/>
        <v>1</v>
      </c>
      <c r="L238" s="706"/>
      <c r="M238" s="14">
        <f t="shared" si="64"/>
        <v>1</v>
      </c>
      <c r="N238" s="706"/>
      <c r="O238" s="14">
        <f t="shared" si="65"/>
        <v>1</v>
      </c>
      <c r="P238" s="706"/>
      <c r="Q238" s="14">
        <f t="shared" si="66"/>
        <v>0.02</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6"/>
      <c r="E239" s="14">
        <f t="shared" si="60"/>
        <v>0.02</v>
      </c>
      <c r="F239" s="706"/>
      <c r="G239" s="14">
        <f t="shared" si="61"/>
        <v>1</v>
      </c>
      <c r="H239" s="706"/>
      <c r="I239" s="14">
        <f t="shared" si="62"/>
        <v>1</v>
      </c>
      <c r="J239" s="706"/>
      <c r="K239" s="14">
        <f t="shared" si="63"/>
        <v>1</v>
      </c>
      <c r="L239" s="706"/>
      <c r="M239" s="14">
        <f t="shared" si="64"/>
        <v>1</v>
      </c>
      <c r="N239" s="706"/>
      <c r="O239" s="14">
        <f t="shared" si="65"/>
        <v>1</v>
      </c>
      <c r="P239" s="706"/>
      <c r="Q239" s="14">
        <f t="shared" si="66"/>
        <v>0.02</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6"/>
      <c r="E240" s="14">
        <f t="shared" si="60"/>
        <v>0.02</v>
      </c>
      <c r="F240" s="706"/>
      <c r="G240" s="14">
        <f t="shared" si="61"/>
        <v>1</v>
      </c>
      <c r="H240" s="706"/>
      <c r="I240" s="14">
        <f t="shared" si="62"/>
        <v>1</v>
      </c>
      <c r="J240" s="706"/>
      <c r="K240" s="14">
        <f t="shared" si="63"/>
        <v>1</v>
      </c>
      <c r="L240" s="706"/>
      <c r="M240" s="14">
        <f t="shared" si="64"/>
        <v>1</v>
      </c>
      <c r="N240" s="706"/>
      <c r="O240" s="14">
        <f t="shared" si="65"/>
        <v>1</v>
      </c>
      <c r="P240" s="706"/>
      <c r="Q240" s="14">
        <f t="shared" si="66"/>
        <v>0.02</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6"/>
      <c r="E241" s="14">
        <f t="shared" si="60"/>
        <v>0.02</v>
      </c>
      <c r="F241" s="706"/>
      <c r="G241" s="14">
        <f t="shared" si="61"/>
        <v>1</v>
      </c>
      <c r="H241" s="706"/>
      <c r="I241" s="14">
        <f t="shared" si="62"/>
        <v>1</v>
      </c>
      <c r="J241" s="706"/>
      <c r="K241" s="14">
        <f t="shared" si="63"/>
        <v>1</v>
      </c>
      <c r="L241" s="706"/>
      <c r="M241" s="14">
        <f t="shared" si="64"/>
        <v>1</v>
      </c>
      <c r="N241" s="706"/>
      <c r="O241" s="14">
        <f t="shared" si="65"/>
        <v>1</v>
      </c>
      <c r="P241" s="706"/>
      <c r="Q241" s="14">
        <f t="shared" si="66"/>
        <v>0.02</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6"/>
      <c r="E242" s="14">
        <f t="shared" si="60"/>
        <v>0.02</v>
      </c>
      <c r="F242" s="706"/>
      <c r="G242" s="14">
        <f t="shared" si="61"/>
        <v>1</v>
      </c>
      <c r="H242" s="706"/>
      <c r="I242" s="14">
        <f t="shared" si="62"/>
        <v>1</v>
      </c>
      <c r="J242" s="706"/>
      <c r="K242" s="14">
        <f t="shared" si="63"/>
        <v>1</v>
      </c>
      <c r="L242" s="706"/>
      <c r="M242" s="14">
        <f t="shared" si="64"/>
        <v>1</v>
      </c>
      <c r="N242" s="706"/>
      <c r="O242" s="14">
        <f t="shared" si="65"/>
        <v>1</v>
      </c>
      <c r="P242" s="706"/>
      <c r="Q242" s="14">
        <f t="shared" si="66"/>
        <v>0.02</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6"/>
      <c r="E243" s="14">
        <f t="shared" si="60"/>
        <v>0.02</v>
      </c>
      <c r="F243" s="706"/>
      <c r="G243" s="14">
        <f t="shared" si="61"/>
        <v>1</v>
      </c>
      <c r="H243" s="706"/>
      <c r="I243" s="14">
        <f t="shared" si="62"/>
        <v>1</v>
      </c>
      <c r="J243" s="706"/>
      <c r="K243" s="14">
        <f t="shared" si="63"/>
        <v>1</v>
      </c>
      <c r="L243" s="706"/>
      <c r="M243" s="14">
        <f t="shared" si="64"/>
        <v>1</v>
      </c>
      <c r="N243" s="706"/>
      <c r="O243" s="14">
        <f t="shared" si="65"/>
        <v>1</v>
      </c>
      <c r="P243" s="706"/>
      <c r="Q243" s="14">
        <f t="shared" si="66"/>
        <v>0.02</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6"/>
      <c r="E244" s="14">
        <f t="shared" si="60"/>
        <v>0.02</v>
      </c>
      <c r="F244" s="706"/>
      <c r="G244" s="14">
        <f t="shared" si="61"/>
        <v>1</v>
      </c>
      <c r="H244" s="706"/>
      <c r="I244" s="14">
        <f t="shared" si="62"/>
        <v>1</v>
      </c>
      <c r="J244" s="706"/>
      <c r="K244" s="14">
        <f t="shared" si="63"/>
        <v>1</v>
      </c>
      <c r="L244" s="706"/>
      <c r="M244" s="14">
        <f t="shared" si="64"/>
        <v>1</v>
      </c>
      <c r="N244" s="706"/>
      <c r="O244" s="14">
        <f t="shared" si="65"/>
        <v>1</v>
      </c>
      <c r="P244" s="706"/>
      <c r="Q244" s="14">
        <f t="shared" si="66"/>
        <v>0.02</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6"/>
      <c r="E245" s="14">
        <f t="shared" si="60"/>
        <v>0.02</v>
      </c>
      <c r="F245" s="706"/>
      <c r="G245" s="14">
        <f t="shared" si="61"/>
        <v>1</v>
      </c>
      <c r="H245" s="706"/>
      <c r="I245" s="14">
        <f t="shared" si="62"/>
        <v>1</v>
      </c>
      <c r="J245" s="706"/>
      <c r="K245" s="14">
        <f t="shared" si="63"/>
        <v>1</v>
      </c>
      <c r="L245" s="706"/>
      <c r="M245" s="14">
        <f t="shared" si="64"/>
        <v>1</v>
      </c>
      <c r="N245" s="706"/>
      <c r="O245" s="14">
        <f t="shared" si="65"/>
        <v>1</v>
      </c>
      <c r="P245" s="706"/>
      <c r="Q245" s="14">
        <f t="shared" si="66"/>
        <v>0.02</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6"/>
      <c r="E246" s="14">
        <f t="shared" si="60"/>
        <v>0.02</v>
      </c>
      <c r="F246" s="706"/>
      <c r="G246" s="14">
        <f t="shared" si="61"/>
        <v>1</v>
      </c>
      <c r="H246" s="706"/>
      <c r="I246" s="14">
        <f t="shared" si="62"/>
        <v>1</v>
      </c>
      <c r="J246" s="706"/>
      <c r="K246" s="14">
        <f t="shared" si="63"/>
        <v>1</v>
      </c>
      <c r="L246" s="706"/>
      <c r="M246" s="14">
        <f t="shared" si="64"/>
        <v>1</v>
      </c>
      <c r="N246" s="706"/>
      <c r="O246" s="14">
        <f t="shared" si="65"/>
        <v>1</v>
      </c>
      <c r="P246" s="706"/>
      <c r="Q246" s="14">
        <f t="shared" si="66"/>
        <v>0.02</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6"/>
      <c r="E247" s="14">
        <f t="shared" si="60"/>
        <v>0.02</v>
      </c>
      <c r="F247" s="706"/>
      <c r="G247" s="14">
        <f t="shared" si="61"/>
        <v>1</v>
      </c>
      <c r="H247" s="706"/>
      <c r="I247" s="14">
        <f t="shared" si="62"/>
        <v>1</v>
      </c>
      <c r="J247" s="706"/>
      <c r="K247" s="14">
        <f t="shared" si="63"/>
        <v>1</v>
      </c>
      <c r="L247" s="706"/>
      <c r="M247" s="14">
        <f t="shared" si="64"/>
        <v>1</v>
      </c>
      <c r="N247" s="706"/>
      <c r="O247" s="14">
        <f t="shared" si="65"/>
        <v>1</v>
      </c>
      <c r="P247" s="706"/>
      <c r="Q247" s="14">
        <f t="shared" si="66"/>
        <v>0.02</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6"/>
      <c r="E248" s="14">
        <f t="shared" si="60"/>
        <v>0.02</v>
      </c>
      <c r="F248" s="706"/>
      <c r="G248" s="14">
        <f t="shared" si="61"/>
        <v>1</v>
      </c>
      <c r="H248" s="706"/>
      <c r="I248" s="14">
        <f t="shared" si="62"/>
        <v>1</v>
      </c>
      <c r="J248" s="706"/>
      <c r="K248" s="14">
        <f t="shared" si="63"/>
        <v>1</v>
      </c>
      <c r="L248" s="706"/>
      <c r="M248" s="14">
        <f t="shared" si="64"/>
        <v>1</v>
      </c>
      <c r="N248" s="706"/>
      <c r="O248" s="14">
        <f t="shared" si="65"/>
        <v>1</v>
      </c>
      <c r="P248" s="706"/>
      <c r="Q248" s="14">
        <f t="shared" si="66"/>
        <v>0.02</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6"/>
      <c r="E249" s="14">
        <f t="shared" si="60"/>
        <v>0.02</v>
      </c>
      <c r="F249" s="706"/>
      <c r="G249" s="14">
        <f t="shared" si="61"/>
        <v>1</v>
      </c>
      <c r="H249" s="706"/>
      <c r="I249" s="14">
        <f t="shared" si="62"/>
        <v>1</v>
      </c>
      <c r="J249" s="706"/>
      <c r="K249" s="14">
        <f t="shared" si="63"/>
        <v>1</v>
      </c>
      <c r="L249" s="706"/>
      <c r="M249" s="14">
        <f t="shared" si="64"/>
        <v>1</v>
      </c>
      <c r="N249" s="706"/>
      <c r="O249" s="14">
        <f t="shared" si="65"/>
        <v>1</v>
      </c>
      <c r="P249" s="706"/>
      <c r="Q249" s="14">
        <f t="shared" si="66"/>
        <v>0.02</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6"/>
      <c r="E250" s="14">
        <f t="shared" si="60"/>
        <v>0.02</v>
      </c>
      <c r="F250" s="706"/>
      <c r="G250" s="14">
        <f t="shared" si="61"/>
        <v>1</v>
      </c>
      <c r="H250" s="706"/>
      <c r="I250" s="14">
        <f t="shared" si="62"/>
        <v>1</v>
      </c>
      <c r="J250" s="706"/>
      <c r="K250" s="14">
        <f t="shared" si="63"/>
        <v>1</v>
      </c>
      <c r="L250" s="706"/>
      <c r="M250" s="14">
        <f t="shared" si="64"/>
        <v>1</v>
      </c>
      <c r="N250" s="706"/>
      <c r="O250" s="14">
        <f t="shared" si="65"/>
        <v>1</v>
      </c>
      <c r="P250" s="706"/>
      <c r="Q250" s="14">
        <f t="shared" si="66"/>
        <v>0.02</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6"/>
      <c r="E251" s="14">
        <f t="shared" si="60"/>
        <v>0.02</v>
      </c>
      <c r="F251" s="706"/>
      <c r="G251" s="14">
        <f t="shared" si="61"/>
        <v>1</v>
      </c>
      <c r="H251" s="706"/>
      <c r="I251" s="14">
        <f t="shared" si="62"/>
        <v>1</v>
      </c>
      <c r="J251" s="706"/>
      <c r="K251" s="14">
        <f t="shared" si="63"/>
        <v>1</v>
      </c>
      <c r="L251" s="706"/>
      <c r="M251" s="14">
        <f t="shared" si="64"/>
        <v>1</v>
      </c>
      <c r="N251" s="706"/>
      <c r="O251" s="14">
        <f t="shared" si="65"/>
        <v>1</v>
      </c>
      <c r="P251" s="706"/>
      <c r="Q251" s="14">
        <f t="shared" si="66"/>
        <v>0.02</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6"/>
      <c r="E252" s="14">
        <f t="shared" si="60"/>
        <v>0.02</v>
      </c>
      <c r="F252" s="706"/>
      <c r="G252" s="14">
        <f t="shared" si="61"/>
        <v>1</v>
      </c>
      <c r="H252" s="706"/>
      <c r="I252" s="14">
        <f t="shared" si="62"/>
        <v>1</v>
      </c>
      <c r="J252" s="706"/>
      <c r="K252" s="14">
        <f t="shared" si="63"/>
        <v>1</v>
      </c>
      <c r="L252" s="706"/>
      <c r="M252" s="14">
        <f t="shared" si="64"/>
        <v>1</v>
      </c>
      <c r="N252" s="706"/>
      <c r="O252" s="14">
        <f t="shared" si="65"/>
        <v>1</v>
      </c>
      <c r="P252" s="706"/>
      <c r="Q252" s="14">
        <f t="shared" si="66"/>
        <v>0.02</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6"/>
      <c r="E253" s="14">
        <f t="shared" si="60"/>
        <v>0.02</v>
      </c>
      <c r="F253" s="706"/>
      <c r="G253" s="14">
        <f t="shared" si="61"/>
        <v>1</v>
      </c>
      <c r="H253" s="706"/>
      <c r="I253" s="14">
        <f t="shared" si="62"/>
        <v>1</v>
      </c>
      <c r="J253" s="706"/>
      <c r="K253" s="14">
        <f t="shared" si="63"/>
        <v>1</v>
      </c>
      <c r="L253" s="706"/>
      <c r="M253" s="14">
        <f t="shared" si="64"/>
        <v>1</v>
      </c>
      <c r="N253" s="706"/>
      <c r="O253" s="14">
        <f t="shared" si="65"/>
        <v>1</v>
      </c>
      <c r="P253" s="706"/>
      <c r="Q253" s="14">
        <f t="shared" si="66"/>
        <v>0.02</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6"/>
      <c r="E254" s="14">
        <f t="shared" si="60"/>
        <v>0.02</v>
      </c>
      <c r="F254" s="706"/>
      <c r="G254" s="14">
        <f t="shared" si="61"/>
        <v>1</v>
      </c>
      <c r="H254" s="706"/>
      <c r="I254" s="14">
        <f t="shared" si="62"/>
        <v>1</v>
      </c>
      <c r="J254" s="706"/>
      <c r="K254" s="14">
        <f t="shared" si="63"/>
        <v>1</v>
      </c>
      <c r="L254" s="706"/>
      <c r="M254" s="14">
        <f t="shared" si="64"/>
        <v>1</v>
      </c>
      <c r="N254" s="706"/>
      <c r="O254" s="14">
        <f t="shared" si="65"/>
        <v>1</v>
      </c>
      <c r="P254" s="706"/>
      <c r="Q254" s="14">
        <f t="shared" si="66"/>
        <v>0.02</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6"/>
      <c r="E255" s="14">
        <f t="shared" si="60"/>
        <v>0.02</v>
      </c>
      <c r="F255" s="706"/>
      <c r="G255" s="14">
        <f t="shared" si="61"/>
        <v>1</v>
      </c>
      <c r="H255" s="706"/>
      <c r="I255" s="14">
        <f t="shared" si="62"/>
        <v>1</v>
      </c>
      <c r="J255" s="706"/>
      <c r="K255" s="14">
        <f t="shared" si="63"/>
        <v>1</v>
      </c>
      <c r="L255" s="706"/>
      <c r="M255" s="14">
        <f t="shared" si="64"/>
        <v>1</v>
      </c>
      <c r="N255" s="706"/>
      <c r="O255" s="14">
        <f t="shared" si="65"/>
        <v>1</v>
      </c>
      <c r="P255" s="706"/>
      <c r="Q255" s="14">
        <f t="shared" si="66"/>
        <v>0.02</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6"/>
      <c r="E256" s="14">
        <f t="shared" si="60"/>
        <v>0.02</v>
      </c>
      <c r="F256" s="706"/>
      <c r="G256" s="14">
        <f t="shared" si="61"/>
        <v>1</v>
      </c>
      <c r="H256" s="706"/>
      <c r="I256" s="14">
        <f t="shared" si="62"/>
        <v>1</v>
      </c>
      <c r="J256" s="706"/>
      <c r="K256" s="14">
        <f t="shared" si="63"/>
        <v>1</v>
      </c>
      <c r="L256" s="706"/>
      <c r="M256" s="14">
        <f t="shared" si="64"/>
        <v>1</v>
      </c>
      <c r="N256" s="706"/>
      <c r="O256" s="14">
        <f t="shared" si="65"/>
        <v>1</v>
      </c>
      <c r="P256" s="706"/>
      <c r="Q256" s="14">
        <f t="shared" si="66"/>
        <v>0.02</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6"/>
      <c r="E257" s="14">
        <f t="shared" si="60"/>
        <v>0.02</v>
      </c>
      <c r="F257" s="706"/>
      <c r="G257" s="14">
        <f t="shared" si="61"/>
        <v>1</v>
      </c>
      <c r="H257" s="706"/>
      <c r="I257" s="14">
        <f t="shared" si="62"/>
        <v>1</v>
      </c>
      <c r="J257" s="706"/>
      <c r="K257" s="14">
        <f t="shared" si="63"/>
        <v>1</v>
      </c>
      <c r="L257" s="706"/>
      <c r="M257" s="14">
        <f t="shared" si="64"/>
        <v>1</v>
      </c>
      <c r="N257" s="706"/>
      <c r="O257" s="14">
        <f t="shared" si="65"/>
        <v>1</v>
      </c>
      <c r="P257" s="706"/>
      <c r="Q257" s="14">
        <f t="shared" si="66"/>
        <v>0.02</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6"/>
      <c r="E258" s="14">
        <f t="shared" si="60"/>
        <v>0.02</v>
      </c>
      <c r="F258" s="706"/>
      <c r="G258" s="14">
        <f t="shared" si="61"/>
        <v>1</v>
      </c>
      <c r="H258" s="706"/>
      <c r="I258" s="14">
        <f t="shared" si="62"/>
        <v>1</v>
      </c>
      <c r="J258" s="706"/>
      <c r="K258" s="14">
        <f t="shared" si="63"/>
        <v>1</v>
      </c>
      <c r="L258" s="706"/>
      <c r="M258" s="14">
        <f t="shared" si="64"/>
        <v>1</v>
      </c>
      <c r="N258" s="706"/>
      <c r="O258" s="14">
        <f t="shared" si="65"/>
        <v>1</v>
      </c>
      <c r="P258" s="706"/>
      <c r="Q258" s="14">
        <f t="shared" si="66"/>
        <v>0.02</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6"/>
      <c r="E259" s="14">
        <f t="shared" si="60"/>
        <v>0.02</v>
      </c>
      <c r="F259" s="706"/>
      <c r="G259" s="14">
        <f t="shared" si="61"/>
        <v>1</v>
      </c>
      <c r="H259" s="706"/>
      <c r="I259" s="14">
        <f t="shared" si="62"/>
        <v>1</v>
      </c>
      <c r="J259" s="706"/>
      <c r="K259" s="14">
        <f t="shared" si="63"/>
        <v>1</v>
      </c>
      <c r="L259" s="706"/>
      <c r="M259" s="14">
        <f t="shared" si="64"/>
        <v>1</v>
      </c>
      <c r="N259" s="706"/>
      <c r="O259" s="14">
        <f t="shared" si="65"/>
        <v>1</v>
      </c>
      <c r="P259" s="706"/>
      <c r="Q259" s="14">
        <f t="shared" si="66"/>
        <v>0.02</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6"/>
      <c r="E260" s="14">
        <f t="shared" si="60"/>
        <v>0.02</v>
      </c>
      <c r="F260" s="706"/>
      <c r="G260" s="14">
        <f t="shared" si="61"/>
        <v>1</v>
      </c>
      <c r="H260" s="706"/>
      <c r="I260" s="14">
        <f t="shared" si="62"/>
        <v>1</v>
      </c>
      <c r="J260" s="706"/>
      <c r="K260" s="14">
        <f t="shared" si="63"/>
        <v>1</v>
      </c>
      <c r="L260" s="706"/>
      <c r="M260" s="14">
        <f t="shared" si="64"/>
        <v>1</v>
      </c>
      <c r="N260" s="706"/>
      <c r="O260" s="14">
        <f t="shared" si="65"/>
        <v>1</v>
      </c>
      <c r="P260" s="706"/>
      <c r="Q260" s="14">
        <f t="shared" si="66"/>
        <v>0.02</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6"/>
      <c r="E261" s="14">
        <f t="shared" si="60"/>
        <v>0.02</v>
      </c>
      <c r="F261" s="706"/>
      <c r="G261" s="14">
        <f t="shared" si="61"/>
        <v>1</v>
      </c>
      <c r="H261" s="706"/>
      <c r="I261" s="14">
        <f t="shared" si="62"/>
        <v>1</v>
      </c>
      <c r="J261" s="706"/>
      <c r="K261" s="14">
        <f t="shared" si="63"/>
        <v>1</v>
      </c>
      <c r="L261" s="706"/>
      <c r="M261" s="14">
        <f t="shared" si="64"/>
        <v>1</v>
      </c>
      <c r="N261" s="706"/>
      <c r="O261" s="14">
        <f t="shared" si="65"/>
        <v>1</v>
      </c>
      <c r="P261" s="706"/>
      <c r="Q261" s="14">
        <f t="shared" si="66"/>
        <v>0.02</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6"/>
      <c r="E262" s="14">
        <f t="shared" si="60"/>
        <v>0.02</v>
      </c>
      <c r="F262" s="706"/>
      <c r="G262" s="14">
        <f t="shared" si="61"/>
        <v>1</v>
      </c>
      <c r="H262" s="706"/>
      <c r="I262" s="14">
        <f t="shared" si="62"/>
        <v>1</v>
      </c>
      <c r="J262" s="706"/>
      <c r="K262" s="14">
        <f t="shared" si="63"/>
        <v>1</v>
      </c>
      <c r="L262" s="706"/>
      <c r="M262" s="14">
        <f t="shared" si="64"/>
        <v>1</v>
      </c>
      <c r="N262" s="706"/>
      <c r="O262" s="14">
        <f t="shared" si="65"/>
        <v>1</v>
      </c>
      <c r="P262" s="706"/>
      <c r="Q262" s="14">
        <f t="shared" si="66"/>
        <v>0.02</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6"/>
      <c r="E263" s="14">
        <f t="shared" si="60"/>
        <v>0.02</v>
      </c>
      <c r="F263" s="706"/>
      <c r="G263" s="14">
        <f t="shared" si="61"/>
        <v>1</v>
      </c>
      <c r="H263" s="706"/>
      <c r="I263" s="14">
        <f t="shared" si="62"/>
        <v>1</v>
      </c>
      <c r="J263" s="706"/>
      <c r="K263" s="14">
        <f t="shared" si="63"/>
        <v>1</v>
      </c>
      <c r="L263" s="706"/>
      <c r="M263" s="14">
        <f t="shared" si="64"/>
        <v>1</v>
      </c>
      <c r="N263" s="706"/>
      <c r="O263" s="14">
        <f t="shared" si="65"/>
        <v>1</v>
      </c>
      <c r="P263" s="706"/>
      <c r="Q263" s="14">
        <f t="shared" si="66"/>
        <v>0.02</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6"/>
      <c r="E264" s="14">
        <f t="shared" si="60"/>
        <v>0.02</v>
      </c>
      <c r="F264" s="706"/>
      <c r="G264" s="14">
        <f t="shared" si="61"/>
        <v>1</v>
      </c>
      <c r="H264" s="706"/>
      <c r="I264" s="14">
        <f t="shared" si="62"/>
        <v>1</v>
      </c>
      <c r="J264" s="706"/>
      <c r="K264" s="14">
        <f t="shared" si="63"/>
        <v>1</v>
      </c>
      <c r="L264" s="706"/>
      <c r="M264" s="14">
        <f t="shared" si="64"/>
        <v>1</v>
      </c>
      <c r="N264" s="706"/>
      <c r="O264" s="14">
        <f t="shared" si="65"/>
        <v>1</v>
      </c>
      <c r="P264" s="706"/>
      <c r="Q264" s="14">
        <f t="shared" si="66"/>
        <v>0.02</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6"/>
      <c r="E265" s="14">
        <f t="shared" si="60"/>
        <v>0.02</v>
      </c>
      <c r="F265" s="706"/>
      <c r="G265" s="14">
        <f t="shared" si="61"/>
        <v>1</v>
      </c>
      <c r="H265" s="706"/>
      <c r="I265" s="14">
        <f t="shared" si="62"/>
        <v>1</v>
      </c>
      <c r="J265" s="706"/>
      <c r="K265" s="14">
        <f t="shared" si="63"/>
        <v>1</v>
      </c>
      <c r="L265" s="706"/>
      <c r="M265" s="14">
        <f t="shared" si="64"/>
        <v>1</v>
      </c>
      <c r="N265" s="706"/>
      <c r="O265" s="14">
        <f t="shared" si="65"/>
        <v>1</v>
      </c>
      <c r="P265" s="706"/>
      <c r="Q265" s="14">
        <f t="shared" si="66"/>
        <v>0.02</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6"/>
      <c r="E266" s="14">
        <f t="shared" si="60"/>
        <v>0.02</v>
      </c>
      <c r="F266" s="706"/>
      <c r="G266" s="14">
        <f t="shared" si="61"/>
        <v>1</v>
      </c>
      <c r="H266" s="706"/>
      <c r="I266" s="14">
        <f t="shared" si="62"/>
        <v>1</v>
      </c>
      <c r="J266" s="706"/>
      <c r="K266" s="14">
        <f t="shared" si="63"/>
        <v>1</v>
      </c>
      <c r="L266" s="706"/>
      <c r="M266" s="14">
        <f t="shared" si="64"/>
        <v>1</v>
      </c>
      <c r="N266" s="706"/>
      <c r="O266" s="14">
        <f t="shared" si="65"/>
        <v>1</v>
      </c>
      <c r="P266" s="706"/>
      <c r="Q266" s="14">
        <f t="shared" si="66"/>
        <v>0.02</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6"/>
      <c r="E267" s="14">
        <f t="shared" si="60"/>
        <v>0.02</v>
      </c>
      <c r="F267" s="706"/>
      <c r="G267" s="14">
        <f t="shared" si="61"/>
        <v>1</v>
      </c>
      <c r="H267" s="706"/>
      <c r="I267" s="14">
        <f t="shared" si="62"/>
        <v>1</v>
      </c>
      <c r="J267" s="706"/>
      <c r="K267" s="14">
        <f t="shared" si="63"/>
        <v>1</v>
      </c>
      <c r="L267" s="706"/>
      <c r="M267" s="14">
        <f t="shared" si="64"/>
        <v>1</v>
      </c>
      <c r="N267" s="706"/>
      <c r="O267" s="14">
        <f t="shared" si="65"/>
        <v>1</v>
      </c>
      <c r="P267" s="706"/>
      <c r="Q267" s="14">
        <f t="shared" si="66"/>
        <v>0.02</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6"/>
      <c r="E268" s="14">
        <f t="shared" si="60"/>
        <v>0.02</v>
      </c>
      <c r="F268" s="706"/>
      <c r="G268" s="14">
        <f t="shared" si="61"/>
        <v>1</v>
      </c>
      <c r="H268" s="706"/>
      <c r="I268" s="14">
        <f t="shared" si="62"/>
        <v>1</v>
      </c>
      <c r="J268" s="706"/>
      <c r="K268" s="14">
        <f t="shared" si="63"/>
        <v>1</v>
      </c>
      <c r="L268" s="706"/>
      <c r="M268" s="14">
        <f t="shared" si="64"/>
        <v>1</v>
      </c>
      <c r="N268" s="706"/>
      <c r="O268" s="14">
        <f t="shared" si="65"/>
        <v>1</v>
      </c>
      <c r="P268" s="706"/>
      <c r="Q268" s="14">
        <f t="shared" si="66"/>
        <v>0.02</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6"/>
      <c r="E269" s="14">
        <f t="shared" si="60"/>
        <v>0.02</v>
      </c>
      <c r="F269" s="706"/>
      <c r="G269" s="14">
        <f t="shared" si="61"/>
        <v>1</v>
      </c>
      <c r="H269" s="706"/>
      <c r="I269" s="14">
        <f t="shared" si="62"/>
        <v>1</v>
      </c>
      <c r="J269" s="706"/>
      <c r="K269" s="14">
        <f t="shared" si="63"/>
        <v>1</v>
      </c>
      <c r="L269" s="706"/>
      <c r="M269" s="14">
        <f t="shared" si="64"/>
        <v>1</v>
      </c>
      <c r="N269" s="706"/>
      <c r="O269" s="14">
        <f t="shared" si="65"/>
        <v>1</v>
      </c>
      <c r="P269" s="706"/>
      <c r="Q269" s="14">
        <f t="shared" si="66"/>
        <v>0.02</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6"/>
      <c r="E270" s="14">
        <f t="shared" si="60"/>
        <v>0.02</v>
      </c>
      <c r="F270" s="706"/>
      <c r="G270" s="14">
        <f t="shared" si="61"/>
        <v>1</v>
      </c>
      <c r="H270" s="706"/>
      <c r="I270" s="14">
        <f t="shared" si="62"/>
        <v>1</v>
      </c>
      <c r="J270" s="706"/>
      <c r="K270" s="14">
        <f t="shared" si="63"/>
        <v>1</v>
      </c>
      <c r="L270" s="706"/>
      <c r="M270" s="14">
        <f t="shared" si="64"/>
        <v>1</v>
      </c>
      <c r="N270" s="706"/>
      <c r="O270" s="14">
        <f t="shared" si="65"/>
        <v>1</v>
      </c>
      <c r="P270" s="706"/>
      <c r="Q270" s="14">
        <f t="shared" si="66"/>
        <v>0.02</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6"/>
      <c r="E271" s="14">
        <f t="shared" si="60"/>
        <v>0.02</v>
      </c>
      <c r="F271" s="706"/>
      <c r="G271" s="14">
        <f t="shared" si="61"/>
        <v>1</v>
      </c>
      <c r="H271" s="706"/>
      <c r="I271" s="14">
        <f t="shared" si="62"/>
        <v>1</v>
      </c>
      <c r="J271" s="706"/>
      <c r="K271" s="14">
        <f t="shared" si="63"/>
        <v>1</v>
      </c>
      <c r="L271" s="706"/>
      <c r="M271" s="14">
        <f t="shared" si="64"/>
        <v>1</v>
      </c>
      <c r="N271" s="706"/>
      <c r="O271" s="14">
        <f t="shared" si="65"/>
        <v>1</v>
      </c>
      <c r="P271" s="706"/>
      <c r="Q271" s="14">
        <f t="shared" si="66"/>
        <v>0.02</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6"/>
      <c r="E272" s="14">
        <f t="shared" si="60"/>
        <v>0.02</v>
      </c>
      <c r="F272" s="706"/>
      <c r="G272" s="14">
        <f t="shared" si="61"/>
        <v>1</v>
      </c>
      <c r="H272" s="706"/>
      <c r="I272" s="14">
        <f t="shared" si="62"/>
        <v>1</v>
      </c>
      <c r="J272" s="706"/>
      <c r="K272" s="14">
        <f t="shared" si="63"/>
        <v>1</v>
      </c>
      <c r="L272" s="706"/>
      <c r="M272" s="14">
        <f t="shared" si="64"/>
        <v>1</v>
      </c>
      <c r="N272" s="706"/>
      <c r="O272" s="14">
        <f t="shared" si="65"/>
        <v>1</v>
      </c>
      <c r="P272" s="706"/>
      <c r="Q272" s="14">
        <f t="shared" si="66"/>
        <v>0.02</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6"/>
      <c r="E273" s="14">
        <f t="shared" si="60"/>
        <v>0.02</v>
      </c>
      <c r="F273" s="706"/>
      <c r="G273" s="14">
        <f t="shared" si="61"/>
        <v>1</v>
      </c>
      <c r="H273" s="706"/>
      <c r="I273" s="14">
        <f t="shared" si="62"/>
        <v>1</v>
      </c>
      <c r="J273" s="706"/>
      <c r="K273" s="14">
        <f t="shared" si="63"/>
        <v>1</v>
      </c>
      <c r="L273" s="706"/>
      <c r="M273" s="14">
        <f t="shared" si="64"/>
        <v>1</v>
      </c>
      <c r="N273" s="706"/>
      <c r="O273" s="14">
        <f t="shared" si="65"/>
        <v>1</v>
      </c>
      <c r="P273" s="706"/>
      <c r="Q273" s="14">
        <f t="shared" si="66"/>
        <v>0.02</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6"/>
      <c r="E274" s="14">
        <f t="shared" si="60"/>
        <v>0.02</v>
      </c>
      <c r="F274" s="706"/>
      <c r="G274" s="14">
        <f t="shared" si="61"/>
        <v>1</v>
      </c>
      <c r="H274" s="706"/>
      <c r="I274" s="14">
        <f t="shared" si="62"/>
        <v>1</v>
      </c>
      <c r="J274" s="706"/>
      <c r="K274" s="14">
        <f t="shared" si="63"/>
        <v>1</v>
      </c>
      <c r="L274" s="706"/>
      <c r="M274" s="14">
        <f t="shared" si="64"/>
        <v>1</v>
      </c>
      <c r="N274" s="706"/>
      <c r="O274" s="14">
        <f t="shared" si="65"/>
        <v>1</v>
      </c>
      <c r="P274" s="706"/>
      <c r="Q274" s="14">
        <f t="shared" si="66"/>
        <v>0.02</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6"/>
      <c r="E275" s="14">
        <f t="shared" si="60"/>
        <v>0.02</v>
      </c>
      <c r="F275" s="706"/>
      <c r="G275" s="14">
        <f t="shared" si="61"/>
        <v>1</v>
      </c>
      <c r="H275" s="706"/>
      <c r="I275" s="14">
        <f t="shared" si="62"/>
        <v>1</v>
      </c>
      <c r="J275" s="706"/>
      <c r="K275" s="14">
        <f t="shared" si="63"/>
        <v>1</v>
      </c>
      <c r="L275" s="706"/>
      <c r="M275" s="14">
        <f t="shared" si="64"/>
        <v>1</v>
      </c>
      <c r="N275" s="706"/>
      <c r="O275" s="14">
        <f t="shared" si="65"/>
        <v>1</v>
      </c>
      <c r="P275" s="706"/>
      <c r="Q275" s="14">
        <f t="shared" si="66"/>
        <v>0.02</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6"/>
      <c r="E276" s="14">
        <f t="shared" si="60"/>
        <v>0.02</v>
      </c>
      <c r="F276" s="706"/>
      <c r="G276" s="14">
        <f t="shared" si="61"/>
        <v>1</v>
      </c>
      <c r="H276" s="706"/>
      <c r="I276" s="14">
        <f t="shared" si="62"/>
        <v>1</v>
      </c>
      <c r="J276" s="706"/>
      <c r="K276" s="14">
        <f t="shared" si="63"/>
        <v>1</v>
      </c>
      <c r="L276" s="706"/>
      <c r="M276" s="14">
        <f t="shared" si="64"/>
        <v>1</v>
      </c>
      <c r="N276" s="706"/>
      <c r="O276" s="14">
        <f t="shared" si="65"/>
        <v>1</v>
      </c>
      <c r="P276" s="706"/>
      <c r="Q276" s="14">
        <f t="shared" si="66"/>
        <v>0.02</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6"/>
      <c r="E277" s="14">
        <f t="shared" si="60"/>
        <v>0.02</v>
      </c>
      <c r="F277" s="706"/>
      <c r="G277" s="14">
        <f t="shared" si="61"/>
        <v>1</v>
      </c>
      <c r="H277" s="706"/>
      <c r="I277" s="14">
        <f t="shared" si="62"/>
        <v>1</v>
      </c>
      <c r="J277" s="706"/>
      <c r="K277" s="14">
        <f t="shared" si="63"/>
        <v>1</v>
      </c>
      <c r="L277" s="706"/>
      <c r="M277" s="14">
        <f t="shared" si="64"/>
        <v>1</v>
      </c>
      <c r="N277" s="706"/>
      <c r="O277" s="14">
        <f t="shared" si="65"/>
        <v>1</v>
      </c>
      <c r="P277" s="706"/>
      <c r="Q277" s="14">
        <f t="shared" si="66"/>
        <v>0.02</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6"/>
      <c r="E278" s="14">
        <f t="shared" si="60"/>
        <v>0.02</v>
      </c>
      <c r="F278" s="706"/>
      <c r="G278" s="14">
        <f t="shared" si="61"/>
        <v>1</v>
      </c>
      <c r="H278" s="706"/>
      <c r="I278" s="14">
        <f t="shared" si="62"/>
        <v>1</v>
      </c>
      <c r="J278" s="706"/>
      <c r="K278" s="14">
        <f t="shared" si="63"/>
        <v>1</v>
      </c>
      <c r="L278" s="706"/>
      <c r="M278" s="14">
        <f t="shared" si="64"/>
        <v>1</v>
      </c>
      <c r="N278" s="706"/>
      <c r="O278" s="14">
        <f t="shared" si="65"/>
        <v>1</v>
      </c>
      <c r="P278" s="706"/>
      <c r="Q278" s="14">
        <f t="shared" si="66"/>
        <v>0.02</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6"/>
      <c r="E279" s="14">
        <f t="shared" si="60"/>
        <v>0.02</v>
      </c>
      <c r="F279" s="706"/>
      <c r="G279" s="14">
        <f t="shared" si="61"/>
        <v>1</v>
      </c>
      <c r="H279" s="706"/>
      <c r="I279" s="14">
        <f t="shared" si="62"/>
        <v>1</v>
      </c>
      <c r="J279" s="706"/>
      <c r="K279" s="14">
        <f t="shared" si="63"/>
        <v>1</v>
      </c>
      <c r="L279" s="706"/>
      <c r="M279" s="14">
        <f t="shared" si="64"/>
        <v>1</v>
      </c>
      <c r="N279" s="706"/>
      <c r="O279" s="14">
        <f t="shared" si="65"/>
        <v>1</v>
      </c>
      <c r="P279" s="706"/>
      <c r="Q279" s="14">
        <f t="shared" si="66"/>
        <v>0.02</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6"/>
      <c r="E280" s="14">
        <f t="shared" si="60"/>
        <v>0.02</v>
      </c>
      <c r="F280" s="706"/>
      <c r="G280" s="14">
        <f t="shared" si="61"/>
        <v>1</v>
      </c>
      <c r="H280" s="706"/>
      <c r="I280" s="14">
        <f t="shared" si="62"/>
        <v>1</v>
      </c>
      <c r="J280" s="706"/>
      <c r="K280" s="14">
        <f t="shared" si="63"/>
        <v>1</v>
      </c>
      <c r="L280" s="706"/>
      <c r="M280" s="14">
        <f t="shared" si="64"/>
        <v>1</v>
      </c>
      <c r="N280" s="706"/>
      <c r="O280" s="14">
        <f t="shared" si="65"/>
        <v>1</v>
      </c>
      <c r="P280" s="706"/>
      <c r="Q280" s="14">
        <f t="shared" si="66"/>
        <v>0.02</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6"/>
      <c r="E281" s="14">
        <f t="shared" si="60"/>
        <v>0.02</v>
      </c>
      <c r="F281" s="706"/>
      <c r="G281" s="14">
        <f t="shared" si="61"/>
        <v>1</v>
      </c>
      <c r="H281" s="706"/>
      <c r="I281" s="14">
        <f t="shared" si="62"/>
        <v>1</v>
      </c>
      <c r="J281" s="706"/>
      <c r="K281" s="14">
        <f t="shared" si="63"/>
        <v>1</v>
      </c>
      <c r="L281" s="706"/>
      <c r="M281" s="14">
        <f t="shared" si="64"/>
        <v>1</v>
      </c>
      <c r="N281" s="706"/>
      <c r="O281" s="14">
        <f t="shared" si="65"/>
        <v>1</v>
      </c>
      <c r="P281" s="706"/>
      <c r="Q281" s="14">
        <f t="shared" si="66"/>
        <v>0.02</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6"/>
      <c r="E282" s="14">
        <f t="shared" si="60"/>
        <v>0.02</v>
      </c>
      <c r="F282" s="706"/>
      <c r="G282" s="14">
        <f t="shared" si="61"/>
        <v>1</v>
      </c>
      <c r="H282" s="706"/>
      <c r="I282" s="14">
        <f t="shared" si="62"/>
        <v>1</v>
      </c>
      <c r="J282" s="706"/>
      <c r="K282" s="14">
        <f t="shared" si="63"/>
        <v>1</v>
      </c>
      <c r="L282" s="706"/>
      <c r="M282" s="14">
        <f t="shared" si="64"/>
        <v>1</v>
      </c>
      <c r="N282" s="706"/>
      <c r="O282" s="14">
        <f t="shared" si="65"/>
        <v>1</v>
      </c>
      <c r="P282" s="706"/>
      <c r="Q282" s="14">
        <f t="shared" si="66"/>
        <v>0.02</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6"/>
      <c r="E283" s="14">
        <f t="shared" si="60"/>
        <v>0.02</v>
      </c>
      <c r="F283" s="706"/>
      <c r="G283" s="14">
        <f t="shared" si="61"/>
        <v>1</v>
      </c>
      <c r="H283" s="706"/>
      <c r="I283" s="14">
        <f t="shared" si="62"/>
        <v>1</v>
      </c>
      <c r="J283" s="706"/>
      <c r="K283" s="14">
        <f t="shared" si="63"/>
        <v>1</v>
      </c>
      <c r="L283" s="706"/>
      <c r="M283" s="14">
        <f t="shared" si="64"/>
        <v>1</v>
      </c>
      <c r="N283" s="706"/>
      <c r="O283" s="14">
        <f t="shared" si="65"/>
        <v>1</v>
      </c>
      <c r="P283" s="706"/>
      <c r="Q283" s="14">
        <f t="shared" si="66"/>
        <v>0.02</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6"/>
      <c r="E284" s="14">
        <f t="shared" ref="E284:E347" si="75">(SUMIF($8:$8,D284,$9:$9)-SUMIF($8:$8,$D$27,$9:$9)+100)/100</f>
        <v>0.02</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0.02</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6"/>
      <c r="E285" s="14">
        <f t="shared" si="75"/>
        <v>0.02</v>
      </c>
      <c r="F285" s="706"/>
      <c r="G285" s="14">
        <f t="shared" si="76"/>
        <v>1</v>
      </c>
      <c r="H285" s="706"/>
      <c r="I285" s="14">
        <f t="shared" si="77"/>
        <v>1</v>
      </c>
      <c r="J285" s="706"/>
      <c r="K285" s="14">
        <f t="shared" si="78"/>
        <v>1</v>
      </c>
      <c r="L285" s="706"/>
      <c r="M285" s="14">
        <f t="shared" si="79"/>
        <v>1</v>
      </c>
      <c r="N285" s="706"/>
      <c r="O285" s="14">
        <f t="shared" si="80"/>
        <v>1</v>
      </c>
      <c r="P285" s="706"/>
      <c r="Q285" s="14">
        <f t="shared" si="81"/>
        <v>0.02</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6"/>
      <c r="E286" s="14">
        <f t="shared" si="75"/>
        <v>0.02</v>
      </c>
      <c r="F286" s="706"/>
      <c r="G286" s="14">
        <f t="shared" si="76"/>
        <v>1</v>
      </c>
      <c r="H286" s="706"/>
      <c r="I286" s="14">
        <f t="shared" si="77"/>
        <v>1</v>
      </c>
      <c r="J286" s="706"/>
      <c r="K286" s="14">
        <f t="shared" si="78"/>
        <v>1</v>
      </c>
      <c r="L286" s="706"/>
      <c r="M286" s="14">
        <f t="shared" si="79"/>
        <v>1</v>
      </c>
      <c r="N286" s="706"/>
      <c r="O286" s="14">
        <f t="shared" si="80"/>
        <v>1</v>
      </c>
      <c r="P286" s="706"/>
      <c r="Q286" s="14">
        <f t="shared" si="81"/>
        <v>0.02</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6"/>
      <c r="E287" s="14">
        <f t="shared" si="75"/>
        <v>0.02</v>
      </c>
      <c r="F287" s="706"/>
      <c r="G287" s="14">
        <f t="shared" si="76"/>
        <v>1</v>
      </c>
      <c r="H287" s="706"/>
      <c r="I287" s="14">
        <f t="shared" si="77"/>
        <v>1</v>
      </c>
      <c r="J287" s="706"/>
      <c r="K287" s="14">
        <f t="shared" si="78"/>
        <v>1</v>
      </c>
      <c r="L287" s="706"/>
      <c r="M287" s="14">
        <f t="shared" si="79"/>
        <v>1</v>
      </c>
      <c r="N287" s="706"/>
      <c r="O287" s="14">
        <f t="shared" si="80"/>
        <v>1</v>
      </c>
      <c r="P287" s="706"/>
      <c r="Q287" s="14">
        <f t="shared" si="81"/>
        <v>0.02</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6"/>
      <c r="E288" s="14">
        <f t="shared" si="75"/>
        <v>0.02</v>
      </c>
      <c r="F288" s="706"/>
      <c r="G288" s="14">
        <f t="shared" si="76"/>
        <v>1</v>
      </c>
      <c r="H288" s="706"/>
      <c r="I288" s="14">
        <f t="shared" si="77"/>
        <v>1</v>
      </c>
      <c r="J288" s="706"/>
      <c r="K288" s="14">
        <f t="shared" si="78"/>
        <v>1</v>
      </c>
      <c r="L288" s="706"/>
      <c r="M288" s="14">
        <f t="shared" si="79"/>
        <v>1</v>
      </c>
      <c r="N288" s="706"/>
      <c r="O288" s="14">
        <f t="shared" si="80"/>
        <v>1</v>
      </c>
      <c r="P288" s="706"/>
      <c r="Q288" s="14">
        <f t="shared" si="81"/>
        <v>0.02</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6"/>
      <c r="E289" s="14">
        <f t="shared" si="75"/>
        <v>0.02</v>
      </c>
      <c r="F289" s="706"/>
      <c r="G289" s="14">
        <f t="shared" si="76"/>
        <v>1</v>
      </c>
      <c r="H289" s="706"/>
      <c r="I289" s="14">
        <f t="shared" si="77"/>
        <v>1</v>
      </c>
      <c r="J289" s="706"/>
      <c r="K289" s="14">
        <f t="shared" si="78"/>
        <v>1</v>
      </c>
      <c r="L289" s="706"/>
      <c r="M289" s="14">
        <f t="shared" si="79"/>
        <v>1</v>
      </c>
      <c r="N289" s="706"/>
      <c r="O289" s="14">
        <f t="shared" si="80"/>
        <v>1</v>
      </c>
      <c r="P289" s="706"/>
      <c r="Q289" s="14">
        <f t="shared" si="81"/>
        <v>0.02</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6"/>
      <c r="E290" s="14">
        <f t="shared" si="75"/>
        <v>0.02</v>
      </c>
      <c r="F290" s="706"/>
      <c r="G290" s="14">
        <f t="shared" si="76"/>
        <v>1</v>
      </c>
      <c r="H290" s="706"/>
      <c r="I290" s="14">
        <f t="shared" si="77"/>
        <v>1</v>
      </c>
      <c r="J290" s="706"/>
      <c r="K290" s="14">
        <f t="shared" si="78"/>
        <v>1</v>
      </c>
      <c r="L290" s="706"/>
      <c r="M290" s="14">
        <f t="shared" si="79"/>
        <v>1</v>
      </c>
      <c r="N290" s="706"/>
      <c r="O290" s="14">
        <f t="shared" si="80"/>
        <v>1</v>
      </c>
      <c r="P290" s="706"/>
      <c r="Q290" s="14">
        <f t="shared" si="81"/>
        <v>0.02</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6"/>
      <c r="E291" s="14">
        <f t="shared" si="75"/>
        <v>0.02</v>
      </c>
      <c r="F291" s="706"/>
      <c r="G291" s="14">
        <f t="shared" si="76"/>
        <v>1</v>
      </c>
      <c r="H291" s="706"/>
      <c r="I291" s="14">
        <f t="shared" si="77"/>
        <v>1</v>
      </c>
      <c r="J291" s="706"/>
      <c r="K291" s="14">
        <f t="shared" si="78"/>
        <v>1</v>
      </c>
      <c r="L291" s="706"/>
      <c r="M291" s="14">
        <f t="shared" si="79"/>
        <v>1</v>
      </c>
      <c r="N291" s="706"/>
      <c r="O291" s="14">
        <f t="shared" si="80"/>
        <v>1</v>
      </c>
      <c r="P291" s="706"/>
      <c r="Q291" s="14">
        <f t="shared" si="81"/>
        <v>0.02</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6"/>
      <c r="E292" s="14">
        <f t="shared" si="75"/>
        <v>0.02</v>
      </c>
      <c r="F292" s="706"/>
      <c r="G292" s="14">
        <f t="shared" si="76"/>
        <v>1</v>
      </c>
      <c r="H292" s="706"/>
      <c r="I292" s="14">
        <f t="shared" si="77"/>
        <v>1</v>
      </c>
      <c r="J292" s="706"/>
      <c r="K292" s="14">
        <f t="shared" si="78"/>
        <v>1</v>
      </c>
      <c r="L292" s="706"/>
      <c r="M292" s="14">
        <f t="shared" si="79"/>
        <v>1</v>
      </c>
      <c r="N292" s="706"/>
      <c r="O292" s="14">
        <f t="shared" si="80"/>
        <v>1</v>
      </c>
      <c r="P292" s="706"/>
      <c r="Q292" s="14">
        <f t="shared" si="81"/>
        <v>0.02</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6"/>
      <c r="E293" s="14">
        <f t="shared" si="75"/>
        <v>0.02</v>
      </c>
      <c r="F293" s="706"/>
      <c r="G293" s="14">
        <f t="shared" si="76"/>
        <v>1</v>
      </c>
      <c r="H293" s="706"/>
      <c r="I293" s="14">
        <f t="shared" si="77"/>
        <v>1</v>
      </c>
      <c r="J293" s="706"/>
      <c r="K293" s="14">
        <f t="shared" si="78"/>
        <v>1</v>
      </c>
      <c r="L293" s="706"/>
      <c r="M293" s="14">
        <f t="shared" si="79"/>
        <v>1</v>
      </c>
      <c r="N293" s="706"/>
      <c r="O293" s="14">
        <f t="shared" si="80"/>
        <v>1</v>
      </c>
      <c r="P293" s="706"/>
      <c r="Q293" s="14">
        <f t="shared" si="81"/>
        <v>0.02</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6"/>
      <c r="E294" s="14">
        <f t="shared" si="75"/>
        <v>0.02</v>
      </c>
      <c r="F294" s="706"/>
      <c r="G294" s="14">
        <f t="shared" si="76"/>
        <v>1</v>
      </c>
      <c r="H294" s="706"/>
      <c r="I294" s="14">
        <f t="shared" si="77"/>
        <v>1</v>
      </c>
      <c r="J294" s="706"/>
      <c r="K294" s="14">
        <f t="shared" si="78"/>
        <v>1</v>
      </c>
      <c r="L294" s="706"/>
      <c r="M294" s="14">
        <f t="shared" si="79"/>
        <v>1</v>
      </c>
      <c r="N294" s="706"/>
      <c r="O294" s="14">
        <f t="shared" si="80"/>
        <v>1</v>
      </c>
      <c r="P294" s="706"/>
      <c r="Q294" s="14">
        <f t="shared" si="81"/>
        <v>0.02</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6"/>
      <c r="E295" s="14">
        <f t="shared" si="75"/>
        <v>0.02</v>
      </c>
      <c r="F295" s="706"/>
      <c r="G295" s="14">
        <f t="shared" si="76"/>
        <v>1</v>
      </c>
      <c r="H295" s="706"/>
      <c r="I295" s="14">
        <f t="shared" si="77"/>
        <v>1</v>
      </c>
      <c r="J295" s="706"/>
      <c r="K295" s="14">
        <f t="shared" si="78"/>
        <v>1</v>
      </c>
      <c r="L295" s="706"/>
      <c r="M295" s="14">
        <f t="shared" si="79"/>
        <v>1</v>
      </c>
      <c r="N295" s="706"/>
      <c r="O295" s="14">
        <f t="shared" si="80"/>
        <v>1</v>
      </c>
      <c r="P295" s="706"/>
      <c r="Q295" s="14">
        <f t="shared" si="81"/>
        <v>0.02</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6"/>
      <c r="E296" s="14">
        <f t="shared" si="75"/>
        <v>0.02</v>
      </c>
      <c r="F296" s="706"/>
      <c r="G296" s="14">
        <f t="shared" si="76"/>
        <v>1</v>
      </c>
      <c r="H296" s="706"/>
      <c r="I296" s="14">
        <f t="shared" si="77"/>
        <v>1</v>
      </c>
      <c r="J296" s="706"/>
      <c r="K296" s="14">
        <f t="shared" si="78"/>
        <v>1</v>
      </c>
      <c r="L296" s="706"/>
      <c r="M296" s="14">
        <f t="shared" si="79"/>
        <v>1</v>
      </c>
      <c r="N296" s="706"/>
      <c r="O296" s="14">
        <f t="shared" si="80"/>
        <v>1</v>
      </c>
      <c r="P296" s="706"/>
      <c r="Q296" s="14">
        <f t="shared" si="81"/>
        <v>0.02</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6"/>
      <c r="E297" s="14">
        <f t="shared" si="75"/>
        <v>0.02</v>
      </c>
      <c r="F297" s="706"/>
      <c r="G297" s="14">
        <f t="shared" si="76"/>
        <v>1</v>
      </c>
      <c r="H297" s="706"/>
      <c r="I297" s="14">
        <f t="shared" si="77"/>
        <v>1</v>
      </c>
      <c r="J297" s="706"/>
      <c r="K297" s="14">
        <f t="shared" si="78"/>
        <v>1</v>
      </c>
      <c r="L297" s="706"/>
      <c r="M297" s="14">
        <f t="shared" si="79"/>
        <v>1</v>
      </c>
      <c r="N297" s="706"/>
      <c r="O297" s="14">
        <f t="shared" si="80"/>
        <v>1</v>
      </c>
      <c r="P297" s="706"/>
      <c r="Q297" s="14">
        <f t="shared" si="81"/>
        <v>0.02</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6"/>
      <c r="E298" s="14">
        <f t="shared" si="75"/>
        <v>0.02</v>
      </c>
      <c r="F298" s="706"/>
      <c r="G298" s="14">
        <f t="shared" si="76"/>
        <v>1</v>
      </c>
      <c r="H298" s="706"/>
      <c r="I298" s="14">
        <f t="shared" si="77"/>
        <v>1</v>
      </c>
      <c r="J298" s="706"/>
      <c r="K298" s="14">
        <f t="shared" si="78"/>
        <v>1</v>
      </c>
      <c r="L298" s="706"/>
      <c r="M298" s="14">
        <f t="shared" si="79"/>
        <v>1</v>
      </c>
      <c r="N298" s="706"/>
      <c r="O298" s="14">
        <f t="shared" si="80"/>
        <v>1</v>
      </c>
      <c r="P298" s="706"/>
      <c r="Q298" s="14">
        <f t="shared" si="81"/>
        <v>0.02</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6"/>
      <c r="E299" s="14">
        <f t="shared" si="75"/>
        <v>0.02</v>
      </c>
      <c r="F299" s="706"/>
      <c r="G299" s="14">
        <f t="shared" si="76"/>
        <v>1</v>
      </c>
      <c r="H299" s="706"/>
      <c r="I299" s="14">
        <f t="shared" si="77"/>
        <v>1</v>
      </c>
      <c r="J299" s="706"/>
      <c r="K299" s="14">
        <f t="shared" si="78"/>
        <v>1</v>
      </c>
      <c r="L299" s="706"/>
      <c r="M299" s="14">
        <f t="shared" si="79"/>
        <v>1</v>
      </c>
      <c r="N299" s="706"/>
      <c r="O299" s="14">
        <f t="shared" si="80"/>
        <v>1</v>
      </c>
      <c r="P299" s="706"/>
      <c r="Q299" s="14">
        <f t="shared" si="81"/>
        <v>0.02</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6"/>
      <c r="E300" s="14">
        <f t="shared" si="75"/>
        <v>0.02</v>
      </c>
      <c r="F300" s="706"/>
      <c r="G300" s="14">
        <f t="shared" si="76"/>
        <v>1</v>
      </c>
      <c r="H300" s="706"/>
      <c r="I300" s="14">
        <f t="shared" si="77"/>
        <v>1</v>
      </c>
      <c r="J300" s="706"/>
      <c r="K300" s="14">
        <f t="shared" si="78"/>
        <v>1</v>
      </c>
      <c r="L300" s="706"/>
      <c r="M300" s="14">
        <f t="shared" si="79"/>
        <v>1</v>
      </c>
      <c r="N300" s="706"/>
      <c r="O300" s="14">
        <f t="shared" si="80"/>
        <v>1</v>
      </c>
      <c r="P300" s="706"/>
      <c r="Q300" s="14">
        <f t="shared" si="81"/>
        <v>0.02</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6"/>
      <c r="E301" s="14">
        <f t="shared" si="75"/>
        <v>0.02</v>
      </c>
      <c r="F301" s="706"/>
      <c r="G301" s="14">
        <f t="shared" si="76"/>
        <v>1</v>
      </c>
      <c r="H301" s="706"/>
      <c r="I301" s="14">
        <f t="shared" si="77"/>
        <v>1</v>
      </c>
      <c r="J301" s="706"/>
      <c r="K301" s="14">
        <f t="shared" si="78"/>
        <v>1</v>
      </c>
      <c r="L301" s="706"/>
      <c r="M301" s="14">
        <f t="shared" si="79"/>
        <v>1</v>
      </c>
      <c r="N301" s="706"/>
      <c r="O301" s="14">
        <f t="shared" si="80"/>
        <v>1</v>
      </c>
      <c r="P301" s="706"/>
      <c r="Q301" s="14">
        <f t="shared" si="81"/>
        <v>0.02</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6"/>
      <c r="E302" s="14">
        <f t="shared" si="75"/>
        <v>0.02</v>
      </c>
      <c r="F302" s="706"/>
      <c r="G302" s="14">
        <f t="shared" si="76"/>
        <v>1</v>
      </c>
      <c r="H302" s="706"/>
      <c r="I302" s="14">
        <f t="shared" si="77"/>
        <v>1</v>
      </c>
      <c r="J302" s="706"/>
      <c r="K302" s="14">
        <f t="shared" si="78"/>
        <v>1</v>
      </c>
      <c r="L302" s="706"/>
      <c r="M302" s="14">
        <f t="shared" si="79"/>
        <v>1</v>
      </c>
      <c r="N302" s="706"/>
      <c r="O302" s="14">
        <f t="shared" si="80"/>
        <v>1</v>
      </c>
      <c r="P302" s="706"/>
      <c r="Q302" s="14">
        <f t="shared" si="81"/>
        <v>0.02</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6"/>
      <c r="E303" s="14">
        <f t="shared" si="75"/>
        <v>0.02</v>
      </c>
      <c r="F303" s="706"/>
      <c r="G303" s="14">
        <f t="shared" si="76"/>
        <v>1</v>
      </c>
      <c r="H303" s="706"/>
      <c r="I303" s="14">
        <f t="shared" si="77"/>
        <v>1</v>
      </c>
      <c r="J303" s="706"/>
      <c r="K303" s="14">
        <f t="shared" si="78"/>
        <v>1</v>
      </c>
      <c r="L303" s="706"/>
      <c r="M303" s="14">
        <f t="shared" si="79"/>
        <v>1</v>
      </c>
      <c r="N303" s="706"/>
      <c r="O303" s="14">
        <f t="shared" si="80"/>
        <v>1</v>
      </c>
      <c r="P303" s="706"/>
      <c r="Q303" s="14">
        <f t="shared" si="81"/>
        <v>0.02</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6"/>
      <c r="E304" s="14">
        <f t="shared" si="75"/>
        <v>0.02</v>
      </c>
      <c r="F304" s="706"/>
      <c r="G304" s="14">
        <f t="shared" si="76"/>
        <v>1</v>
      </c>
      <c r="H304" s="706"/>
      <c r="I304" s="14">
        <f t="shared" si="77"/>
        <v>1</v>
      </c>
      <c r="J304" s="706"/>
      <c r="K304" s="14">
        <f t="shared" si="78"/>
        <v>1</v>
      </c>
      <c r="L304" s="706"/>
      <c r="M304" s="14">
        <f t="shared" si="79"/>
        <v>1</v>
      </c>
      <c r="N304" s="706"/>
      <c r="O304" s="14">
        <f t="shared" si="80"/>
        <v>1</v>
      </c>
      <c r="P304" s="706"/>
      <c r="Q304" s="14">
        <f t="shared" si="81"/>
        <v>0.02</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6"/>
      <c r="E305" s="14">
        <f t="shared" si="75"/>
        <v>0.02</v>
      </c>
      <c r="F305" s="706"/>
      <c r="G305" s="14">
        <f t="shared" si="76"/>
        <v>1</v>
      </c>
      <c r="H305" s="706"/>
      <c r="I305" s="14">
        <f t="shared" si="77"/>
        <v>1</v>
      </c>
      <c r="J305" s="706"/>
      <c r="K305" s="14">
        <f t="shared" si="78"/>
        <v>1</v>
      </c>
      <c r="L305" s="706"/>
      <c r="M305" s="14">
        <f t="shared" si="79"/>
        <v>1</v>
      </c>
      <c r="N305" s="706"/>
      <c r="O305" s="14">
        <f t="shared" si="80"/>
        <v>1</v>
      </c>
      <c r="P305" s="706"/>
      <c r="Q305" s="14">
        <f t="shared" si="81"/>
        <v>0.02</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6"/>
      <c r="E306" s="14">
        <f t="shared" si="75"/>
        <v>0.02</v>
      </c>
      <c r="F306" s="706"/>
      <c r="G306" s="14">
        <f t="shared" si="76"/>
        <v>1</v>
      </c>
      <c r="H306" s="706"/>
      <c r="I306" s="14">
        <f t="shared" si="77"/>
        <v>1</v>
      </c>
      <c r="J306" s="706"/>
      <c r="K306" s="14">
        <f t="shared" si="78"/>
        <v>1</v>
      </c>
      <c r="L306" s="706"/>
      <c r="M306" s="14">
        <f t="shared" si="79"/>
        <v>1</v>
      </c>
      <c r="N306" s="706"/>
      <c r="O306" s="14">
        <f t="shared" si="80"/>
        <v>1</v>
      </c>
      <c r="P306" s="706"/>
      <c r="Q306" s="14">
        <f t="shared" si="81"/>
        <v>0.02</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6"/>
      <c r="E307" s="14">
        <f t="shared" si="75"/>
        <v>0.02</v>
      </c>
      <c r="F307" s="706"/>
      <c r="G307" s="14">
        <f t="shared" si="76"/>
        <v>1</v>
      </c>
      <c r="H307" s="706"/>
      <c r="I307" s="14">
        <f t="shared" si="77"/>
        <v>1</v>
      </c>
      <c r="J307" s="706"/>
      <c r="K307" s="14">
        <f t="shared" si="78"/>
        <v>1</v>
      </c>
      <c r="L307" s="706"/>
      <c r="M307" s="14">
        <f t="shared" si="79"/>
        <v>1</v>
      </c>
      <c r="N307" s="706"/>
      <c r="O307" s="14">
        <f t="shared" si="80"/>
        <v>1</v>
      </c>
      <c r="P307" s="706"/>
      <c r="Q307" s="14">
        <f t="shared" si="81"/>
        <v>0.02</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6"/>
      <c r="E308" s="14">
        <f t="shared" si="75"/>
        <v>0.02</v>
      </c>
      <c r="F308" s="706"/>
      <c r="G308" s="14">
        <f t="shared" si="76"/>
        <v>1</v>
      </c>
      <c r="H308" s="706"/>
      <c r="I308" s="14">
        <f t="shared" si="77"/>
        <v>1</v>
      </c>
      <c r="J308" s="706"/>
      <c r="K308" s="14">
        <f t="shared" si="78"/>
        <v>1</v>
      </c>
      <c r="L308" s="706"/>
      <c r="M308" s="14">
        <f t="shared" si="79"/>
        <v>1</v>
      </c>
      <c r="N308" s="706"/>
      <c r="O308" s="14">
        <f t="shared" si="80"/>
        <v>1</v>
      </c>
      <c r="P308" s="706"/>
      <c r="Q308" s="14">
        <f t="shared" si="81"/>
        <v>0.02</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6"/>
      <c r="E309" s="14">
        <f t="shared" si="75"/>
        <v>0.02</v>
      </c>
      <c r="F309" s="706"/>
      <c r="G309" s="14">
        <f t="shared" si="76"/>
        <v>1</v>
      </c>
      <c r="H309" s="706"/>
      <c r="I309" s="14">
        <f t="shared" si="77"/>
        <v>1</v>
      </c>
      <c r="J309" s="706"/>
      <c r="K309" s="14">
        <f t="shared" si="78"/>
        <v>1</v>
      </c>
      <c r="L309" s="706"/>
      <c r="M309" s="14">
        <f t="shared" si="79"/>
        <v>1</v>
      </c>
      <c r="N309" s="706"/>
      <c r="O309" s="14">
        <f t="shared" si="80"/>
        <v>1</v>
      </c>
      <c r="P309" s="706"/>
      <c r="Q309" s="14">
        <f t="shared" si="81"/>
        <v>0.02</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6"/>
      <c r="E310" s="14">
        <f t="shared" si="75"/>
        <v>0.02</v>
      </c>
      <c r="F310" s="706"/>
      <c r="G310" s="14">
        <f t="shared" si="76"/>
        <v>1</v>
      </c>
      <c r="H310" s="706"/>
      <c r="I310" s="14">
        <f t="shared" si="77"/>
        <v>1</v>
      </c>
      <c r="J310" s="706"/>
      <c r="K310" s="14">
        <f t="shared" si="78"/>
        <v>1</v>
      </c>
      <c r="L310" s="706"/>
      <c r="M310" s="14">
        <f t="shared" si="79"/>
        <v>1</v>
      </c>
      <c r="N310" s="706"/>
      <c r="O310" s="14">
        <f t="shared" si="80"/>
        <v>1</v>
      </c>
      <c r="P310" s="706"/>
      <c r="Q310" s="14">
        <f t="shared" si="81"/>
        <v>0.02</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6"/>
      <c r="E311" s="14">
        <f t="shared" si="75"/>
        <v>0.02</v>
      </c>
      <c r="F311" s="706"/>
      <c r="G311" s="14">
        <f t="shared" si="76"/>
        <v>1</v>
      </c>
      <c r="H311" s="706"/>
      <c r="I311" s="14">
        <f t="shared" si="77"/>
        <v>1</v>
      </c>
      <c r="J311" s="706"/>
      <c r="K311" s="14">
        <f t="shared" si="78"/>
        <v>1</v>
      </c>
      <c r="L311" s="706"/>
      <c r="M311" s="14">
        <f t="shared" si="79"/>
        <v>1</v>
      </c>
      <c r="N311" s="706"/>
      <c r="O311" s="14">
        <f t="shared" si="80"/>
        <v>1</v>
      </c>
      <c r="P311" s="706"/>
      <c r="Q311" s="14">
        <f t="shared" si="81"/>
        <v>0.02</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6"/>
      <c r="E312" s="14">
        <f t="shared" si="75"/>
        <v>0.02</v>
      </c>
      <c r="F312" s="706"/>
      <c r="G312" s="14">
        <f t="shared" si="76"/>
        <v>1</v>
      </c>
      <c r="H312" s="706"/>
      <c r="I312" s="14">
        <f t="shared" si="77"/>
        <v>1</v>
      </c>
      <c r="J312" s="706"/>
      <c r="K312" s="14">
        <f t="shared" si="78"/>
        <v>1</v>
      </c>
      <c r="L312" s="706"/>
      <c r="M312" s="14">
        <f t="shared" si="79"/>
        <v>1</v>
      </c>
      <c r="N312" s="706"/>
      <c r="O312" s="14">
        <f t="shared" si="80"/>
        <v>1</v>
      </c>
      <c r="P312" s="706"/>
      <c r="Q312" s="14">
        <f t="shared" si="81"/>
        <v>0.02</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6"/>
      <c r="E313" s="14">
        <f t="shared" si="75"/>
        <v>0.02</v>
      </c>
      <c r="F313" s="706"/>
      <c r="G313" s="14">
        <f t="shared" si="76"/>
        <v>1</v>
      </c>
      <c r="H313" s="706"/>
      <c r="I313" s="14">
        <f t="shared" si="77"/>
        <v>1</v>
      </c>
      <c r="J313" s="706"/>
      <c r="K313" s="14">
        <f t="shared" si="78"/>
        <v>1</v>
      </c>
      <c r="L313" s="706"/>
      <c r="M313" s="14">
        <f t="shared" si="79"/>
        <v>1</v>
      </c>
      <c r="N313" s="706"/>
      <c r="O313" s="14">
        <f t="shared" si="80"/>
        <v>1</v>
      </c>
      <c r="P313" s="706"/>
      <c r="Q313" s="14">
        <f t="shared" si="81"/>
        <v>0.02</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6"/>
      <c r="E314" s="14">
        <f t="shared" si="75"/>
        <v>0.02</v>
      </c>
      <c r="F314" s="706"/>
      <c r="G314" s="14">
        <f t="shared" si="76"/>
        <v>1</v>
      </c>
      <c r="H314" s="706"/>
      <c r="I314" s="14">
        <f t="shared" si="77"/>
        <v>1</v>
      </c>
      <c r="J314" s="706"/>
      <c r="K314" s="14">
        <f t="shared" si="78"/>
        <v>1</v>
      </c>
      <c r="L314" s="706"/>
      <c r="M314" s="14">
        <f t="shared" si="79"/>
        <v>1</v>
      </c>
      <c r="N314" s="706"/>
      <c r="O314" s="14">
        <f t="shared" si="80"/>
        <v>1</v>
      </c>
      <c r="P314" s="706"/>
      <c r="Q314" s="14">
        <f t="shared" si="81"/>
        <v>0.02</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6"/>
      <c r="E315" s="14">
        <f t="shared" si="75"/>
        <v>0.02</v>
      </c>
      <c r="F315" s="706"/>
      <c r="G315" s="14">
        <f t="shared" si="76"/>
        <v>1</v>
      </c>
      <c r="H315" s="706"/>
      <c r="I315" s="14">
        <f t="shared" si="77"/>
        <v>1</v>
      </c>
      <c r="J315" s="706"/>
      <c r="K315" s="14">
        <f t="shared" si="78"/>
        <v>1</v>
      </c>
      <c r="L315" s="706"/>
      <c r="M315" s="14">
        <f t="shared" si="79"/>
        <v>1</v>
      </c>
      <c r="N315" s="706"/>
      <c r="O315" s="14">
        <f t="shared" si="80"/>
        <v>1</v>
      </c>
      <c r="P315" s="706"/>
      <c r="Q315" s="14">
        <f t="shared" si="81"/>
        <v>0.02</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6"/>
      <c r="E316" s="14">
        <f t="shared" si="75"/>
        <v>0.02</v>
      </c>
      <c r="F316" s="706"/>
      <c r="G316" s="14">
        <f t="shared" si="76"/>
        <v>1</v>
      </c>
      <c r="H316" s="706"/>
      <c r="I316" s="14">
        <f t="shared" si="77"/>
        <v>1</v>
      </c>
      <c r="J316" s="706"/>
      <c r="K316" s="14">
        <f t="shared" si="78"/>
        <v>1</v>
      </c>
      <c r="L316" s="706"/>
      <c r="M316" s="14">
        <f t="shared" si="79"/>
        <v>1</v>
      </c>
      <c r="N316" s="706"/>
      <c r="O316" s="14">
        <f t="shared" si="80"/>
        <v>1</v>
      </c>
      <c r="P316" s="706"/>
      <c r="Q316" s="14">
        <f t="shared" si="81"/>
        <v>0.02</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6"/>
      <c r="E317" s="14">
        <f t="shared" si="75"/>
        <v>0.02</v>
      </c>
      <c r="F317" s="706"/>
      <c r="G317" s="14">
        <f t="shared" si="76"/>
        <v>1</v>
      </c>
      <c r="H317" s="706"/>
      <c r="I317" s="14">
        <f t="shared" si="77"/>
        <v>1</v>
      </c>
      <c r="J317" s="706"/>
      <c r="K317" s="14">
        <f t="shared" si="78"/>
        <v>1</v>
      </c>
      <c r="L317" s="706"/>
      <c r="M317" s="14">
        <f t="shared" si="79"/>
        <v>1</v>
      </c>
      <c r="N317" s="706"/>
      <c r="O317" s="14">
        <f t="shared" si="80"/>
        <v>1</v>
      </c>
      <c r="P317" s="706"/>
      <c r="Q317" s="14">
        <f t="shared" si="81"/>
        <v>0.02</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6"/>
      <c r="E318" s="14">
        <f t="shared" si="75"/>
        <v>0.02</v>
      </c>
      <c r="F318" s="706"/>
      <c r="G318" s="14">
        <f t="shared" si="76"/>
        <v>1</v>
      </c>
      <c r="H318" s="706"/>
      <c r="I318" s="14">
        <f t="shared" si="77"/>
        <v>1</v>
      </c>
      <c r="J318" s="706"/>
      <c r="K318" s="14">
        <f t="shared" si="78"/>
        <v>1</v>
      </c>
      <c r="L318" s="706"/>
      <c r="M318" s="14">
        <f t="shared" si="79"/>
        <v>1</v>
      </c>
      <c r="N318" s="706"/>
      <c r="O318" s="14">
        <f t="shared" si="80"/>
        <v>1</v>
      </c>
      <c r="P318" s="706"/>
      <c r="Q318" s="14">
        <f t="shared" si="81"/>
        <v>0.02</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6"/>
      <c r="E319" s="14">
        <f t="shared" si="75"/>
        <v>0.02</v>
      </c>
      <c r="F319" s="706"/>
      <c r="G319" s="14">
        <f t="shared" si="76"/>
        <v>1</v>
      </c>
      <c r="H319" s="706"/>
      <c r="I319" s="14">
        <f t="shared" si="77"/>
        <v>1</v>
      </c>
      <c r="J319" s="706"/>
      <c r="K319" s="14">
        <f t="shared" si="78"/>
        <v>1</v>
      </c>
      <c r="L319" s="706"/>
      <c r="M319" s="14">
        <f t="shared" si="79"/>
        <v>1</v>
      </c>
      <c r="N319" s="706"/>
      <c r="O319" s="14">
        <f t="shared" si="80"/>
        <v>1</v>
      </c>
      <c r="P319" s="706"/>
      <c r="Q319" s="14">
        <f t="shared" si="81"/>
        <v>0.02</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6"/>
      <c r="E320" s="14">
        <f t="shared" si="75"/>
        <v>0.02</v>
      </c>
      <c r="F320" s="706"/>
      <c r="G320" s="14">
        <f t="shared" si="76"/>
        <v>1</v>
      </c>
      <c r="H320" s="706"/>
      <c r="I320" s="14">
        <f t="shared" si="77"/>
        <v>1</v>
      </c>
      <c r="J320" s="706"/>
      <c r="K320" s="14">
        <f t="shared" si="78"/>
        <v>1</v>
      </c>
      <c r="L320" s="706"/>
      <c r="M320" s="14">
        <f t="shared" si="79"/>
        <v>1</v>
      </c>
      <c r="N320" s="706"/>
      <c r="O320" s="14">
        <f t="shared" si="80"/>
        <v>1</v>
      </c>
      <c r="P320" s="706"/>
      <c r="Q320" s="14">
        <f t="shared" si="81"/>
        <v>0.02</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6"/>
      <c r="E321" s="14">
        <f t="shared" si="75"/>
        <v>0.02</v>
      </c>
      <c r="F321" s="706"/>
      <c r="G321" s="14">
        <f t="shared" si="76"/>
        <v>1</v>
      </c>
      <c r="H321" s="706"/>
      <c r="I321" s="14">
        <f t="shared" si="77"/>
        <v>1</v>
      </c>
      <c r="J321" s="706"/>
      <c r="K321" s="14">
        <f t="shared" si="78"/>
        <v>1</v>
      </c>
      <c r="L321" s="706"/>
      <c r="M321" s="14">
        <f t="shared" si="79"/>
        <v>1</v>
      </c>
      <c r="N321" s="706"/>
      <c r="O321" s="14">
        <f t="shared" si="80"/>
        <v>1</v>
      </c>
      <c r="P321" s="706"/>
      <c r="Q321" s="14">
        <f t="shared" si="81"/>
        <v>0.02</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6"/>
      <c r="E322" s="14">
        <f t="shared" si="75"/>
        <v>0.02</v>
      </c>
      <c r="F322" s="706"/>
      <c r="G322" s="14">
        <f t="shared" si="76"/>
        <v>1</v>
      </c>
      <c r="H322" s="706"/>
      <c r="I322" s="14">
        <f t="shared" si="77"/>
        <v>1</v>
      </c>
      <c r="J322" s="706"/>
      <c r="K322" s="14">
        <f t="shared" si="78"/>
        <v>1</v>
      </c>
      <c r="L322" s="706"/>
      <c r="M322" s="14">
        <f t="shared" si="79"/>
        <v>1</v>
      </c>
      <c r="N322" s="706"/>
      <c r="O322" s="14">
        <f t="shared" si="80"/>
        <v>1</v>
      </c>
      <c r="P322" s="706"/>
      <c r="Q322" s="14">
        <f t="shared" si="81"/>
        <v>0.02</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6"/>
      <c r="E323" s="14">
        <f t="shared" si="75"/>
        <v>0.02</v>
      </c>
      <c r="F323" s="706"/>
      <c r="G323" s="14">
        <f t="shared" si="76"/>
        <v>1</v>
      </c>
      <c r="H323" s="706"/>
      <c r="I323" s="14">
        <f t="shared" si="77"/>
        <v>1</v>
      </c>
      <c r="J323" s="706"/>
      <c r="K323" s="14">
        <f t="shared" si="78"/>
        <v>1</v>
      </c>
      <c r="L323" s="706"/>
      <c r="M323" s="14">
        <f t="shared" si="79"/>
        <v>1</v>
      </c>
      <c r="N323" s="706"/>
      <c r="O323" s="14">
        <f t="shared" si="80"/>
        <v>1</v>
      </c>
      <c r="P323" s="706"/>
      <c r="Q323" s="14">
        <f t="shared" si="81"/>
        <v>0.02</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6"/>
      <c r="E324" s="14">
        <f t="shared" si="75"/>
        <v>0.02</v>
      </c>
      <c r="F324" s="706"/>
      <c r="G324" s="14">
        <f t="shared" si="76"/>
        <v>1</v>
      </c>
      <c r="H324" s="706"/>
      <c r="I324" s="14">
        <f t="shared" si="77"/>
        <v>1</v>
      </c>
      <c r="J324" s="706"/>
      <c r="K324" s="14">
        <f t="shared" si="78"/>
        <v>1</v>
      </c>
      <c r="L324" s="706"/>
      <c r="M324" s="14">
        <f t="shared" si="79"/>
        <v>1</v>
      </c>
      <c r="N324" s="706"/>
      <c r="O324" s="14">
        <f t="shared" si="80"/>
        <v>1</v>
      </c>
      <c r="P324" s="706"/>
      <c r="Q324" s="14">
        <f t="shared" si="81"/>
        <v>0.02</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6"/>
      <c r="E325" s="14">
        <f t="shared" si="75"/>
        <v>0.02</v>
      </c>
      <c r="F325" s="706"/>
      <c r="G325" s="14">
        <f t="shared" si="76"/>
        <v>1</v>
      </c>
      <c r="H325" s="706"/>
      <c r="I325" s="14">
        <f t="shared" si="77"/>
        <v>1</v>
      </c>
      <c r="J325" s="706"/>
      <c r="K325" s="14">
        <f t="shared" si="78"/>
        <v>1</v>
      </c>
      <c r="L325" s="706"/>
      <c r="M325" s="14">
        <f t="shared" si="79"/>
        <v>1</v>
      </c>
      <c r="N325" s="706"/>
      <c r="O325" s="14">
        <f t="shared" si="80"/>
        <v>1</v>
      </c>
      <c r="P325" s="706"/>
      <c r="Q325" s="14">
        <f t="shared" si="81"/>
        <v>0.02</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6"/>
      <c r="E326" s="14">
        <f t="shared" si="75"/>
        <v>0.02</v>
      </c>
      <c r="F326" s="706"/>
      <c r="G326" s="14">
        <f t="shared" si="76"/>
        <v>1</v>
      </c>
      <c r="H326" s="706"/>
      <c r="I326" s="14">
        <f t="shared" si="77"/>
        <v>1</v>
      </c>
      <c r="J326" s="706"/>
      <c r="K326" s="14">
        <f t="shared" si="78"/>
        <v>1</v>
      </c>
      <c r="L326" s="706"/>
      <c r="M326" s="14">
        <f t="shared" si="79"/>
        <v>1</v>
      </c>
      <c r="N326" s="706"/>
      <c r="O326" s="14">
        <f t="shared" si="80"/>
        <v>1</v>
      </c>
      <c r="P326" s="706"/>
      <c r="Q326" s="14">
        <f t="shared" si="81"/>
        <v>0.02</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6"/>
      <c r="E327" s="14">
        <f t="shared" si="75"/>
        <v>0.02</v>
      </c>
      <c r="F327" s="706"/>
      <c r="G327" s="14">
        <f t="shared" si="76"/>
        <v>1</v>
      </c>
      <c r="H327" s="706"/>
      <c r="I327" s="14">
        <f t="shared" si="77"/>
        <v>1</v>
      </c>
      <c r="J327" s="706"/>
      <c r="K327" s="14">
        <f t="shared" si="78"/>
        <v>1</v>
      </c>
      <c r="L327" s="706"/>
      <c r="M327" s="14">
        <f t="shared" si="79"/>
        <v>1</v>
      </c>
      <c r="N327" s="706"/>
      <c r="O327" s="14">
        <f t="shared" si="80"/>
        <v>1</v>
      </c>
      <c r="P327" s="706"/>
      <c r="Q327" s="14">
        <f t="shared" si="81"/>
        <v>0.02</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6"/>
      <c r="E328" s="14">
        <f t="shared" si="75"/>
        <v>0.02</v>
      </c>
      <c r="F328" s="706"/>
      <c r="G328" s="14">
        <f t="shared" si="76"/>
        <v>1</v>
      </c>
      <c r="H328" s="706"/>
      <c r="I328" s="14">
        <f t="shared" si="77"/>
        <v>1</v>
      </c>
      <c r="J328" s="706"/>
      <c r="K328" s="14">
        <f t="shared" si="78"/>
        <v>1</v>
      </c>
      <c r="L328" s="706"/>
      <c r="M328" s="14">
        <f t="shared" si="79"/>
        <v>1</v>
      </c>
      <c r="N328" s="706"/>
      <c r="O328" s="14">
        <f t="shared" si="80"/>
        <v>1</v>
      </c>
      <c r="P328" s="706"/>
      <c r="Q328" s="14">
        <f t="shared" si="81"/>
        <v>0.02</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6"/>
      <c r="E329" s="14">
        <f t="shared" si="75"/>
        <v>0.02</v>
      </c>
      <c r="F329" s="706"/>
      <c r="G329" s="14">
        <f t="shared" si="76"/>
        <v>1</v>
      </c>
      <c r="H329" s="706"/>
      <c r="I329" s="14">
        <f t="shared" si="77"/>
        <v>1</v>
      </c>
      <c r="J329" s="706"/>
      <c r="K329" s="14">
        <f t="shared" si="78"/>
        <v>1</v>
      </c>
      <c r="L329" s="706"/>
      <c r="M329" s="14">
        <f t="shared" si="79"/>
        <v>1</v>
      </c>
      <c r="N329" s="706"/>
      <c r="O329" s="14">
        <f t="shared" si="80"/>
        <v>1</v>
      </c>
      <c r="P329" s="706"/>
      <c r="Q329" s="14">
        <f t="shared" si="81"/>
        <v>0.02</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6"/>
      <c r="E330" s="14">
        <f t="shared" si="75"/>
        <v>0.02</v>
      </c>
      <c r="F330" s="706"/>
      <c r="G330" s="14">
        <f t="shared" si="76"/>
        <v>1</v>
      </c>
      <c r="H330" s="706"/>
      <c r="I330" s="14">
        <f t="shared" si="77"/>
        <v>1</v>
      </c>
      <c r="J330" s="706"/>
      <c r="K330" s="14">
        <f t="shared" si="78"/>
        <v>1</v>
      </c>
      <c r="L330" s="706"/>
      <c r="M330" s="14">
        <f t="shared" si="79"/>
        <v>1</v>
      </c>
      <c r="N330" s="706"/>
      <c r="O330" s="14">
        <f t="shared" si="80"/>
        <v>1</v>
      </c>
      <c r="P330" s="706"/>
      <c r="Q330" s="14">
        <f t="shared" si="81"/>
        <v>0.02</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6"/>
      <c r="E331" s="14">
        <f t="shared" si="75"/>
        <v>0.02</v>
      </c>
      <c r="F331" s="706"/>
      <c r="G331" s="14">
        <f t="shared" si="76"/>
        <v>1</v>
      </c>
      <c r="H331" s="706"/>
      <c r="I331" s="14">
        <f t="shared" si="77"/>
        <v>1</v>
      </c>
      <c r="J331" s="706"/>
      <c r="K331" s="14">
        <f t="shared" si="78"/>
        <v>1</v>
      </c>
      <c r="L331" s="706"/>
      <c r="M331" s="14">
        <f t="shared" si="79"/>
        <v>1</v>
      </c>
      <c r="N331" s="706"/>
      <c r="O331" s="14">
        <f t="shared" si="80"/>
        <v>1</v>
      </c>
      <c r="P331" s="706"/>
      <c r="Q331" s="14">
        <f t="shared" si="81"/>
        <v>0.02</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6"/>
      <c r="E332" s="14">
        <f t="shared" si="75"/>
        <v>0.02</v>
      </c>
      <c r="F332" s="706"/>
      <c r="G332" s="14">
        <f t="shared" si="76"/>
        <v>1</v>
      </c>
      <c r="H332" s="706"/>
      <c r="I332" s="14">
        <f t="shared" si="77"/>
        <v>1</v>
      </c>
      <c r="J332" s="706"/>
      <c r="K332" s="14">
        <f t="shared" si="78"/>
        <v>1</v>
      </c>
      <c r="L332" s="706"/>
      <c r="M332" s="14">
        <f t="shared" si="79"/>
        <v>1</v>
      </c>
      <c r="N332" s="706"/>
      <c r="O332" s="14">
        <f t="shared" si="80"/>
        <v>1</v>
      </c>
      <c r="P332" s="706"/>
      <c r="Q332" s="14">
        <f t="shared" si="81"/>
        <v>0.02</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6"/>
      <c r="E333" s="14">
        <f t="shared" si="75"/>
        <v>0.02</v>
      </c>
      <c r="F333" s="706"/>
      <c r="G333" s="14">
        <f t="shared" si="76"/>
        <v>1</v>
      </c>
      <c r="H333" s="706"/>
      <c r="I333" s="14">
        <f t="shared" si="77"/>
        <v>1</v>
      </c>
      <c r="J333" s="706"/>
      <c r="K333" s="14">
        <f t="shared" si="78"/>
        <v>1</v>
      </c>
      <c r="L333" s="706"/>
      <c r="M333" s="14">
        <f t="shared" si="79"/>
        <v>1</v>
      </c>
      <c r="N333" s="706"/>
      <c r="O333" s="14">
        <f t="shared" si="80"/>
        <v>1</v>
      </c>
      <c r="P333" s="706"/>
      <c r="Q333" s="14">
        <f t="shared" si="81"/>
        <v>0.02</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6"/>
      <c r="E334" s="14">
        <f t="shared" si="75"/>
        <v>0.02</v>
      </c>
      <c r="F334" s="706"/>
      <c r="G334" s="14">
        <f t="shared" si="76"/>
        <v>1</v>
      </c>
      <c r="H334" s="706"/>
      <c r="I334" s="14">
        <f t="shared" si="77"/>
        <v>1</v>
      </c>
      <c r="J334" s="706"/>
      <c r="K334" s="14">
        <f t="shared" si="78"/>
        <v>1</v>
      </c>
      <c r="L334" s="706"/>
      <c r="M334" s="14">
        <f t="shared" si="79"/>
        <v>1</v>
      </c>
      <c r="N334" s="706"/>
      <c r="O334" s="14">
        <f t="shared" si="80"/>
        <v>1</v>
      </c>
      <c r="P334" s="706"/>
      <c r="Q334" s="14">
        <f t="shared" si="81"/>
        <v>0.02</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6"/>
      <c r="E335" s="14">
        <f t="shared" si="75"/>
        <v>0.02</v>
      </c>
      <c r="F335" s="706"/>
      <c r="G335" s="14">
        <f t="shared" si="76"/>
        <v>1</v>
      </c>
      <c r="H335" s="706"/>
      <c r="I335" s="14">
        <f t="shared" si="77"/>
        <v>1</v>
      </c>
      <c r="J335" s="706"/>
      <c r="K335" s="14">
        <f t="shared" si="78"/>
        <v>1</v>
      </c>
      <c r="L335" s="706"/>
      <c r="M335" s="14">
        <f t="shared" si="79"/>
        <v>1</v>
      </c>
      <c r="N335" s="706"/>
      <c r="O335" s="14">
        <f t="shared" si="80"/>
        <v>1</v>
      </c>
      <c r="P335" s="706"/>
      <c r="Q335" s="14">
        <f t="shared" si="81"/>
        <v>0.02</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6"/>
      <c r="E336" s="14">
        <f t="shared" si="75"/>
        <v>0.02</v>
      </c>
      <c r="F336" s="706"/>
      <c r="G336" s="14">
        <f t="shared" si="76"/>
        <v>1</v>
      </c>
      <c r="H336" s="706"/>
      <c r="I336" s="14">
        <f t="shared" si="77"/>
        <v>1</v>
      </c>
      <c r="J336" s="706"/>
      <c r="K336" s="14">
        <f t="shared" si="78"/>
        <v>1</v>
      </c>
      <c r="L336" s="706"/>
      <c r="M336" s="14">
        <f t="shared" si="79"/>
        <v>1</v>
      </c>
      <c r="N336" s="706"/>
      <c r="O336" s="14">
        <f t="shared" si="80"/>
        <v>1</v>
      </c>
      <c r="P336" s="706"/>
      <c r="Q336" s="14">
        <f t="shared" si="81"/>
        <v>0.02</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6"/>
      <c r="E337" s="14">
        <f t="shared" si="75"/>
        <v>0.02</v>
      </c>
      <c r="F337" s="706"/>
      <c r="G337" s="14">
        <f t="shared" si="76"/>
        <v>1</v>
      </c>
      <c r="H337" s="706"/>
      <c r="I337" s="14">
        <f t="shared" si="77"/>
        <v>1</v>
      </c>
      <c r="J337" s="706"/>
      <c r="K337" s="14">
        <f t="shared" si="78"/>
        <v>1</v>
      </c>
      <c r="L337" s="706"/>
      <c r="M337" s="14">
        <f t="shared" si="79"/>
        <v>1</v>
      </c>
      <c r="N337" s="706"/>
      <c r="O337" s="14">
        <f t="shared" si="80"/>
        <v>1</v>
      </c>
      <c r="P337" s="706"/>
      <c r="Q337" s="14">
        <f t="shared" si="81"/>
        <v>0.02</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6"/>
      <c r="E338" s="14">
        <f t="shared" si="75"/>
        <v>0.02</v>
      </c>
      <c r="F338" s="706"/>
      <c r="G338" s="14">
        <f t="shared" si="76"/>
        <v>1</v>
      </c>
      <c r="H338" s="706"/>
      <c r="I338" s="14">
        <f t="shared" si="77"/>
        <v>1</v>
      </c>
      <c r="J338" s="706"/>
      <c r="K338" s="14">
        <f t="shared" si="78"/>
        <v>1</v>
      </c>
      <c r="L338" s="706"/>
      <c r="M338" s="14">
        <f t="shared" si="79"/>
        <v>1</v>
      </c>
      <c r="N338" s="706"/>
      <c r="O338" s="14">
        <f t="shared" si="80"/>
        <v>1</v>
      </c>
      <c r="P338" s="706"/>
      <c r="Q338" s="14">
        <f t="shared" si="81"/>
        <v>0.02</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6"/>
      <c r="E339" s="14">
        <f t="shared" si="75"/>
        <v>0.02</v>
      </c>
      <c r="F339" s="706"/>
      <c r="G339" s="14">
        <f t="shared" si="76"/>
        <v>1</v>
      </c>
      <c r="H339" s="706"/>
      <c r="I339" s="14">
        <f t="shared" si="77"/>
        <v>1</v>
      </c>
      <c r="J339" s="706"/>
      <c r="K339" s="14">
        <f t="shared" si="78"/>
        <v>1</v>
      </c>
      <c r="L339" s="706"/>
      <c r="M339" s="14">
        <f t="shared" si="79"/>
        <v>1</v>
      </c>
      <c r="N339" s="706"/>
      <c r="O339" s="14">
        <f t="shared" si="80"/>
        <v>1</v>
      </c>
      <c r="P339" s="706"/>
      <c r="Q339" s="14">
        <f t="shared" si="81"/>
        <v>0.02</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6"/>
      <c r="E340" s="14">
        <f t="shared" si="75"/>
        <v>0.02</v>
      </c>
      <c r="F340" s="706"/>
      <c r="G340" s="14">
        <f t="shared" si="76"/>
        <v>1</v>
      </c>
      <c r="H340" s="706"/>
      <c r="I340" s="14">
        <f t="shared" si="77"/>
        <v>1</v>
      </c>
      <c r="J340" s="706"/>
      <c r="K340" s="14">
        <f t="shared" si="78"/>
        <v>1</v>
      </c>
      <c r="L340" s="706"/>
      <c r="M340" s="14">
        <f t="shared" si="79"/>
        <v>1</v>
      </c>
      <c r="N340" s="706"/>
      <c r="O340" s="14">
        <f t="shared" si="80"/>
        <v>1</v>
      </c>
      <c r="P340" s="706"/>
      <c r="Q340" s="14">
        <f t="shared" si="81"/>
        <v>0.02</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6"/>
      <c r="E341" s="14">
        <f t="shared" si="75"/>
        <v>0.02</v>
      </c>
      <c r="F341" s="706"/>
      <c r="G341" s="14">
        <f t="shared" si="76"/>
        <v>1</v>
      </c>
      <c r="H341" s="706"/>
      <c r="I341" s="14">
        <f t="shared" si="77"/>
        <v>1</v>
      </c>
      <c r="J341" s="706"/>
      <c r="K341" s="14">
        <f t="shared" si="78"/>
        <v>1</v>
      </c>
      <c r="L341" s="706"/>
      <c r="M341" s="14">
        <f t="shared" si="79"/>
        <v>1</v>
      </c>
      <c r="N341" s="706"/>
      <c r="O341" s="14">
        <f t="shared" si="80"/>
        <v>1</v>
      </c>
      <c r="P341" s="706"/>
      <c r="Q341" s="14">
        <f t="shared" si="81"/>
        <v>0.02</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6"/>
      <c r="E342" s="14">
        <f t="shared" si="75"/>
        <v>0.02</v>
      </c>
      <c r="F342" s="706"/>
      <c r="G342" s="14">
        <f t="shared" si="76"/>
        <v>1</v>
      </c>
      <c r="H342" s="706"/>
      <c r="I342" s="14">
        <f t="shared" si="77"/>
        <v>1</v>
      </c>
      <c r="J342" s="706"/>
      <c r="K342" s="14">
        <f t="shared" si="78"/>
        <v>1</v>
      </c>
      <c r="L342" s="706"/>
      <c r="M342" s="14">
        <f t="shared" si="79"/>
        <v>1</v>
      </c>
      <c r="N342" s="706"/>
      <c r="O342" s="14">
        <f t="shared" si="80"/>
        <v>1</v>
      </c>
      <c r="P342" s="706"/>
      <c r="Q342" s="14">
        <f t="shared" si="81"/>
        <v>0.02</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6"/>
      <c r="E343" s="14">
        <f t="shared" si="75"/>
        <v>0.02</v>
      </c>
      <c r="F343" s="706"/>
      <c r="G343" s="14">
        <f t="shared" si="76"/>
        <v>1</v>
      </c>
      <c r="H343" s="706"/>
      <c r="I343" s="14">
        <f t="shared" si="77"/>
        <v>1</v>
      </c>
      <c r="J343" s="706"/>
      <c r="K343" s="14">
        <f t="shared" si="78"/>
        <v>1</v>
      </c>
      <c r="L343" s="706"/>
      <c r="M343" s="14">
        <f t="shared" si="79"/>
        <v>1</v>
      </c>
      <c r="N343" s="706"/>
      <c r="O343" s="14">
        <f t="shared" si="80"/>
        <v>1</v>
      </c>
      <c r="P343" s="706"/>
      <c r="Q343" s="14">
        <f t="shared" si="81"/>
        <v>0.02</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6"/>
      <c r="E344" s="14">
        <f t="shared" si="75"/>
        <v>0.02</v>
      </c>
      <c r="F344" s="706"/>
      <c r="G344" s="14">
        <f t="shared" si="76"/>
        <v>1</v>
      </c>
      <c r="H344" s="706"/>
      <c r="I344" s="14">
        <f t="shared" si="77"/>
        <v>1</v>
      </c>
      <c r="J344" s="706"/>
      <c r="K344" s="14">
        <f t="shared" si="78"/>
        <v>1</v>
      </c>
      <c r="L344" s="706"/>
      <c r="M344" s="14">
        <f t="shared" si="79"/>
        <v>1</v>
      </c>
      <c r="N344" s="706"/>
      <c r="O344" s="14">
        <f t="shared" si="80"/>
        <v>1</v>
      </c>
      <c r="P344" s="706"/>
      <c r="Q344" s="14">
        <f t="shared" si="81"/>
        <v>0.02</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6"/>
      <c r="E345" s="14">
        <f t="shared" si="75"/>
        <v>0.02</v>
      </c>
      <c r="F345" s="706"/>
      <c r="G345" s="14">
        <f t="shared" si="76"/>
        <v>1</v>
      </c>
      <c r="H345" s="706"/>
      <c r="I345" s="14">
        <f t="shared" si="77"/>
        <v>1</v>
      </c>
      <c r="J345" s="706"/>
      <c r="K345" s="14">
        <f t="shared" si="78"/>
        <v>1</v>
      </c>
      <c r="L345" s="706"/>
      <c r="M345" s="14">
        <f t="shared" si="79"/>
        <v>1</v>
      </c>
      <c r="N345" s="706"/>
      <c r="O345" s="14">
        <f t="shared" si="80"/>
        <v>1</v>
      </c>
      <c r="P345" s="706"/>
      <c r="Q345" s="14">
        <f t="shared" si="81"/>
        <v>0.02</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6"/>
      <c r="E346" s="14">
        <f t="shared" si="75"/>
        <v>0.02</v>
      </c>
      <c r="F346" s="706"/>
      <c r="G346" s="14">
        <f t="shared" si="76"/>
        <v>1</v>
      </c>
      <c r="H346" s="706"/>
      <c r="I346" s="14">
        <f t="shared" si="77"/>
        <v>1</v>
      </c>
      <c r="J346" s="706"/>
      <c r="K346" s="14">
        <f t="shared" si="78"/>
        <v>1</v>
      </c>
      <c r="L346" s="706"/>
      <c r="M346" s="14">
        <f t="shared" si="79"/>
        <v>1</v>
      </c>
      <c r="N346" s="706"/>
      <c r="O346" s="14">
        <f t="shared" si="80"/>
        <v>1</v>
      </c>
      <c r="P346" s="706"/>
      <c r="Q346" s="14">
        <f t="shared" si="81"/>
        <v>0.02</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6"/>
      <c r="E347" s="14">
        <f t="shared" si="75"/>
        <v>0.02</v>
      </c>
      <c r="F347" s="706"/>
      <c r="G347" s="14">
        <f t="shared" si="76"/>
        <v>1</v>
      </c>
      <c r="H347" s="706"/>
      <c r="I347" s="14">
        <f t="shared" si="77"/>
        <v>1</v>
      </c>
      <c r="J347" s="706"/>
      <c r="K347" s="14">
        <f t="shared" si="78"/>
        <v>1</v>
      </c>
      <c r="L347" s="706"/>
      <c r="M347" s="14">
        <f t="shared" si="79"/>
        <v>1</v>
      </c>
      <c r="N347" s="706"/>
      <c r="O347" s="14">
        <f t="shared" si="80"/>
        <v>1</v>
      </c>
      <c r="P347" s="706"/>
      <c r="Q347" s="14">
        <f t="shared" si="81"/>
        <v>0.02</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6"/>
      <c r="E348" s="14">
        <f t="shared" ref="E348:E411" si="90">(SUMIF($8:$8,D348,$9:$9)-SUMIF($8:$8,$D$27,$9:$9)+100)/100</f>
        <v>0.02</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0.02</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6"/>
      <c r="E349" s="14">
        <f t="shared" si="90"/>
        <v>0.02</v>
      </c>
      <c r="F349" s="706"/>
      <c r="G349" s="14">
        <f t="shared" si="91"/>
        <v>1</v>
      </c>
      <c r="H349" s="706"/>
      <c r="I349" s="14">
        <f t="shared" si="92"/>
        <v>1</v>
      </c>
      <c r="J349" s="706"/>
      <c r="K349" s="14">
        <f t="shared" si="93"/>
        <v>1</v>
      </c>
      <c r="L349" s="706"/>
      <c r="M349" s="14">
        <f t="shared" si="94"/>
        <v>1</v>
      </c>
      <c r="N349" s="706"/>
      <c r="O349" s="14">
        <f t="shared" si="95"/>
        <v>1</v>
      </c>
      <c r="P349" s="706"/>
      <c r="Q349" s="14">
        <f t="shared" si="96"/>
        <v>0.02</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6"/>
      <c r="E350" s="14">
        <f t="shared" si="90"/>
        <v>0.02</v>
      </c>
      <c r="F350" s="706"/>
      <c r="G350" s="14">
        <f t="shared" si="91"/>
        <v>1</v>
      </c>
      <c r="H350" s="706"/>
      <c r="I350" s="14">
        <f t="shared" si="92"/>
        <v>1</v>
      </c>
      <c r="J350" s="706"/>
      <c r="K350" s="14">
        <f t="shared" si="93"/>
        <v>1</v>
      </c>
      <c r="L350" s="706"/>
      <c r="M350" s="14">
        <f t="shared" si="94"/>
        <v>1</v>
      </c>
      <c r="N350" s="706"/>
      <c r="O350" s="14">
        <f t="shared" si="95"/>
        <v>1</v>
      </c>
      <c r="P350" s="706"/>
      <c r="Q350" s="14">
        <f t="shared" si="96"/>
        <v>0.02</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6"/>
      <c r="E351" s="14">
        <f t="shared" si="90"/>
        <v>0.02</v>
      </c>
      <c r="F351" s="706"/>
      <c r="G351" s="14">
        <f t="shared" si="91"/>
        <v>1</v>
      </c>
      <c r="H351" s="706"/>
      <c r="I351" s="14">
        <f t="shared" si="92"/>
        <v>1</v>
      </c>
      <c r="J351" s="706"/>
      <c r="K351" s="14">
        <f t="shared" si="93"/>
        <v>1</v>
      </c>
      <c r="L351" s="706"/>
      <c r="M351" s="14">
        <f t="shared" si="94"/>
        <v>1</v>
      </c>
      <c r="N351" s="706"/>
      <c r="O351" s="14">
        <f t="shared" si="95"/>
        <v>1</v>
      </c>
      <c r="P351" s="706"/>
      <c r="Q351" s="14">
        <f t="shared" si="96"/>
        <v>0.02</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6"/>
      <c r="E352" s="14">
        <f t="shared" si="90"/>
        <v>0.02</v>
      </c>
      <c r="F352" s="706"/>
      <c r="G352" s="14">
        <f t="shared" si="91"/>
        <v>1</v>
      </c>
      <c r="H352" s="706"/>
      <c r="I352" s="14">
        <f t="shared" si="92"/>
        <v>1</v>
      </c>
      <c r="J352" s="706"/>
      <c r="K352" s="14">
        <f t="shared" si="93"/>
        <v>1</v>
      </c>
      <c r="L352" s="706"/>
      <c r="M352" s="14">
        <f t="shared" si="94"/>
        <v>1</v>
      </c>
      <c r="N352" s="706"/>
      <c r="O352" s="14">
        <f t="shared" si="95"/>
        <v>1</v>
      </c>
      <c r="P352" s="706"/>
      <c r="Q352" s="14">
        <f t="shared" si="96"/>
        <v>0.02</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6"/>
      <c r="E353" s="14">
        <f t="shared" si="90"/>
        <v>0.02</v>
      </c>
      <c r="F353" s="706"/>
      <c r="G353" s="14">
        <f t="shared" si="91"/>
        <v>1</v>
      </c>
      <c r="H353" s="706"/>
      <c r="I353" s="14">
        <f t="shared" si="92"/>
        <v>1</v>
      </c>
      <c r="J353" s="706"/>
      <c r="K353" s="14">
        <f t="shared" si="93"/>
        <v>1</v>
      </c>
      <c r="L353" s="706"/>
      <c r="M353" s="14">
        <f t="shared" si="94"/>
        <v>1</v>
      </c>
      <c r="N353" s="706"/>
      <c r="O353" s="14">
        <f t="shared" si="95"/>
        <v>1</v>
      </c>
      <c r="P353" s="706"/>
      <c r="Q353" s="14">
        <f t="shared" si="96"/>
        <v>0.02</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6"/>
      <c r="E354" s="14">
        <f t="shared" si="90"/>
        <v>0.02</v>
      </c>
      <c r="F354" s="706"/>
      <c r="G354" s="14">
        <f t="shared" si="91"/>
        <v>1</v>
      </c>
      <c r="H354" s="706"/>
      <c r="I354" s="14">
        <f t="shared" si="92"/>
        <v>1</v>
      </c>
      <c r="J354" s="706"/>
      <c r="K354" s="14">
        <f t="shared" si="93"/>
        <v>1</v>
      </c>
      <c r="L354" s="706"/>
      <c r="M354" s="14">
        <f t="shared" si="94"/>
        <v>1</v>
      </c>
      <c r="N354" s="706"/>
      <c r="O354" s="14">
        <f t="shared" si="95"/>
        <v>1</v>
      </c>
      <c r="P354" s="706"/>
      <c r="Q354" s="14">
        <f t="shared" si="96"/>
        <v>0.02</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6"/>
      <c r="E355" s="14">
        <f t="shared" si="90"/>
        <v>0.02</v>
      </c>
      <c r="F355" s="706"/>
      <c r="G355" s="14">
        <f t="shared" si="91"/>
        <v>1</v>
      </c>
      <c r="H355" s="706"/>
      <c r="I355" s="14">
        <f t="shared" si="92"/>
        <v>1</v>
      </c>
      <c r="J355" s="706"/>
      <c r="K355" s="14">
        <f t="shared" si="93"/>
        <v>1</v>
      </c>
      <c r="L355" s="706"/>
      <c r="M355" s="14">
        <f t="shared" si="94"/>
        <v>1</v>
      </c>
      <c r="N355" s="706"/>
      <c r="O355" s="14">
        <f t="shared" si="95"/>
        <v>1</v>
      </c>
      <c r="P355" s="706"/>
      <c r="Q355" s="14">
        <f t="shared" si="96"/>
        <v>0.02</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6"/>
      <c r="E356" s="14">
        <f t="shared" si="90"/>
        <v>0.02</v>
      </c>
      <c r="F356" s="706"/>
      <c r="G356" s="14">
        <f t="shared" si="91"/>
        <v>1</v>
      </c>
      <c r="H356" s="706"/>
      <c r="I356" s="14">
        <f t="shared" si="92"/>
        <v>1</v>
      </c>
      <c r="J356" s="706"/>
      <c r="K356" s="14">
        <f t="shared" si="93"/>
        <v>1</v>
      </c>
      <c r="L356" s="706"/>
      <c r="M356" s="14">
        <f t="shared" si="94"/>
        <v>1</v>
      </c>
      <c r="N356" s="706"/>
      <c r="O356" s="14">
        <f t="shared" si="95"/>
        <v>1</v>
      </c>
      <c r="P356" s="706"/>
      <c r="Q356" s="14">
        <f t="shared" si="96"/>
        <v>0.02</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6"/>
      <c r="E357" s="14">
        <f t="shared" si="90"/>
        <v>0.02</v>
      </c>
      <c r="F357" s="706"/>
      <c r="G357" s="14">
        <f t="shared" si="91"/>
        <v>1</v>
      </c>
      <c r="H357" s="706"/>
      <c r="I357" s="14">
        <f t="shared" si="92"/>
        <v>1</v>
      </c>
      <c r="J357" s="706"/>
      <c r="K357" s="14">
        <f t="shared" si="93"/>
        <v>1</v>
      </c>
      <c r="L357" s="706"/>
      <c r="M357" s="14">
        <f t="shared" si="94"/>
        <v>1</v>
      </c>
      <c r="N357" s="706"/>
      <c r="O357" s="14">
        <f t="shared" si="95"/>
        <v>1</v>
      </c>
      <c r="P357" s="706"/>
      <c r="Q357" s="14">
        <f t="shared" si="96"/>
        <v>0.02</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6"/>
      <c r="E358" s="14">
        <f t="shared" si="90"/>
        <v>0.02</v>
      </c>
      <c r="F358" s="706"/>
      <c r="G358" s="14">
        <f t="shared" si="91"/>
        <v>1</v>
      </c>
      <c r="H358" s="706"/>
      <c r="I358" s="14">
        <f t="shared" si="92"/>
        <v>1</v>
      </c>
      <c r="J358" s="706"/>
      <c r="K358" s="14">
        <f t="shared" si="93"/>
        <v>1</v>
      </c>
      <c r="L358" s="706"/>
      <c r="M358" s="14">
        <f t="shared" si="94"/>
        <v>1</v>
      </c>
      <c r="N358" s="706"/>
      <c r="O358" s="14">
        <f t="shared" si="95"/>
        <v>1</v>
      </c>
      <c r="P358" s="706"/>
      <c r="Q358" s="14">
        <f t="shared" si="96"/>
        <v>0.02</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6"/>
      <c r="E359" s="14">
        <f t="shared" si="90"/>
        <v>0.02</v>
      </c>
      <c r="F359" s="706"/>
      <c r="G359" s="14">
        <f t="shared" si="91"/>
        <v>1</v>
      </c>
      <c r="H359" s="706"/>
      <c r="I359" s="14">
        <f t="shared" si="92"/>
        <v>1</v>
      </c>
      <c r="J359" s="706"/>
      <c r="K359" s="14">
        <f t="shared" si="93"/>
        <v>1</v>
      </c>
      <c r="L359" s="706"/>
      <c r="M359" s="14">
        <f t="shared" si="94"/>
        <v>1</v>
      </c>
      <c r="N359" s="706"/>
      <c r="O359" s="14">
        <f t="shared" si="95"/>
        <v>1</v>
      </c>
      <c r="P359" s="706"/>
      <c r="Q359" s="14">
        <f t="shared" si="96"/>
        <v>0.02</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6"/>
      <c r="E360" s="14">
        <f t="shared" si="90"/>
        <v>0.02</v>
      </c>
      <c r="F360" s="706"/>
      <c r="G360" s="14">
        <f t="shared" si="91"/>
        <v>1</v>
      </c>
      <c r="H360" s="706"/>
      <c r="I360" s="14">
        <f t="shared" si="92"/>
        <v>1</v>
      </c>
      <c r="J360" s="706"/>
      <c r="K360" s="14">
        <f t="shared" si="93"/>
        <v>1</v>
      </c>
      <c r="L360" s="706"/>
      <c r="M360" s="14">
        <f t="shared" si="94"/>
        <v>1</v>
      </c>
      <c r="N360" s="706"/>
      <c r="O360" s="14">
        <f t="shared" si="95"/>
        <v>1</v>
      </c>
      <c r="P360" s="706"/>
      <c r="Q360" s="14">
        <f t="shared" si="96"/>
        <v>0.02</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6"/>
      <c r="E361" s="14">
        <f t="shared" si="90"/>
        <v>0.02</v>
      </c>
      <c r="F361" s="706"/>
      <c r="G361" s="14">
        <f t="shared" si="91"/>
        <v>1</v>
      </c>
      <c r="H361" s="706"/>
      <c r="I361" s="14">
        <f t="shared" si="92"/>
        <v>1</v>
      </c>
      <c r="J361" s="706"/>
      <c r="K361" s="14">
        <f t="shared" si="93"/>
        <v>1</v>
      </c>
      <c r="L361" s="706"/>
      <c r="M361" s="14">
        <f t="shared" si="94"/>
        <v>1</v>
      </c>
      <c r="N361" s="706"/>
      <c r="O361" s="14">
        <f t="shared" si="95"/>
        <v>1</v>
      </c>
      <c r="P361" s="706"/>
      <c r="Q361" s="14">
        <f t="shared" si="96"/>
        <v>0.02</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6"/>
      <c r="E362" s="14">
        <f t="shared" si="90"/>
        <v>0.02</v>
      </c>
      <c r="F362" s="706"/>
      <c r="G362" s="14">
        <f t="shared" si="91"/>
        <v>1</v>
      </c>
      <c r="H362" s="706"/>
      <c r="I362" s="14">
        <f t="shared" si="92"/>
        <v>1</v>
      </c>
      <c r="J362" s="706"/>
      <c r="K362" s="14">
        <f t="shared" si="93"/>
        <v>1</v>
      </c>
      <c r="L362" s="706"/>
      <c r="M362" s="14">
        <f t="shared" si="94"/>
        <v>1</v>
      </c>
      <c r="N362" s="706"/>
      <c r="O362" s="14">
        <f t="shared" si="95"/>
        <v>1</v>
      </c>
      <c r="P362" s="706"/>
      <c r="Q362" s="14">
        <f t="shared" si="96"/>
        <v>0.02</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6"/>
      <c r="E363" s="14">
        <f t="shared" si="90"/>
        <v>0.02</v>
      </c>
      <c r="F363" s="706"/>
      <c r="G363" s="14">
        <f t="shared" si="91"/>
        <v>1</v>
      </c>
      <c r="H363" s="706"/>
      <c r="I363" s="14">
        <f t="shared" si="92"/>
        <v>1</v>
      </c>
      <c r="J363" s="706"/>
      <c r="K363" s="14">
        <f t="shared" si="93"/>
        <v>1</v>
      </c>
      <c r="L363" s="706"/>
      <c r="M363" s="14">
        <f t="shared" si="94"/>
        <v>1</v>
      </c>
      <c r="N363" s="706"/>
      <c r="O363" s="14">
        <f t="shared" si="95"/>
        <v>1</v>
      </c>
      <c r="P363" s="706"/>
      <c r="Q363" s="14">
        <f t="shared" si="96"/>
        <v>0.02</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6"/>
      <c r="E364" s="14">
        <f t="shared" si="90"/>
        <v>0.02</v>
      </c>
      <c r="F364" s="706"/>
      <c r="G364" s="14">
        <f t="shared" si="91"/>
        <v>1</v>
      </c>
      <c r="H364" s="706"/>
      <c r="I364" s="14">
        <f t="shared" si="92"/>
        <v>1</v>
      </c>
      <c r="J364" s="706"/>
      <c r="K364" s="14">
        <f t="shared" si="93"/>
        <v>1</v>
      </c>
      <c r="L364" s="706"/>
      <c r="M364" s="14">
        <f t="shared" si="94"/>
        <v>1</v>
      </c>
      <c r="N364" s="706"/>
      <c r="O364" s="14">
        <f t="shared" si="95"/>
        <v>1</v>
      </c>
      <c r="P364" s="706"/>
      <c r="Q364" s="14">
        <f t="shared" si="96"/>
        <v>0.02</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6"/>
      <c r="E365" s="14">
        <f t="shared" si="90"/>
        <v>0.02</v>
      </c>
      <c r="F365" s="706"/>
      <c r="G365" s="14">
        <f t="shared" si="91"/>
        <v>1</v>
      </c>
      <c r="H365" s="706"/>
      <c r="I365" s="14">
        <f t="shared" si="92"/>
        <v>1</v>
      </c>
      <c r="J365" s="706"/>
      <c r="K365" s="14">
        <f t="shared" si="93"/>
        <v>1</v>
      </c>
      <c r="L365" s="706"/>
      <c r="M365" s="14">
        <f t="shared" si="94"/>
        <v>1</v>
      </c>
      <c r="N365" s="706"/>
      <c r="O365" s="14">
        <f t="shared" si="95"/>
        <v>1</v>
      </c>
      <c r="P365" s="706"/>
      <c r="Q365" s="14">
        <f t="shared" si="96"/>
        <v>0.02</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6"/>
      <c r="E366" s="14">
        <f t="shared" si="90"/>
        <v>0.02</v>
      </c>
      <c r="F366" s="706"/>
      <c r="G366" s="14">
        <f t="shared" si="91"/>
        <v>1</v>
      </c>
      <c r="H366" s="706"/>
      <c r="I366" s="14">
        <f t="shared" si="92"/>
        <v>1</v>
      </c>
      <c r="J366" s="706"/>
      <c r="K366" s="14">
        <f t="shared" si="93"/>
        <v>1</v>
      </c>
      <c r="L366" s="706"/>
      <c r="M366" s="14">
        <f t="shared" si="94"/>
        <v>1</v>
      </c>
      <c r="N366" s="706"/>
      <c r="O366" s="14">
        <f t="shared" si="95"/>
        <v>1</v>
      </c>
      <c r="P366" s="706"/>
      <c r="Q366" s="14">
        <f t="shared" si="96"/>
        <v>0.02</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6"/>
      <c r="E367" s="14">
        <f t="shared" si="90"/>
        <v>0.02</v>
      </c>
      <c r="F367" s="706"/>
      <c r="G367" s="14">
        <f t="shared" si="91"/>
        <v>1</v>
      </c>
      <c r="H367" s="706"/>
      <c r="I367" s="14">
        <f t="shared" si="92"/>
        <v>1</v>
      </c>
      <c r="J367" s="706"/>
      <c r="K367" s="14">
        <f t="shared" si="93"/>
        <v>1</v>
      </c>
      <c r="L367" s="706"/>
      <c r="M367" s="14">
        <f t="shared" si="94"/>
        <v>1</v>
      </c>
      <c r="N367" s="706"/>
      <c r="O367" s="14">
        <f t="shared" si="95"/>
        <v>1</v>
      </c>
      <c r="P367" s="706"/>
      <c r="Q367" s="14">
        <f t="shared" si="96"/>
        <v>0.02</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6"/>
      <c r="E368" s="14">
        <f t="shared" si="90"/>
        <v>0.02</v>
      </c>
      <c r="F368" s="706"/>
      <c r="G368" s="14">
        <f t="shared" si="91"/>
        <v>1</v>
      </c>
      <c r="H368" s="706"/>
      <c r="I368" s="14">
        <f t="shared" si="92"/>
        <v>1</v>
      </c>
      <c r="J368" s="706"/>
      <c r="K368" s="14">
        <f t="shared" si="93"/>
        <v>1</v>
      </c>
      <c r="L368" s="706"/>
      <c r="M368" s="14">
        <f t="shared" si="94"/>
        <v>1</v>
      </c>
      <c r="N368" s="706"/>
      <c r="O368" s="14">
        <f t="shared" si="95"/>
        <v>1</v>
      </c>
      <c r="P368" s="706"/>
      <c r="Q368" s="14">
        <f t="shared" si="96"/>
        <v>0.02</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6"/>
      <c r="E369" s="14">
        <f t="shared" si="90"/>
        <v>0.02</v>
      </c>
      <c r="F369" s="706"/>
      <c r="G369" s="14">
        <f t="shared" si="91"/>
        <v>1</v>
      </c>
      <c r="H369" s="706"/>
      <c r="I369" s="14">
        <f t="shared" si="92"/>
        <v>1</v>
      </c>
      <c r="J369" s="706"/>
      <c r="K369" s="14">
        <f t="shared" si="93"/>
        <v>1</v>
      </c>
      <c r="L369" s="706"/>
      <c r="M369" s="14">
        <f t="shared" si="94"/>
        <v>1</v>
      </c>
      <c r="N369" s="706"/>
      <c r="O369" s="14">
        <f t="shared" si="95"/>
        <v>1</v>
      </c>
      <c r="P369" s="706"/>
      <c r="Q369" s="14">
        <f t="shared" si="96"/>
        <v>0.02</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6"/>
      <c r="E370" s="14">
        <f t="shared" si="90"/>
        <v>0.02</v>
      </c>
      <c r="F370" s="706"/>
      <c r="G370" s="14">
        <f t="shared" si="91"/>
        <v>1</v>
      </c>
      <c r="H370" s="706"/>
      <c r="I370" s="14">
        <f t="shared" si="92"/>
        <v>1</v>
      </c>
      <c r="J370" s="706"/>
      <c r="K370" s="14">
        <f t="shared" si="93"/>
        <v>1</v>
      </c>
      <c r="L370" s="706"/>
      <c r="M370" s="14">
        <f t="shared" si="94"/>
        <v>1</v>
      </c>
      <c r="N370" s="706"/>
      <c r="O370" s="14">
        <f t="shared" si="95"/>
        <v>1</v>
      </c>
      <c r="P370" s="706"/>
      <c r="Q370" s="14">
        <f t="shared" si="96"/>
        <v>0.02</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6"/>
      <c r="E371" s="14">
        <f t="shared" si="90"/>
        <v>0.02</v>
      </c>
      <c r="F371" s="706"/>
      <c r="G371" s="14">
        <f t="shared" si="91"/>
        <v>1</v>
      </c>
      <c r="H371" s="706"/>
      <c r="I371" s="14">
        <f t="shared" si="92"/>
        <v>1</v>
      </c>
      <c r="J371" s="706"/>
      <c r="K371" s="14">
        <f t="shared" si="93"/>
        <v>1</v>
      </c>
      <c r="L371" s="706"/>
      <c r="M371" s="14">
        <f t="shared" si="94"/>
        <v>1</v>
      </c>
      <c r="N371" s="706"/>
      <c r="O371" s="14">
        <f t="shared" si="95"/>
        <v>1</v>
      </c>
      <c r="P371" s="706"/>
      <c r="Q371" s="14">
        <f t="shared" si="96"/>
        <v>0.02</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6"/>
      <c r="E372" s="14">
        <f t="shared" si="90"/>
        <v>0.02</v>
      </c>
      <c r="F372" s="706"/>
      <c r="G372" s="14">
        <f t="shared" si="91"/>
        <v>1</v>
      </c>
      <c r="H372" s="706"/>
      <c r="I372" s="14">
        <f t="shared" si="92"/>
        <v>1</v>
      </c>
      <c r="J372" s="706"/>
      <c r="K372" s="14">
        <f t="shared" si="93"/>
        <v>1</v>
      </c>
      <c r="L372" s="706"/>
      <c r="M372" s="14">
        <f t="shared" si="94"/>
        <v>1</v>
      </c>
      <c r="N372" s="706"/>
      <c r="O372" s="14">
        <f t="shared" si="95"/>
        <v>1</v>
      </c>
      <c r="P372" s="706"/>
      <c r="Q372" s="14">
        <f t="shared" si="96"/>
        <v>0.02</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6"/>
      <c r="E373" s="14">
        <f t="shared" si="90"/>
        <v>0.02</v>
      </c>
      <c r="F373" s="706"/>
      <c r="G373" s="14">
        <f t="shared" si="91"/>
        <v>1</v>
      </c>
      <c r="H373" s="706"/>
      <c r="I373" s="14">
        <f t="shared" si="92"/>
        <v>1</v>
      </c>
      <c r="J373" s="706"/>
      <c r="K373" s="14">
        <f t="shared" si="93"/>
        <v>1</v>
      </c>
      <c r="L373" s="706"/>
      <c r="M373" s="14">
        <f t="shared" si="94"/>
        <v>1</v>
      </c>
      <c r="N373" s="706"/>
      <c r="O373" s="14">
        <f t="shared" si="95"/>
        <v>1</v>
      </c>
      <c r="P373" s="706"/>
      <c r="Q373" s="14">
        <f t="shared" si="96"/>
        <v>0.02</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6"/>
      <c r="E374" s="14">
        <f t="shared" si="90"/>
        <v>0.02</v>
      </c>
      <c r="F374" s="706"/>
      <c r="G374" s="14">
        <f t="shared" si="91"/>
        <v>1</v>
      </c>
      <c r="H374" s="706"/>
      <c r="I374" s="14">
        <f t="shared" si="92"/>
        <v>1</v>
      </c>
      <c r="J374" s="706"/>
      <c r="K374" s="14">
        <f t="shared" si="93"/>
        <v>1</v>
      </c>
      <c r="L374" s="706"/>
      <c r="M374" s="14">
        <f t="shared" si="94"/>
        <v>1</v>
      </c>
      <c r="N374" s="706"/>
      <c r="O374" s="14">
        <f t="shared" si="95"/>
        <v>1</v>
      </c>
      <c r="P374" s="706"/>
      <c r="Q374" s="14">
        <f t="shared" si="96"/>
        <v>0.02</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6"/>
      <c r="E375" s="14">
        <f t="shared" si="90"/>
        <v>0.02</v>
      </c>
      <c r="F375" s="706"/>
      <c r="G375" s="14">
        <f t="shared" si="91"/>
        <v>1</v>
      </c>
      <c r="H375" s="706"/>
      <c r="I375" s="14">
        <f t="shared" si="92"/>
        <v>1</v>
      </c>
      <c r="J375" s="706"/>
      <c r="K375" s="14">
        <f t="shared" si="93"/>
        <v>1</v>
      </c>
      <c r="L375" s="706"/>
      <c r="M375" s="14">
        <f t="shared" si="94"/>
        <v>1</v>
      </c>
      <c r="N375" s="706"/>
      <c r="O375" s="14">
        <f t="shared" si="95"/>
        <v>1</v>
      </c>
      <c r="P375" s="706"/>
      <c r="Q375" s="14">
        <f t="shared" si="96"/>
        <v>0.02</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6"/>
      <c r="E376" s="14">
        <f t="shared" si="90"/>
        <v>0.02</v>
      </c>
      <c r="F376" s="706"/>
      <c r="G376" s="14">
        <f t="shared" si="91"/>
        <v>1</v>
      </c>
      <c r="H376" s="706"/>
      <c r="I376" s="14">
        <f t="shared" si="92"/>
        <v>1</v>
      </c>
      <c r="J376" s="706"/>
      <c r="K376" s="14">
        <f t="shared" si="93"/>
        <v>1</v>
      </c>
      <c r="L376" s="706"/>
      <c r="M376" s="14">
        <f t="shared" si="94"/>
        <v>1</v>
      </c>
      <c r="N376" s="706"/>
      <c r="O376" s="14">
        <f t="shared" si="95"/>
        <v>1</v>
      </c>
      <c r="P376" s="706"/>
      <c r="Q376" s="14">
        <f t="shared" si="96"/>
        <v>0.02</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6"/>
      <c r="E377" s="14">
        <f t="shared" si="90"/>
        <v>0.02</v>
      </c>
      <c r="F377" s="706"/>
      <c r="G377" s="14">
        <f t="shared" si="91"/>
        <v>1</v>
      </c>
      <c r="H377" s="706"/>
      <c r="I377" s="14">
        <f t="shared" si="92"/>
        <v>1</v>
      </c>
      <c r="J377" s="706"/>
      <c r="K377" s="14">
        <f t="shared" si="93"/>
        <v>1</v>
      </c>
      <c r="L377" s="706"/>
      <c r="M377" s="14">
        <f t="shared" si="94"/>
        <v>1</v>
      </c>
      <c r="N377" s="706"/>
      <c r="O377" s="14">
        <f t="shared" si="95"/>
        <v>1</v>
      </c>
      <c r="P377" s="706"/>
      <c r="Q377" s="14">
        <f t="shared" si="96"/>
        <v>0.02</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6"/>
      <c r="E378" s="14">
        <f t="shared" si="90"/>
        <v>0.02</v>
      </c>
      <c r="F378" s="706"/>
      <c r="G378" s="14">
        <f t="shared" si="91"/>
        <v>1</v>
      </c>
      <c r="H378" s="706"/>
      <c r="I378" s="14">
        <f t="shared" si="92"/>
        <v>1</v>
      </c>
      <c r="J378" s="706"/>
      <c r="K378" s="14">
        <f t="shared" si="93"/>
        <v>1</v>
      </c>
      <c r="L378" s="706"/>
      <c r="M378" s="14">
        <f t="shared" si="94"/>
        <v>1</v>
      </c>
      <c r="N378" s="706"/>
      <c r="O378" s="14">
        <f t="shared" si="95"/>
        <v>1</v>
      </c>
      <c r="P378" s="706"/>
      <c r="Q378" s="14">
        <f t="shared" si="96"/>
        <v>0.02</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6"/>
      <c r="E379" s="14">
        <f t="shared" si="90"/>
        <v>0.02</v>
      </c>
      <c r="F379" s="706"/>
      <c r="G379" s="14">
        <f t="shared" si="91"/>
        <v>1</v>
      </c>
      <c r="H379" s="706"/>
      <c r="I379" s="14">
        <f t="shared" si="92"/>
        <v>1</v>
      </c>
      <c r="J379" s="706"/>
      <c r="K379" s="14">
        <f t="shared" si="93"/>
        <v>1</v>
      </c>
      <c r="L379" s="706"/>
      <c r="M379" s="14">
        <f t="shared" si="94"/>
        <v>1</v>
      </c>
      <c r="N379" s="706"/>
      <c r="O379" s="14">
        <f t="shared" si="95"/>
        <v>1</v>
      </c>
      <c r="P379" s="706"/>
      <c r="Q379" s="14">
        <f t="shared" si="96"/>
        <v>0.02</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6"/>
      <c r="E380" s="14">
        <f t="shared" si="90"/>
        <v>0.02</v>
      </c>
      <c r="F380" s="706"/>
      <c r="G380" s="14">
        <f t="shared" si="91"/>
        <v>1</v>
      </c>
      <c r="H380" s="706"/>
      <c r="I380" s="14">
        <f t="shared" si="92"/>
        <v>1</v>
      </c>
      <c r="J380" s="706"/>
      <c r="K380" s="14">
        <f t="shared" si="93"/>
        <v>1</v>
      </c>
      <c r="L380" s="706"/>
      <c r="M380" s="14">
        <f t="shared" si="94"/>
        <v>1</v>
      </c>
      <c r="N380" s="706"/>
      <c r="O380" s="14">
        <f t="shared" si="95"/>
        <v>1</v>
      </c>
      <c r="P380" s="706"/>
      <c r="Q380" s="14">
        <f t="shared" si="96"/>
        <v>0.02</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6"/>
      <c r="E381" s="14">
        <f t="shared" si="90"/>
        <v>0.02</v>
      </c>
      <c r="F381" s="706"/>
      <c r="G381" s="14">
        <f t="shared" si="91"/>
        <v>1</v>
      </c>
      <c r="H381" s="706"/>
      <c r="I381" s="14">
        <f t="shared" si="92"/>
        <v>1</v>
      </c>
      <c r="J381" s="706"/>
      <c r="K381" s="14">
        <f t="shared" si="93"/>
        <v>1</v>
      </c>
      <c r="L381" s="706"/>
      <c r="M381" s="14">
        <f t="shared" si="94"/>
        <v>1</v>
      </c>
      <c r="N381" s="706"/>
      <c r="O381" s="14">
        <f t="shared" si="95"/>
        <v>1</v>
      </c>
      <c r="P381" s="706"/>
      <c r="Q381" s="14">
        <f t="shared" si="96"/>
        <v>0.02</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6"/>
      <c r="E382" s="14">
        <f t="shared" si="90"/>
        <v>0.02</v>
      </c>
      <c r="F382" s="706"/>
      <c r="G382" s="14">
        <f t="shared" si="91"/>
        <v>1</v>
      </c>
      <c r="H382" s="706"/>
      <c r="I382" s="14">
        <f t="shared" si="92"/>
        <v>1</v>
      </c>
      <c r="J382" s="706"/>
      <c r="K382" s="14">
        <f t="shared" si="93"/>
        <v>1</v>
      </c>
      <c r="L382" s="706"/>
      <c r="M382" s="14">
        <f t="shared" si="94"/>
        <v>1</v>
      </c>
      <c r="N382" s="706"/>
      <c r="O382" s="14">
        <f t="shared" si="95"/>
        <v>1</v>
      </c>
      <c r="P382" s="706"/>
      <c r="Q382" s="14">
        <f t="shared" si="96"/>
        <v>0.02</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6"/>
      <c r="E383" s="14">
        <f t="shared" si="90"/>
        <v>0.02</v>
      </c>
      <c r="F383" s="706"/>
      <c r="G383" s="14">
        <f t="shared" si="91"/>
        <v>1</v>
      </c>
      <c r="H383" s="706"/>
      <c r="I383" s="14">
        <f t="shared" si="92"/>
        <v>1</v>
      </c>
      <c r="J383" s="706"/>
      <c r="K383" s="14">
        <f t="shared" si="93"/>
        <v>1</v>
      </c>
      <c r="L383" s="706"/>
      <c r="M383" s="14">
        <f t="shared" si="94"/>
        <v>1</v>
      </c>
      <c r="N383" s="706"/>
      <c r="O383" s="14">
        <f t="shared" si="95"/>
        <v>1</v>
      </c>
      <c r="P383" s="706"/>
      <c r="Q383" s="14">
        <f t="shared" si="96"/>
        <v>0.02</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6"/>
      <c r="E384" s="14">
        <f t="shared" si="90"/>
        <v>0.02</v>
      </c>
      <c r="F384" s="706"/>
      <c r="G384" s="14">
        <f t="shared" si="91"/>
        <v>1</v>
      </c>
      <c r="H384" s="706"/>
      <c r="I384" s="14">
        <f t="shared" si="92"/>
        <v>1</v>
      </c>
      <c r="J384" s="706"/>
      <c r="K384" s="14">
        <f t="shared" si="93"/>
        <v>1</v>
      </c>
      <c r="L384" s="706"/>
      <c r="M384" s="14">
        <f t="shared" si="94"/>
        <v>1</v>
      </c>
      <c r="N384" s="706"/>
      <c r="O384" s="14">
        <f t="shared" si="95"/>
        <v>1</v>
      </c>
      <c r="P384" s="706"/>
      <c r="Q384" s="14">
        <f t="shared" si="96"/>
        <v>0.02</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6"/>
      <c r="E385" s="14">
        <f t="shared" si="90"/>
        <v>0.02</v>
      </c>
      <c r="F385" s="706"/>
      <c r="G385" s="14">
        <f t="shared" si="91"/>
        <v>1</v>
      </c>
      <c r="H385" s="706"/>
      <c r="I385" s="14">
        <f t="shared" si="92"/>
        <v>1</v>
      </c>
      <c r="J385" s="706"/>
      <c r="K385" s="14">
        <f t="shared" si="93"/>
        <v>1</v>
      </c>
      <c r="L385" s="706"/>
      <c r="M385" s="14">
        <f t="shared" si="94"/>
        <v>1</v>
      </c>
      <c r="N385" s="706"/>
      <c r="O385" s="14">
        <f t="shared" si="95"/>
        <v>1</v>
      </c>
      <c r="P385" s="706"/>
      <c r="Q385" s="14">
        <f t="shared" si="96"/>
        <v>0.02</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6"/>
      <c r="E386" s="14">
        <f t="shared" si="90"/>
        <v>0.02</v>
      </c>
      <c r="F386" s="706"/>
      <c r="G386" s="14">
        <f t="shared" si="91"/>
        <v>1</v>
      </c>
      <c r="H386" s="706"/>
      <c r="I386" s="14">
        <f t="shared" si="92"/>
        <v>1</v>
      </c>
      <c r="J386" s="706"/>
      <c r="K386" s="14">
        <f t="shared" si="93"/>
        <v>1</v>
      </c>
      <c r="L386" s="706"/>
      <c r="M386" s="14">
        <f t="shared" si="94"/>
        <v>1</v>
      </c>
      <c r="N386" s="706"/>
      <c r="O386" s="14">
        <f t="shared" si="95"/>
        <v>1</v>
      </c>
      <c r="P386" s="706"/>
      <c r="Q386" s="14">
        <f t="shared" si="96"/>
        <v>0.02</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6"/>
      <c r="E387" s="14">
        <f t="shared" si="90"/>
        <v>0.02</v>
      </c>
      <c r="F387" s="706"/>
      <c r="G387" s="14">
        <f t="shared" si="91"/>
        <v>1</v>
      </c>
      <c r="H387" s="706"/>
      <c r="I387" s="14">
        <f t="shared" si="92"/>
        <v>1</v>
      </c>
      <c r="J387" s="706"/>
      <c r="K387" s="14">
        <f t="shared" si="93"/>
        <v>1</v>
      </c>
      <c r="L387" s="706"/>
      <c r="M387" s="14">
        <f t="shared" si="94"/>
        <v>1</v>
      </c>
      <c r="N387" s="706"/>
      <c r="O387" s="14">
        <f t="shared" si="95"/>
        <v>1</v>
      </c>
      <c r="P387" s="706"/>
      <c r="Q387" s="14">
        <f t="shared" si="96"/>
        <v>0.02</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6"/>
      <c r="E388" s="14">
        <f t="shared" si="90"/>
        <v>0.02</v>
      </c>
      <c r="F388" s="706"/>
      <c r="G388" s="14">
        <f t="shared" si="91"/>
        <v>1</v>
      </c>
      <c r="H388" s="706"/>
      <c r="I388" s="14">
        <f t="shared" si="92"/>
        <v>1</v>
      </c>
      <c r="J388" s="706"/>
      <c r="K388" s="14">
        <f t="shared" si="93"/>
        <v>1</v>
      </c>
      <c r="L388" s="706"/>
      <c r="M388" s="14">
        <f t="shared" si="94"/>
        <v>1</v>
      </c>
      <c r="N388" s="706"/>
      <c r="O388" s="14">
        <f t="shared" si="95"/>
        <v>1</v>
      </c>
      <c r="P388" s="706"/>
      <c r="Q388" s="14">
        <f t="shared" si="96"/>
        <v>0.02</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6"/>
      <c r="E389" s="14">
        <f t="shared" si="90"/>
        <v>0.02</v>
      </c>
      <c r="F389" s="706"/>
      <c r="G389" s="14">
        <f t="shared" si="91"/>
        <v>1</v>
      </c>
      <c r="H389" s="706"/>
      <c r="I389" s="14">
        <f t="shared" si="92"/>
        <v>1</v>
      </c>
      <c r="J389" s="706"/>
      <c r="K389" s="14">
        <f t="shared" si="93"/>
        <v>1</v>
      </c>
      <c r="L389" s="706"/>
      <c r="M389" s="14">
        <f t="shared" si="94"/>
        <v>1</v>
      </c>
      <c r="N389" s="706"/>
      <c r="O389" s="14">
        <f t="shared" si="95"/>
        <v>1</v>
      </c>
      <c r="P389" s="706"/>
      <c r="Q389" s="14">
        <f t="shared" si="96"/>
        <v>0.02</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6"/>
      <c r="E390" s="14">
        <f t="shared" si="90"/>
        <v>0.02</v>
      </c>
      <c r="F390" s="706"/>
      <c r="G390" s="14">
        <f t="shared" si="91"/>
        <v>1</v>
      </c>
      <c r="H390" s="706"/>
      <c r="I390" s="14">
        <f t="shared" si="92"/>
        <v>1</v>
      </c>
      <c r="J390" s="706"/>
      <c r="K390" s="14">
        <f t="shared" si="93"/>
        <v>1</v>
      </c>
      <c r="L390" s="706"/>
      <c r="M390" s="14">
        <f t="shared" si="94"/>
        <v>1</v>
      </c>
      <c r="N390" s="706"/>
      <c r="O390" s="14">
        <f t="shared" si="95"/>
        <v>1</v>
      </c>
      <c r="P390" s="706"/>
      <c r="Q390" s="14">
        <f t="shared" si="96"/>
        <v>0.02</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6"/>
      <c r="E391" s="14">
        <f t="shared" si="90"/>
        <v>0.02</v>
      </c>
      <c r="F391" s="706"/>
      <c r="G391" s="14">
        <f t="shared" si="91"/>
        <v>1</v>
      </c>
      <c r="H391" s="706"/>
      <c r="I391" s="14">
        <f t="shared" si="92"/>
        <v>1</v>
      </c>
      <c r="J391" s="706"/>
      <c r="K391" s="14">
        <f t="shared" si="93"/>
        <v>1</v>
      </c>
      <c r="L391" s="706"/>
      <c r="M391" s="14">
        <f t="shared" si="94"/>
        <v>1</v>
      </c>
      <c r="N391" s="706"/>
      <c r="O391" s="14">
        <f t="shared" si="95"/>
        <v>1</v>
      </c>
      <c r="P391" s="706"/>
      <c r="Q391" s="14">
        <f t="shared" si="96"/>
        <v>0.02</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6"/>
      <c r="E392" s="14">
        <f t="shared" si="90"/>
        <v>0.02</v>
      </c>
      <c r="F392" s="706"/>
      <c r="G392" s="14">
        <f t="shared" si="91"/>
        <v>1</v>
      </c>
      <c r="H392" s="706"/>
      <c r="I392" s="14">
        <f t="shared" si="92"/>
        <v>1</v>
      </c>
      <c r="J392" s="706"/>
      <c r="K392" s="14">
        <f t="shared" si="93"/>
        <v>1</v>
      </c>
      <c r="L392" s="706"/>
      <c r="M392" s="14">
        <f t="shared" si="94"/>
        <v>1</v>
      </c>
      <c r="N392" s="706"/>
      <c r="O392" s="14">
        <f t="shared" si="95"/>
        <v>1</v>
      </c>
      <c r="P392" s="706"/>
      <c r="Q392" s="14">
        <f t="shared" si="96"/>
        <v>0.02</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6"/>
      <c r="E393" s="14">
        <f t="shared" si="90"/>
        <v>0.02</v>
      </c>
      <c r="F393" s="706"/>
      <c r="G393" s="14">
        <f t="shared" si="91"/>
        <v>1</v>
      </c>
      <c r="H393" s="706"/>
      <c r="I393" s="14">
        <f t="shared" si="92"/>
        <v>1</v>
      </c>
      <c r="J393" s="706"/>
      <c r="K393" s="14">
        <f t="shared" si="93"/>
        <v>1</v>
      </c>
      <c r="L393" s="706"/>
      <c r="M393" s="14">
        <f t="shared" si="94"/>
        <v>1</v>
      </c>
      <c r="N393" s="706"/>
      <c r="O393" s="14">
        <f t="shared" si="95"/>
        <v>1</v>
      </c>
      <c r="P393" s="706"/>
      <c r="Q393" s="14">
        <f t="shared" si="96"/>
        <v>0.02</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6"/>
      <c r="E394" s="14">
        <f t="shared" si="90"/>
        <v>0.02</v>
      </c>
      <c r="F394" s="706"/>
      <c r="G394" s="14">
        <f t="shared" si="91"/>
        <v>1</v>
      </c>
      <c r="H394" s="706"/>
      <c r="I394" s="14">
        <f t="shared" si="92"/>
        <v>1</v>
      </c>
      <c r="J394" s="706"/>
      <c r="K394" s="14">
        <f t="shared" si="93"/>
        <v>1</v>
      </c>
      <c r="L394" s="706"/>
      <c r="M394" s="14">
        <f t="shared" si="94"/>
        <v>1</v>
      </c>
      <c r="N394" s="706"/>
      <c r="O394" s="14">
        <f t="shared" si="95"/>
        <v>1</v>
      </c>
      <c r="P394" s="706"/>
      <c r="Q394" s="14">
        <f t="shared" si="96"/>
        <v>0.02</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6"/>
      <c r="E395" s="14">
        <f t="shared" si="90"/>
        <v>0.02</v>
      </c>
      <c r="F395" s="706"/>
      <c r="G395" s="14">
        <f t="shared" si="91"/>
        <v>1</v>
      </c>
      <c r="H395" s="706"/>
      <c r="I395" s="14">
        <f t="shared" si="92"/>
        <v>1</v>
      </c>
      <c r="J395" s="706"/>
      <c r="K395" s="14">
        <f t="shared" si="93"/>
        <v>1</v>
      </c>
      <c r="L395" s="706"/>
      <c r="M395" s="14">
        <f t="shared" si="94"/>
        <v>1</v>
      </c>
      <c r="N395" s="706"/>
      <c r="O395" s="14">
        <f t="shared" si="95"/>
        <v>1</v>
      </c>
      <c r="P395" s="706"/>
      <c r="Q395" s="14">
        <f t="shared" si="96"/>
        <v>0.02</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6"/>
      <c r="E396" s="14">
        <f t="shared" si="90"/>
        <v>0.02</v>
      </c>
      <c r="F396" s="706"/>
      <c r="G396" s="14">
        <f t="shared" si="91"/>
        <v>1</v>
      </c>
      <c r="H396" s="706"/>
      <c r="I396" s="14">
        <f t="shared" si="92"/>
        <v>1</v>
      </c>
      <c r="J396" s="706"/>
      <c r="K396" s="14">
        <f t="shared" si="93"/>
        <v>1</v>
      </c>
      <c r="L396" s="706"/>
      <c r="M396" s="14">
        <f t="shared" si="94"/>
        <v>1</v>
      </c>
      <c r="N396" s="706"/>
      <c r="O396" s="14">
        <f t="shared" si="95"/>
        <v>1</v>
      </c>
      <c r="P396" s="706"/>
      <c r="Q396" s="14">
        <f t="shared" si="96"/>
        <v>0.02</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6"/>
      <c r="E397" s="14">
        <f t="shared" si="90"/>
        <v>0.02</v>
      </c>
      <c r="F397" s="706"/>
      <c r="G397" s="14">
        <f t="shared" si="91"/>
        <v>1</v>
      </c>
      <c r="H397" s="706"/>
      <c r="I397" s="14">
        <f t="shared" si="92"/>
        <v>1</v>
      </c>
      <c r="J397" s="706"/>
      <c r="K397" s="14">
        <f t="shared" si="93"/>
        <v>1</v>
      </c>
      <c r="L397" s="706"/>
      <c r="M397" s="14">
        <f t="shared" si="94"/>
        <v>1</v>
      </c>
      <c r="N397" s="706"/>
      <c r="O397" s="14">
        <f t="shared" si="95"/>
        <v>1</v>
      </c>
      <c r="P397" s="706"/>
      <c r="Q397" s="14">
        <f t="shared" si="96"/>
        <v>0.02</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6"/>
      <c r="E398" s="14">
        <f t="shared" si="90"/>
        <v>0.02</v>
      </c>
      <c r="F398" s="706"/>
      <c r="G398" s="14">
        <f t="shared" si="91"/>
        <v>1</v>
      </c>
      <c r="H398" s="706"/>
      <c r="I398" s="14">
        <f t="shared" si="92"/>
        <v>1</v>
      </c>
      <c r="J398" s="706"/>
      <c r="K398" s="14">
        <f t="shared" si="93"/>
        <v>1</v>
      </c>
      <c r="L398" s="706"/>
      <c r="M398" s="14">
        <f t="shared" si="94"/>
        <v>1</v>
      </c>
      <c r="N398" s="706"/>
      <c r="O398" s="14">
        <f t="shared" si="95"/>
        <v>1</v>
      </c>
      <c r="P398" s="706"/>
      <c r="Q398" s="14">
        <f t="shared" si="96"/>
        <v>0.02</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6"/>
      <c r="E399" s="14">
        <f t="shared" si="90"/>
        <v>0.02</v>
      </c>
      <c r="F399" s="706"/>
      <c r="G399" s="14">
        <f t="shared" si="91"/>
        <v>1</v>
      </c>
      <c r="H399" s="706"/>
      <c r="I399" s="14">
        <f t="shared" si="92"/>
        <v>1</v>
      </c>
      <c r="J399" s="706"/>
      <c r="K399" s="14">
        <f t="shared" si="93"/>
        <v>1</v>
      </c>
      <c r="L399" s="706"/>
      <c r="M399" s="14">
        <f t="shared" si="94"/>
        <v>1</v>
      </c>
      <c r="N399" s="706"/>
      <c r="O399" s="14">
        <f t="shared" si="95"/>
        <v>1</v>
      </c>
      <c r="P399" s="706"/>
      <c r="Q399" s="14">
        <f t="shared" si="96"/>
        <v>0.02</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6"/>
      <c r="E400" s="14">
        <f t="shared" si="90"/>
        <v>0.02</v>
      </c>
      <c r="F400" s="706"/>
      <c r="G400" s="14">
        <f t="shared" si="91"/>
        <v>1</v>
      </c>
      <c r="H400" s="706"/>
      <c r="I400" s="14">
        <f t="shared" si="92"/>
        <v>1</v>
      </c>
      <c r="J400" s="706"/>
      <c r="K400" s="14">
        <f t="shared" si="93"/>
        <v>1</v>
      </c>
      <c r="L400" s="706"/>
      <c r="M400" s="14">
        <f t="shared" si="94"/>
        <v>1</v>
      </c>
      <c r="N400" s="706"/>
      <c r="O400" s="14">
        <f t="shared" si="95"/>
        <v>1</v>
      </c>
      <c r="P400" s="706"/>
      <c r="Q400" s="14">
        <f t="shared" si="96"/>
        <v>0.02</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6"/>
      <c r="E401" s="14">
        <f t="shared" si="90"/>
        <v>0.02</v>
      </c>
      <c r="F401" s="706"/>
      <c r="G401" s="14">
        <f t="shared" si="91"/>
        <v>1</v>
      </c>
      <c r="H401" s="706"/>
      <c r="I401" s="14">
        <f t="shared" si="92"/>
        <v>1</v>
      </c>
      <c r="J401" s="706"/>
      <c r="K401" s="14">
        <f t="shared" si="93"/>
        <v>1</v>
      </c>
      <c r="L401" s="706"/>
      <c r="M401" s="14">
        <f t="shared" si="94"/>
        <v>1</v>
      </c>
      <c r="N401" s="706"/>
      <c r="O401" s="14">
        <f t="shared" si="95"/>
        <v>1</v>
      </c>
      <c r="P401" s="706"/>
      <c r="Q401" s="14">
        <f t="shared" si="96"/>
        <v>0.02</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6"/>
      <c r="E402" s="14">
        <f t="shared" si="90"/>
        <v>0.02</v>
      </c>
      <c r="F402" s="706"/>
      <c r="G402" s="14">
        <f t="shared" si="91"/>
        <v>1</v>
      </c>
      <c r="H402" s="706"/>
      <c r="I402" s="14">
        <f t="shared" si="92"/>
        <v>1</v>
      </c>
      <c r="J402" s="706"/>
      <c r="K402" s="14">
        <f t="shared" si="93"/>
        <v>1</v>
      </c>
      <c r="L402" s="706"/>
      <c r="M402" s="14">
        <f t="shared" si="94"/>
        <v>1</v>
      </c>
      <c r="N402" s="706"/>
      <c r="O402" s="14">
        <f t="shared" si="95"/>
        <v>1</v>
      </c>
      <c r="P402" s="706"/>
      <c r="Q402" s="14">
        <f t="shared" si="96"/>
        <v>0.02</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6"/>
      <c r="E403" s="14">
        <f t="shared" si="90"/>
        <v>0.02</v>
      </c>
      <c r="F403" s="706"/>
      <c r="G403" s="14">
        <f t="shared" si="91"/>
        <v>1</v>
      </c>
      <c r="H403" s="706"/>
      <c r="I403" s="14">
        <f t="shared" si="92"/>
        <v>1</v>
      </c>
      <c r="J403" s="706"/>
      <c r="K403" s="14">
        <f t="shared" si="93"/>
        <v>1</v>
      </c>
      <c r="L403" s="706"/>
      <c r="M403" s="14">
        <f t="shared" si="94"/>
        <v>1</v>
      </c>
      <c r="N403" s="706"/>
      <c r="O403" s="14">
        <f t="shared" si="95"/>
        <v>1</v>
      </c>
      <c r="P403" s="706"/>
      <c r="Q403" s="14">
        <f t="shared" si="96"/>
        <v>0.02</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6"/>
      <c r="E404" s="14">
        <f t="shared" si="90"/>
        <v>0.02</v>
      </c>
      <c r="F404" s="706"/>
      <c r="G404" s="14">
        <f t="shared" si="91"/>
        <v>1</v>
      </c>
      <c r="H404" s="706"/>
      <c r="I404" s="14">
        <f t="shared" si="92"/>
        <v>1</v>
      </c>
      <c r="J404" s="706"/>
      <c r="K404" s="14">
        <f t="shared" si="93"/>
        <v>1</v>
      </c>
      <c r="L404" s="706"/>
      <c r="M404" s="14">
        <f t="shared" si="94"/>
        <v>1</v>
      </c>
      <c r="N404" s="706"/>
      <c r="O404" s="14">
        <f t="shared" si="95"/>
        <v>1</v>
      </c>
      <c r="P404" s="706"/>
      <c r="Q404" s="14">
        <f t="shared" si="96"/>
        <v>0.02</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6"/>
      <c r="E405" s="14">
        <f t="shared" si="90"/>
        <v>0.02</v>
      </c>
      <c r="F405" s="706"/>
      <c r="G405" s="14">
        <f t="shared" si="91"/>
        <v>1</v>
      </c>
      <c r="H405" s="706"/>
      <c r="I405" s="14">
        <f t="shared" si="92"/>
        <v>1</v>
      </c>
      <c r="J405" s="706"/>
      <c r="K405" s="14">
        <f t="shared" si="93"/>
        <v>1</v>
      </c>
      <c r="L405" s="706"/>
      <c r="M405" s="14">
        <f t="shared" si="94"/>
        <v>1</v>
      </c>
      <c r="N405" s="706"/>
      <c r="O405" s="14">
        <f t="shared" si="95"/>
        <v>1</v>
      </c>
      <c r="P405" s="706"/>
      <c r="Q405" s="14">
        <f t="shared" si="96"/>
        <v>0.02</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6"/>
      <c r="E406" s="14">
        <f t="shared" si="90"/>
        <v>0.02</v>
      </c>
      <c r="F406" s="706"/>
      <c r="G406" s="14">
        <f t="shared" si="91"/>
        <v>1</v>
      </c>
      <c r="H406" s="706"/>
      <c r="I406" s="14">
        <f t="shared" si="92"/>
        <v>1</v>
      </c>
      <c r="J406" s="706"/>
      <c r="K406" s="14">
        <f t="shared" si="93"/>
        <v>1</v>
      </c>
      <c r="L406" s="706"/>
      <c r="M406" s="14">
        <f t="shared" si="94"/>
        <v>1</v>
      </c>
      <c r="N406" s="706"/>
      <c r="O406" s="14">
        <f t="shared" si="95"/>
        <v>1</v>
      </c>
      <c r="P406" s="706"/>
      <c r="Q406" s="14">
        <f t="shared" si="96"/>
        <v>0.02</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6"/>
      <c r="E407" s="14">
        <f t="shared" si="90"/>
        <v>0.02</v>
      </c>
      <c r="F407" s="706"/>
      <c r="G407" s="14">
        <f t="shared" si="91"/>
        <v>1</v>
      </c>
      <c r="H407" s="706"/>
      <c r="I407" s="14">
        <f t="shared" si="92"/>
        <v>1</v>
      </c>
      <c r="J407" s="706"/>
      <c r="K407" s="14">
        <f t="shared" si="93"/>
        <v>1</v>
      </c>
      <c r="L407" s="706"/>
      <c r="M407" s="14">
        <f t="shared" si="94"/>
        <v>1</v>
      </c>
      <c r="N407" s="706"/>
      <c r="O407" s="14">
        <f t="shared" si="95"/>
        <v>1</v>
      </c>
      <c r="P407" s="706"/>
      <c r="Q407" s="14">
        <f t="shared" si="96"/>
        <v>0.02</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6"/>
      <c r="E408" s="14">
        <f t="shared" si="90"/>
        <v>0.02</v>
      </c>
      <c r="F408" s="706"/>
      <c r="G408" s="14">
        <f t="shared" si="91"/>
        <v>1</v>
      </c>
      <c r="H408" s="706"/>
      <c r="I408" s="14">
        <f t="shared" si="92"/>
        <v>1</v>
      </c>
      <c r="J408" s="706"/>
      <c r="K408" s="14">
        <f t="shared" si="93"/>
        <v>1</v>
      </c>
      <c r="L408" s="706"/>
      <c r="M408" s="14">
        <f t="shared" si="94"/>
        <v>1</v>
      </c>
      <c r="N408" s="706"/>
      <c r="O408" s="14">
        <f t="shared" si="95"/>
        <v>1</v>
      </c>
      <c r="P408" s="706"/>
      <c r="Q408" s="14">
        <f t="shared" si="96"/>
        <v>0.02</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6"/>
      <c r="E409" s="14">
        <f t="shared" si="90"/>
        <v>0.02</v>
      </c>
      <c r="F409" s="706"/>
      <c r="G409" s="14">
        <f t="shared" si="91"/>
        <v>1</v>
      </c>
      <c r="H409" s="706"/>
      <c r="I409" s="14">
        <f t="shared" si="92"/>
        <v>1</v>
      </c>
      <c r="J409" s="706"/>
      <c r="K409" s="14">
        <f t="shared" si="93"/>
        <v>1</v>
      </c>
      <c r="L409" s="706"/>
      <c r="M409" s="14">
        <f t="shared" si="94"/>
        <v>1</v>
      </c>
      <c r="N409" s="706"/>
      <c r="O409" s="14">
        <f t="shared" si="95"/>
        <v>1</v>
      </c>
      <c r="P409" s="706"/>
      <c r="Q409" s="14">
        <f t="shared" si="96"/>
        <v>0.02</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6"/>
      <c r="E410" s="14">
        <f t="shared" si="90"/>
        <v>0.02</v>
      </c>
      <c r="F410" s="706"/>
      <c r="G410" s="14">
        <f t="shared" si="91"/>
        <v>1</v>
      </c>
      <c r="H410" s="706"/>
      <c r="I410" s="14">
        <f t="shared" si="92"/>
        <v>1</v>
      </c>
      <c r="J410" s="706"/>
      <c r="K410" s="14">
        <f t="shared" si="93"/>
        <v>1</v>
      </c>
      <c r="L410" s="706"/>
      <c r="M410" s="14">
        <f t="shared" si="94"/>
        <v>1</v>
      </c>
      <c r="N410" s="706"/>
      <c r="O410" s="14">
        <f t="shared" si="95"/>
        <v>1</v>
      </c>
      <c r="P410" s="706"/>
      <c r="Q410" s="14">
        <f t="shared" si="96"/>
        <v>0.02</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6"/>
      <c r="E411" s="14">
        <f t="shared" si="90"/>
        <v>0.02</v>
      </c>
      <c r="F411" s="706"/>
      <c r="G411" s="14">
        <f t="shared" si="91"/>
        <v>1</v>
      </c>
      <c r="H411" s="706"/>
      <c r="I411" s="14">
        <f t="shared" si="92"/>
        <v>1</v>
      </c>
      <c r="J411" s="706"/>
      <c r="K411" s="14">
        <f t="shared" si="93"/>
        <v>1</v>
      </c>
      <c r="L411" s="706"/>
      <c r="M411" s="14">
        <f t="shared" si="94"/>
        <v>1</v>
      </c>
      <c r="N411" s="706"/>
      <c r="O411" s="14">
        <f t="shared" si="95"/>
        <v>1</v>
      </c>
      <c r="P411" s="706"/>
      <c r="Q411" s="14">
        <f t="shared" si="96"/>
        <v>0.02</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6"/>
      <c r="E412" s="14">
        <f t="shared" ref="E412:E475" si="105">(SUMIF($8:$8,D412,$9:$9)-SUMIF($8:$8,$D$27,$9:$9)+100)/100</f>
        <v>0.02</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0.02</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6"/>
      <c r="E413" s="14">
        <f t="shared" si="105"/>
        <v>0.02</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0.02</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6"/>
      <c r="E414" s="14">
        <f t="shared" si="105"/>
        <v>0.02</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0.02</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6"/>
      <c r="E415" s="14">
        <f t="shared" si="105"/>
        <v>0.02</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0.02</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6"/>
      <c r="E416" s="14">
        <f t="shared" si="105"/>
        <v>0.02</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0.02</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6"/>
      <c r="E417" s="14">
        <f t="shared" si="105"/>
        <v>0.02</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0.02</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6"/>
      <c r="E418" s="14">
        <f t="shared" si="105"/>
        <v>0.02</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0.02</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6"/>
      <c r="E419" s="14">
        <f t="shared" si="105"/>
        <v>0.02</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0.02</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6"/>
      <c r="E420" s="14">
        <f t="shared" si="105"/>
        <v>0.02</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0.02</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6"/>
      <c r="E421" s="14">
        <f t="shared" si="105"/>
        <v>0.02</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0.02</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6"/>
      <c r="E422" s="14">
        <f t="shared" si="105"/>
        <v>0.02</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0.02</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6"/>
      <c r="E423" s="14">
        <f t="shared" si="105"/>
        <v>0.02</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0.02</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6"/>
      <c r="E424" s="14">
        <f t="shared" si="105"/>
        <v>0.02</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0.02</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6"/>
      <c r="E425" s="14">
        <f t="shared" si="105"/>
        <v>0.02</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0.02</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6"/>
      <c r="E426" s="14">
        <f t="shared" si="105"/>
        <v>0.02</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0.02</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6"/>
      <c r="E427" s="14">
        <f t="shared" si="105"/>
        <v>0.02</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0.02</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6"/>
      <c r="E428" s="14">
        <f t="shared" si="105"/>
        <v>0.02</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0.02</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6"/>
      <c r="E429" s="14">
        <f t="shared" si="105"/>
        <v>0.02</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0.02</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6"/>
      <c r="E430" s="14">
        <f t="shared" si="105"/>
        <v>0.02</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0.02</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6"/>
      <c r="E431" s="14">
        <f t="shared" si="105"/>
        <v>0.02</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0.02</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6"/>
      <c r="E432" s="14">
        <f t="shared" si="105"/>
        <v>0.02</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0.02</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6"/>
      <c r="E433" s="14">
        <f t="shared" si="105"/>
        <v>0.02</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0.02</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6"/>
      <c r="E434" s="14">
        <f t="shared" si="105"/>
        <v>0.02</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0.02</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6"/>
      <c r="E435" s="14">
        <f t="shared" si="105"/>
        <v>0.02</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0.02</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6"/>
      <c r="E436" s="14">
        <f t="shared" si="105"/>
        <v>0.02</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0.02</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6"/>
      <c r="E437" s="14">
        <f t="shared" si="105"/>
        <v>0.02</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0.02</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6"/>
      <c r="E438" s="14">
        <f t="shared" si="105"/>
        <v>0.02</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0.02</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6"/>
      <c r="E439" s="14">
        <f t="shared" si="105"/>
        <v>0.02</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0.02</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6"/>
      <c r="E440" s="14">
        <f t="shared" si="105"/>
        <v>0.02</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0.02</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6"/>
      <c r="E441" s="14">
        <f t="shared" si="105"/>
        <v>0.02</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0.02</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6"/>
      <c r="E442" s="14">
        <f t="shared" si="105"/>
        <v>0.02</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0.02</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6"/>
      <c r="E443" s="14">
        <f t="shared" si="105"/>
        <v>0.02</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0.02</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6"/>
      <c r="E444" s="14">
        <f t="shared" si="105"/>
        <v>0.02</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0.02</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6"/>
      <c r="E445" s="14">
        <f t="shared" si="105"/>
        <v>0.02</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0.02</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6"/>
      <c r="E446" s="14">
        <f t="shared" si="105"/>
        <v>0.02</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0.02</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6"/>
      <c r="E447" s="14">
        <f t="shared" si="105"/>
        <v>0.02</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0.02</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6"/>
      <c r="E448" s="14">
        <f t="shared" si="105"/>
        <v>0.02</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0.02</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6"/>
      <c r="E449" s="14">
        <f t="shared" si="105"/>
        <v>0.02</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0.02</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6"/>
      <c r="E450" s="14">
        <f t="shared" si="105"/>
        <v>0.02</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0.02</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6"/>
      <c r="E451" s="14">
        <f t="shared" si="105"/>
        <v>0.02</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0.02</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6"/>
      <c r="E452" s="14">
        <f t="shared" si="105"/>
        <v>0.02</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0.02</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6"/>
      <c r="E453" s="14">
        <f t="shared" si="105"/>
        <v>0.02</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0.02</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6"/>
      <c r="E454" s="14">
        <f t="shared" si="105"/>
        <v>0.02</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0.02</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6"/>
      <c r="E455" s="14">
        <f t="shared" si="105"/>
        <v>0.02</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0.02</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6"/>
      <c r="E456" s="14">
        <f t="shared" si="105"/>
        <v>0.02</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0.02</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6"/>
      <c r="E457" s="14">
        <f t="shared" si="105"/>
        <v>0.02</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0.02</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6"/>
      <c r="E458" s="14">
        <f t="shared" si="105"/>
        <v>0.02</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0.02</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6"/>
      <c r="E459" s="14">
        <f t="shared" si="105"/>
        <v>0.02</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0.02</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6"/>
      <c r="E460" s="14">
        <f t="shared" si="105"/>
        <v>0.02</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0.02</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6"/>
      <c r="E461" s="14">
        <f t="shared" si="105"/>
        <v>0.02</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0.02</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6"/>
      <c r="E462" s="14">
        <f t="shared" si="105"/>
        <v>0.02</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0.02</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6"/>
      <c r="E463" s="14">
        <f t="shared" si="105"/>
        <v>0.02</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0.02</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6"/>
      <c r="E464" s="14">
        <f t="shared" si="105"/>
        <v>0.02</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0.02</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6"/>
      <c r="E465" s="14">
        <f t="shared" si="105"/>
        <v>0.02</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0.02</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6"/>
      <c r="E466" s="14">
        <f t="shared" si="105"/>
        <v>0.02</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0.02</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6"/>
      <c r="E467" s="14">
        <f t="shared" si="105"/>
        <v>0.02</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0.02</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6"/>
      <c r="E468" s="14">
        <f t="shared" si="105"/>
        <v>0.02</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0.02</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6"/>
      <c r="E469" s="14">
        <f t="shared" si="105"/>
        <v>0.02</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0.02</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6"/>
      <c r="E470" s="14">
        <f t="shared" si="105"/>
        <v>0.02</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0.02</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6"/>
      <c r="E471" s="14">
        <f t="shared" si="105"/>
        <v>0.02</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0.02</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6"/>
      <c r="E472" s="14">
        <f t="shared" si="105"/>
        <v>0.02</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0.02</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6"/>
      <c r="E473" s="14">
        <f t="shared" si="105"/>
        <v>0.02</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0.02</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6"/>
      <c r="E474" s="14">
        <f t="shared" si="105"/>
        <v>0.02</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0.02</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6"/>
      <c r="E475" s="14">
        <f t="shared" si="105"/>
        <v>0.02</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0.02</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6"/>
      <c r="E476" s="14">
        <f t="shared" ref="E476:E527" si="120">(SUMIF($8:$8,D476,$9:$9)-SUMIF($8:$8,$D$27,$9:$9)+100)/100</f>
        <v>0.02</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0.02</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6"/>
      <c r="E477" s="14">
        <f t="shared" si="120"/>
        <v>0.02</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0.02</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6"/>
      <c r="E478" s="14">
        <f t="shared" si="120"/>
        <v>0.02</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0.02</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6"/>
      <c r="E479" s="14">
        <f t="shared" si="120"/>
        <v>0.02</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0.02</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6"/>
      <c r="E480" s="14">
        <f t="shared" si="120"/>
        <v>0.02</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0.02</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6"/>
      <c r="E481" s="14">
        <f t="shared" si="120"/>
        <v>0.02</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0.02</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6"/>
      <c r="E482" s="14">
        <f t="shared" si="120"/>
        <v>0.02</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0.02</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6"/>
      <c r="E483" s="14">
        <f t="shared" si="120"/>
        <v>0.02</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0.02</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6"/>
      <c r="E484" s="14">
        <f t="shared" si="120"/>
        <v>0.02</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0.02</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6"/>
      <c r="E485" s="14">
        <f t="shared" si="120"/>
        <v>0.02</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0.02</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6"/>
      <c r="E486" s="14">
        <f t="shared" si="120"/>
        <v>0.02</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0.02</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6"/>
      <c r="E487" s="14">
        <f t="shared" si="120"/>
        <v>0.02</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0.02</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6"/>
      <c r="E488" s="14">
        <f t="shared" si="120"/>
        <v>0.02</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0.02</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6"/>
      <c r="E489" s="14">
        <f t="shared" si="120"/>
        <v>0.02</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0.02</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6"/>
      <c r="E490" s="14">
        <f t="shared" si="120"/>
        <v>0.02</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0.02</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6"/>
      <c r="E491" s="14">
        <f t="shared" si="120"/>
        <v>0.02</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0.02</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6"/>
      <c r="E492" s="14">
        <f t="shared" si="120"/>
        <v>0.02</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0.02</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6"/>
      <c r="E493" s="14">
        <f t="shared" si="120"/>
        <v>0.02</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0.02</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6"/>
      <c r="E494" s="14">
        <f t="shared" si="120"/>
        <v>0.02</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0.02</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6"/>
      <c r="E495" s="14">
        <f t="shared" si="120"/>
        <v>0.02</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0.02</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6"/>
      <c r="E496" s="14">
        <f t="shared" si="120"/>
        <v>0.02</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0.02</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6"/>
      <c r="E497" s="14">
        <f t="shared" si="120"/>
        <v>0.02</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0.02</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6"/>
      <c r="E498" s="14">
        <f t="shared" si="120"/>
        <v>0.02</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0.02</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6"/>
      <c r="E499" s="14">
        <f t="shared" si="120"/>
        <v>0.02</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0.02</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6"/>
      <c r="E500" s="14">
        <f t="shared" si="120"/>
        <v>0.02</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0.02</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6"/>
      <c r="E501" s="14">
        <f t="shared" si="120"/>
        <v>0.02</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0.02</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6"/>
      <c r="E502" s="14">
        <f t="shared" si="120"/>
        <v>0.02</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0.02</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6"/>
      <c r="E503" s="14">
        <f t="shared" si="120"/>
        <v>0.02</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0.02</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6"/>
      <c r="E504" s="14">
        <f t="shared" si="120"/>
        <v>0.02</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0.02</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6"/>
      <c r="E505" s="14">
        <f t="shared" si="120"/>
        <v>0.02</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0.02</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6"/>
      <c r="E506" s="14">
        <f t="shared" si="120"/>
        <v>0.02</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0.02</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6"/>
      <c r="E507" s="14">
        <f t="shared" si="120"/>
        <v>0.02</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0.02</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6"/>
      <c r="E508" s="14">
        <f t="shared" si="120"/>
        <v>0.02</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0.02</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6"/>
      <c r="E509" s="14">
        <f t="shared" si="120"/>
        <v>0.02</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0.02</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6"/>
      <c r="E510" s="14">
        <f t="shared" si="120"/>
        <v>0.02</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0.02</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6"/>
      <c r="E511" s="14">
        <f t="shared" si="120"/>
        <v>0.02</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0.02</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6"/>
      <c r="E512" s="14">
        <f t="shared" si="120"/>
        <v>0.02</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0.02</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6"/>
      <c r="E513" s="14">
        <f t="shared" si="120"/>
        <v>0.02</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0.02</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6"/>
      <c r="E514" s="14">
        <f t="shared" si="120"/>
        <v>0.02</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0.02</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6"/>
      <c r="E515" s="14">
        <f t="shared" si="120"/>
        <v>0.02</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0.02</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6"/>
      <c r="E516" s="14">
        <f t="shared" si="120"/>
        <v>0.02</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0.02</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6"/>
      <c r="E517" s="14">
        <f t="shared" si="120"/>
        <v>0.02</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0.02</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6"/>
      <c r="E518" s="14">
        <f t="shared" si="120"/>
        <v>0.02</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0.02</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6"/>
      <c r="E519" s="14">
        <f t="shared" si="120"/>
        <v>0.02</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0.02</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6"/>
      <c r="E520" s="14">
        <f t="shared" si="120"/>
        <v>0.02</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0.02</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6"/>
      <c r="E521" s="14">
        <f t="shared" si="120"/>
        <v>0.02</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0.02</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6"/>
      <c r="E522" s="14">
        <f t="shared" si="120"/>
        <v>0.02</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0.02</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6"/>
      <c r="E523" s="14">
        <f t="shared" si="120"/>
        <v>0.02</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0.02</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6"/>
      <c r="E524" s="14">
        <f t="shared" si="120"/>
        <v>0.02</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0.02</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6"/>
      <c r="E525" s="14">
        <f t="shared" si="120"/>
        <v>0.02</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0.02</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6"/>
      <c r="E526" s="14">
        <f t="shared" si="120"/>
        <v>0.02</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0.02</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6"/>
      <c r="E527" s="14">
        <f t="shared" si="120"/>
        <v>0.02</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0.02</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5.10937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20"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2335</v>
      </c>
      <c r="B1" s="1733" t="s">
        <v>2336</v>
      </c>
      <c r="C1" s="1725"/>
      <c r="D1" s="2381"/>
      <c r="E1" s="2382"/>
      <c r="F1" s="1739" t="s">
        <v>2337</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2008</v>
      </c>
      <c r="B2" s="1724" t="e">
        <f ca="1">IF(D2="——",IF(C2="元",ROUND(C49*D3,0),ROUND(C49*D3/10000,0)),IF(C2="元",ROUND(C49*D3,0),ROUND(C49*D3/10000,0))-E2)</f>
        <v>#DIV/0!</v>
      </c>
      <c r="C2" s="163" t="str">
        <f>'数据-取费表'!B3</f>
        <v>万元</v>
      </c>
      <c r="D2" s="2384"/>
      <c r="E2" s="1842" t="e">
        <f ca="1">SUMIF(INDIRECT("'"&amp;G2&amp;"'"&amp;"!A:A"),"承租人权益价值",INDIRECT("'"&amp;G2&amp;"'"&amp;"!c:c"))</f>
        <v>#REF!</v>
      </c>
      <c r="F2" s="2385" t="str">
        <f>C2</f>
        <v>万元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2009</v>
      </c>
      <c r="B3" s="378" t="e">
        <f ca="1">ROUND(IF(D2="——",C49,IF(C2="万元",B2*10000/D3,B2/D3)),0)</f>
        <v>#DIV/0!</v>
      </c>
      <c r="C3" s="379" t="s">
        <v>2338</v>
      </c>
      <c r="D3" s="378">
        <f>IF(C1="仅计算典型户型",'数据-取费表'!E5,'数据-取费表'!B5)</f>
        <v>424.6</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4.4">
      <c r="A4" s="380" t="s">
        <v>2339</v>
      </c>
      <c r="B4" s="381"/>
      <c r="C4" s="3005" t="s">
        <v>2340</v>
      </c>
      <c r="D4" s="3006"/>
      <c r="E4" s="3007" t="s">
        <v>2341</v>
      </c>
      <c r="F4" s="3008"/>
      <c r="G4" s="3005" t="s">
        <v>2342</v>
      </c>
      <c r="H4" s="3006"/>
      <c r="I4" s="3005" t="s">
        <v>2343</v>
      </c>
      <c r="J4" s="3006"/>
      <c r="K4" s="2395" t="s">
        <v>2344</v>
      </c>
      <c r="L4" s="1242"/>
      <c r="M4" s="1243"/>
      <c r="N4" s="1243"/>
      <c r="O4" s="1243"/>
      <c r="P4" s="3009" t="s">
        <v>2345</v>
      </c>
      <c r="Q4" s="3010"/>
      <c r="R4" s="3015" t="s">
        <v>2341</v>
      </c>
      <c r="S4" s="3016"/>
      <c r="T4" s="3015" t="s">
        <v>2342</v>
      </c>
      <c r="U4" s="3016"/>
      <c r="V4" s="3021" t="s">
        <v>2343</v>
      </c>
      <c r="W4" s="3021"/>
      <c r="X4" s="1899"/>
      <c r="Y4" s="3015" t="s">
        <v>2345</v>
      </c>
      <c r="Z4" s="3016"/>
      <c r="AA4" s="3002" t="s">
        <v>2341</v>
      </c>
      <c r="AB4" s="3002" t="s">
        <v>2342</v>
      </c>
      <c r="AC4" s="3002" t="s">
        <v>2343</v>
      </c>
    </row>
    <row r="5" spans="1:29">
      <c r="A5" s="383"/>
      <c r="B5" s="384"/>
      <c r="C5" s="3024" t="s">
        <v>2346</v>
      </c>
      <c r="D5" s="3025"/>
      <c r="E5" s="3022" t="s">
        <v>2347</v>
      </c>
      <c r="F5" s="3023"/>
      <c r="G5" s="3024" t="s">
        <v>2348</v>
      </c>
      <c r="H5" s="3025"/>
      <c r="I5" s="3024" t="s">
        <v>2349</v>
      </c>
      <c r="J5" s="3025"/>
      <c r="K5" s="2396"/>
      <c r="L5" s="1242"/>
      <c r="M5" s="1243"/>
      <c r="N5" s="1243"/>
      <c r="O5" s="1243"/>
      <c r="P5" s="3011"/>
      <c r="Q5" s="3012"/>
      <c r="R5" s="3017"/>
      <c r="S5" s="3018"/>
      <c r="T5" s="3017"/>
      <c r="U5" s="3018"/>
      <c r="V5" s="3021"/>
      <c r="W5" s="3021"/>
      <c r="X5" s="1899"/>
      <c r="Y5" s="3017"/>
      <c r="Z5" s="3018"/>
      <c r="AA5" s="3003"/>
      <c r="AB5" s="3003"/>
      <c r="AC5" s="3003"/>
    </row>
    <row r="6" spans="1:29" ht="15" thickBot="1">
      <c r="A6" s="385"/>
      <c r="B6" s="386"/>
      <c r="C6" s="3026" t="s">
        <v>2350</v>
      </c>
      <c r="D6" s="3027"/>
      <c r="E6" s="3028" t="s">
        <v>2350</v>
      </c>
      <c r="F6" s="3029"/>
      <c r="G6" s="3026" t="s">
        <v>2350</v>
      </c>
      <c r="H6" s="3027"/>
      <c r="I6" s="3026" t="s">
        <v>2350</v>
      </c>
      <c r="J6" s="3027"/>
      <c r="K6" s="2396" t="s">
        <v>2351</v>
      </c>
      <c r="L6" s="1242"/>
      <c r="M6" s="1243"/>
      <c r="N6" s="1243"/>
      <c r="O6" s="1243"/>
      <c r="P6" s="3013"/>
      <c r="Q6" s="3014"/>
      <c r="R6" s="3017"/>
      <c r="S6" s="3018"/>
      <c r="T6" s="3019"/>
      <c r="U6" s="3020"/>
      <c r="V6" s="3021"/>
      <c r="W6" s="3021"/>
      <c r="X6" s="1899"/>
      <c r="Y6" s="3019"/>
      <c r="Z6" s="3020"/>
      <c r="AA6" s="3004"/>
      <c r="AB6" s="3004"/>
      <c r="AC6" s="3004"/>
    </row>
    <row r="7" spans="1:29" s="35" customFormat="1" ht="15" thickBot="1">
      <c r="A7" s="387" t="s">
        <v>2352</v>
      </c>
      <c r="B7" s="388"/>
      <c r="C7" s="389">
        <f>'数据-取费表'!B2</f>
        <v>43328</v>
      </c>
      <c r="D7" s="390">
        <v>100</v>
      </c>
      <c r="E7" s="391"/>
      <c r="F7" s="392">
        <f>SUMIF(58:58,YEAR(E7)&amp;"-"&amp;MONTH(E7),59:59)</f>
        <v>0</v>
      </c>
      <c r="G7" s="391"/>
      <c r="H7" s="390">
        <f>SUMIF(58:58,YEAR(G7)&amp;"-"&amp;MONTH(G7),59:59)</f>
        <v>0</v>
      </c>
      <c r="I7" s="391"/>
      <c r="J7" s="390">
        <f>SUMIF(58:58,YEAR(I7)&amp;"-"&amp;MONTH(I7),59:59)</f>
        <v>0</v>
      </c>
      <c r="K7" s="2397"/>
      <c r="L7" s="1244"/>
      <c r="M7" s="1245"/>
      <c r="N7" s="1245"/>
      <c r="O7" s="1245"/>
      <c r="P7" s="3037" t="s">
        <v>2353</v>
      </c>
      <c r="Q7" s="3039"/>
      <c r="R7" s="748" t="s">
        <v>34</v>
      </c>
      <c r="S7" s="749">
        <f t="shared" ref="S7:S15" si="0">F7</f>
        <v>0</v>
      </c>
      <c r="T7" s="748" t="s">
        <v>34</v>
      </c>
      <c r="U7" s="749">
        <f t="shared" ref="U7:U15" si="1">H7</f>
        <v>0</v>
      </c>
      <c r="V7" s="748" t="s">
        <v>34</v>
      </c>
      <c r="W7" s="749">
        <f t="shared" ref="W7:W15" si="2">J7</f>
        <v>0</v>
      </c>
      <c r="X7" s="750"/>
      <c r="Y7" s="3037" t="s">
        <v>2353</v>
      </c>
      <c r="Z7" s="3038"/>
      <c r="AA7" s="751" t="e">
        <f>D7/F7</f>
        <v>#DIV/0!</v>
      </c>
      <c r="AB7" s="751" t="e">
        <f>D7/H7</f>
        <v>#DIV/0!</v>
      </c>
      <c r="AC7" s="751" t="e">
        <f>D7/J7</f>
        <v>#DIV/0!</v>
      </c>
    </row>
    <row r="8" spans="1:29" s="35" customFormat="1" ht="15" thickBot="1">
      <c r="A8" s="387" t="s">
        <v>2354</v>
      </c>
      <c r="B8" s="388"/>
      <c r="C8" s="394" t="s">
        <v>2355</v>
      </c>
      <c r="D8" s="390">
        <v>100</v>
      </c>
      <c r="E8" s="2398"/>
      <c r="F8" s="392">
        <f>SUMIF(61:61,E8,62:62)-SUMIF(61:61,C8,62:62)+100</f>
        <v>0</v>
      </c>
      <c r="G8" s="394"/>
      <c r="H8" s="390">
        <f>SUMIF(61:61,G8,62:62)-SUMIF(61:61,C8,62:62)+100</f>
        <v>0</v>
      </c>
      <c r="I8" s="2398"/>
      <c r="J8" s="390">
        <f>SUMIF(61:61,I8,62:62)-SUMIF(61:61,C8,62:62)+100</f>
        <v>0</v>
      </c>
      <c r="K8" s="2397"/>
      <c r="L8" s="1244"/>
      <c r="M8" s="1245"/>
      <c r="N8" s="1245"/>
      <c r="O8" s="1245"/>
      <c r="P8" s="3037" t="s">
        <v>2356</v>
      </c>
      <c r="Q8" s="3038"/>
      <c r="R8" s="748" t="s">
        <v>34</v>
      </c>
      <c r="S8" s="749">
        <f t="shared" si="0"/>
        <v>0</v>
      </c>
      <c r="T8" s="748" t="s">
        <v>34</v>
      </c>
      <c r="U8" s="749">
        <f t="shared" si="1"/>
        <v>0</v>
      </c>
      <c r="V8" s="748" t="s">
        <v>34</v>
      </c>
      <c r="W8" s="749">
        <f t="shared" si="2"/>
        <v>0</v>
      </c>
      <c r="X8" s="750"/>
      <c r="Y8" s="3037" t="s">
        <v>2356</v>
      </c>
      <c r="Z8" s="3038"/>
      <c r="AA8" s="751" t="e">
        <f t="shared" ref="AA8:AA46" si="3">D8/F8</f>
        <v>#DIV/0!</v>
      </c>
      <c r="AB8" s="751" t="e">
        <f t="shared" ref="AB8:AB46" si="4">D8/H8</f>
        <v>#DIV/0!</v>
      </c>
      <c r="AC8" s="751" t="e">
        <f t="shared" ref="AC8:AC46" si="5">D8/J8</f>
        <v>#DIV/0!</v>
      </c>
    </row>
    <row r="9" spans="1:29" s="35" customFormat="1" ht="14.4">
      <c r="A9" s="395" t="s">
        <v>2357</v>
      </c>
      <c r="B9" s="28" t="s">
        <v>2358</v>
      </c>
      <c r="C9" s="396"/>
      <c r="D9" s="51">
        <v>100</v>
      </c>
      <c r="E9" s="397"/>
      <c r="F9" s="398">
        <f>SUMIF(63:63,E9,64:64)-SUMIF(63:63,C9,64:64)+100</f>
        <v>100</v>
      </c>
      <c r="G9" s="399"/>
      <c r="H9" s="51">
        <f>SUMIF(63:63,G9,64:64)-SUMIF(63:63,C9,64:64)+100</f>
        <v>100</v>
      </c>
      <c r="I9" s="399"/>
      <c r="J9" s="51">
        <f>SUMIF(63:63,I9,64:64)-SUMIF(63:63,C9,64:64)+100</f>
        <v>100</v>
      </c>
      <c r="K9" s="2397"/>
      <c r="L9" s="1244"/>
      <c r="M9" s="1245"/>
      <c r="N9" s="1245"/>
      <c r="O9" s="1245"/>
      <c r="P9" s="3040" t="s">
        <v>2359</v>
      </c>
      <c r="Q9" s="1886" t="str">
        <f t="shared" ref="Q9:Q15" si="6">B9</f>
        <v>用途</v>
      </c>
      <c r="R9" s="748" t="s">
        <v>25</v>
      </c>
      <c r="S9" s="749">
        <f t="shared" si="0"/>
        <v>100</v>
      </c>
      <c r="T9" s="748" t="s">
        <v>25</v>
      </c>
      <c r="U9" s="749">
        <f t="shared" si="1"/>
        <v>100</v>
      </c>
      <c r="V9" s="748" t="s">
        <v>25</v>
      </c>
      <c r="W9" s="749">
        <f t="shared" si="2"/>
        <v>100</v>
      </c>
      <c r="X9" s="750"/>
      <c r="Y9" s="2853" t="s">
        <v>2360</v>
      </c>
      <c r="Z9" s="23" t="str">
        <f t="shared" ref="Z9:Z15" si="7">Q9</f>
        <v>用途</v>
      </c>
      <c r="AA9" s="751">
        <f t="shared" si="3"/>
        <v>1</v>
      </c>
      <c r="AB9" s="751">
        <f t="shared" si="4"/>
        <v>1</v>
      </c>
      <c r="AC9" s="751">
        <f t="shared" si="5"/>
        <v>1</v>
      </c>
    </row>
    <row r="10" spans="1:29" s="407" customFormat="1" ht="28.8">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40"/>
      <c r="Q10" s="1886"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40"/>
      <c r="Q11" s="1886" t="str">
        <f t="shared" si="6"/>
        <v>容积率</v>
      </c>
      <c r="R11" s="748" t="s">
        <v>28</v>
      </c>
      <c r="S11" s="749" t="e">
        <f t="shared" si="0"/>
        <v>#N/A</v>
      </c>
      <c r="T11" s="748" t="s">
        <v>28</v>
      </c>
      <c r="U11" s="749" t="e">
        <f t="shared" si="1"/>
        <v>#N/A</v>
      </c>
      <c r="V11" s="748" t="s">
        <v>28</v>
      </c>
      <c r="W11" s="749" t="e">
        <f t="shared" si="2"/>
        <v>#N/A</v>
      </c>
      <c r="X11" s="750"/>
      <c r="Y11" s="2853"/>
      <c r="Z11" s="23" t="str">
        <f t="shared" si="7"/>
        <v>容积率</v>
      </c>
      <c r="AA11" s="751" t="e">
        <f t="shared" si="3"/>
        <v>#N/A</v>
      </c>
      <c r="AB11" s="751" t="e">
        <f t="shared" si="4"/>
        <v>#N/A</v>
      </c>
      <c r="AC11" s="751" t="e">
        <f t="shared" si="5"/>
        <v>#N/A</v>
      </c>
    </row>
    <row r="12" spans="1:29" s="35" customFormat="1" ht="15">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40"/>
      <c r="Q12" s="1886">
        <f t="shared" si="6"/>
        <v>111</v>
      </c>
      <c r="R12" s="748" t="s">
        <v>28</v>
      </c>
      <c r="S12" s="749">
        <f t="shared" si="0"/>
        <v>100</v>
      </c>
      <c r="T12" s="748" t="s">
        <v>28</v>
      </c>
      <c r="U12" s="749">
        <f t="shared" si="1"/>
        <v>100</v>
      </c>
      <c r="V12" s="748" t="s">
        <v>28</v>
      </c>
      <c r="W12" s="749">
        <f t="shared" si="2"/>
        <v>100</v>
      </c>
      <c r="X12" s="750"/>
      <c r="Y12" s="2853"/>
      <c r="Z12" s="23">
        <f t="shared" si="7"/>
        <v>111</v>
      </c>
      <c r="AA12" s="751">
        <f>D12/F12</f>
        <v>1</v>
      </c>
      <c r="AB12" s="751">
        <f>D12/H12</f>
        <v>1</v>
      </c>
      <c r="AC12" s="751">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40"/>
      <c r="Q13" s="1886">
        <f t="shared" si="6"/>
        <v>111</v>
      </c>
      <c r="R13" s="748" t="s">
        <v>28</v>
      </c>
      <c r="S13" s="749">
        <f t="shared" si="0"/>
        <v>100</v>
      </c>
      <c r="T13" s="748" t="s">
        <v>28</v>
      </c>
      <c r="U13" s="749">
        <f t="shared" si="1"/>
        <v>100</v>
      </c>
      <c r="V13" s="748" t="s">
        <v>28</v>
      </c>
      <c r="W13" s="749">
        <f t="shared" si="2"/>
        <v>100</v>
      </c>
      <c r="X13" s="750"/>
      <c r="Y13" s="2853"/>
      <c r="Z13" s="23">
        <f t="shared" si="7"/>
        <v>111</v>
      </c>
      <c r="AA13" s="751">
        <f t="shared" si="3"/>
        <v>1</v>
      </c>
      <c r="AB13" s="751">
        <f t="shared" si="4"/>
        <v>1</v>
      </c>
      <c r="AC13" s="751">
        <f t="shared" si="5"/>
        <v>1</v>
      </c>
    </row>
    <row r="14" spans="1:29" ht="15.6"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40"/>
      <c r="Q14" s="1886">
        <f t="shared" si="6"/>
        <v>111</v>
      </c>
      <c r="R14" s="748" t="s">
        <v>28</v>
      </c>
      <c r="S14" s="749">
        <f t="shared" si="0"/>
        <v>100</v>
      </c>
      <c r="T14" s="748" t="s">
        <v>28</v>
      </c>
      <c r="U14" s="749">
        <f t="shared" si="1"/>
        <v>100</v>
      </c>
      <c r="V14" s="748" t="s">
        <v>28</v>
      </c>
      <c r="W14" s="749">
        <f t="shared" si="2"/>
        <v>100</v>
      </c>
      <c r="X14" s="750"/>
      <c r="Y14" s="2853"/>
      <c r="Z14" s="23">
        <f t="shared" si="7"/>
        <v>111</v>
      </c>
      <c r="AA14" s="751">
        <f t="shared" si="3"/>
        <v>1</v>
      </c>
      <c r="AB14" s="751">
        <f t="shared" si="4"/>
        <v>1</v>
      </c>
      <c r="AC14" s="751">
        <f t="shared" si="5"/>
        <v>1</v>
      </c>
    </row>
    <row r="15" spans="1:29" ht="96.6">
      <c r="A15" s="419" t="s">
        <v>2363</v>
      </c>
      <c r="B15" s="26" t="s">
        <v>1738</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43" t="s">
        <v>2364</v>
      </c>
      <c r="Q15" s="1898" t="str">
        <f t="shared" si="6"/>
        <v>居住社区成熟度</v>
      </c>
      <c r="R15" s="752" t="s">
        <v>28</v>
      </c>
      <c r="S15" s="753">
        <f t="shared" si="0"/>
        <v>100</v>
      </c>
      <c r="T15" s="752" t="s">
        <v>28</v>
      </c>
      <c r="U15" s="753">
        <f t="shared" si="1"/>
        <v>100</v>
      </c>
      <c r="V15" s="752" t="s">
        <v>28</v>
      </c>
      <c r="W15" s="753">
        <f t="shared" si="2"/>
        <v>100</v>
      </c>
      <c r="X15" s="1899"/>
      <c r="Y15" s="3030" t="s">
        <v>2364</v>
      </c>
      <c r="Z15" s="1901" t="str">
        <f t="shared" si="7"/>
        <v>居住社区成熟度</v>
      </c>
      <c r="AA15" s="1902">
        <f t="shared" si="3"/>
        <v>1</v>
      </c>
      <c r="AB15" s="1902">
        <f t="shared" si="4"/>
        <v>1</v>
      </c>
      <c r="AC15" s="1902">
        <f t="shared" si="5"/>
        <v>1</v>
      </c>
    </row>
    <row r="16" spans="1:29" ht="15">
      <c r="A16" s="408"/>
      <c r="B16" s="425"/>
      <c r="C16" s="426"/>
      <c r="D16" s="427"/>
      <c r="E16" s="428"/>
      <c r="F16" s="429"/>
      <c r="G16" s="2404"/>
      <c r="H16" s="430"/>
      <c r="I16" s="428"/>
      <c r="J16" s="427"/>
      <c r="K16" s="2405"/>
      <c r="L16" s="1252"/>
      <c r="M16" s="1243"/>
      <c r="N16" s="1243"/>
      <c r="O16" s="1243"/>
      <c r="P16" s="3044"/>
      <c r="Q16" s="1898"/>
      <c r="R16" s="752"/>
      <c r="S16" s="753"/>
      <c r="T16" s="752"/>
      <c r="U16" s="753"/>
      <c r="V16" s="752"/>
      <c r="W16" s="753"/>
      <c r="X16" s="1899"/>
      <c r="Y16" s="3031"/>
      <c r="Z16" s="1901"/>
      <c r="AA16" s="1902">
        <v>1</v>
      </c>
      <c r="AB16" s="1902">
        <v>1</v>
      </c>
      <c r="AC16" s="1902">
        <v>1</v>
      </c>
    </row>
    <row r="17" spans="1:29" ht="82.8">
      <c r="A17" s="408"/>
      <c r="B17" s="431" t="s">
        <v>1750</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44"/>
      <c r="Q17" s="1898" t="str">
        <f>B17</f>
        <v>交通便捷度</v>
      </c>
      <c r="R17" s="752" t="s">
        <v>28</v>
      </c>
      <c r="S17" s="753">
        <f>F17</f>
        <v>100</v>
      </c>
      <c r="T17" s="752" t="s">
        <v>28</v>
      </c>
      <c r="U17" s="753">
        <f>H17</f>
        <v>100</v>
      </c>
      <c r="V17" s="752" t="s">
        <v>28</v>
      </c>
      <c r="W17" s="753">
        <f>J17</f>
        <v>100</v>
      </c>
      <c r="X17" s="1899"/>
      <c r="Y17" s="3031"/>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2405"/>
      <c r="L18" s="1252"/>
      <c r="M18" s="1243"/>
      <c r="N18" s="1243"/>
      <c r="O18" s="1243"/>
      <c r="P18" s="3044"/>
      <c r="Q18" s="1898"/>
      <c r="R18" s="752"/>
      <c r="S18" s="753"/>
      <c r="T18" s="752"/>
      <c r="U18" s="753"/>
      <c r="V18" s="752"/>
      <c r="W18" s="753"/>
      <c r="X18" s="1899"/>
      <c r="Y18" s="3031"/>
      <c r="Z18" s="1901"/>
      <c r="AA18" s="1902">
        <v>1</v>
      </c>
      <c r="AB18" s="1902">
        <v>1</v>
      </c>
      <c r="AC18" s="1902">
        <v>1</v>
      </c>
    </row>
    <row r="19" spans="1:29" ht="41.4">
      <c r="A19" s="408"/>
      <c r="B19" s="431" t="s">
        <v>1748</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44"/>
      <c r="Q19" s="1898" t="str">
        <f>B19</f>
        <v>公共配套设施</v>
      </c>
      <c r="R19" s="752" t="s">
        <v>28</v>
      </c>
      <c r="S19" s="753">
        <f>F19</f>
        <v>100</v>
      </c>
      <c r="T19" s="752" t="s">
        <v>28</v>
      </c>
      <c r="U19" s="753">
        <f>H19</f>
        <v>100</v>
      </c>
      <c r="V19" s="752" t="s">
        <v>28</v>
      </c>
      <c r="W19" s="753">
        <f>J19</f>
        <v>100</v>
      </c>
      <c r="X19" s="1899"/>
      <c r="Y19" s="3031"/>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2405"/>
      <c r="L20" s="1252"/>
      <c r="M20" s="1243"/>
      <c r="N20" s="1243"/>
      <c r="O20" s="1243"/>
      <c r="P20" s="3044"/>
      <c r="Q20" s="1898"/>
      <c r="R20" s="752"/>
      <c r="S20" s="753"/>
      <c r="T20" s="752"/>
      <c r="U20" s="753"/>
      <c r="V20" s="752"/>
      <c r="W20" s="753"/>
      <c r="X20" s="1899"/>
      <c r="Y20" s="3031"/>
      <c r="Z20" s="1901"/>
      <c r="AA20" s="1902">
        <v>1</v>
      </c>
      <c r="AB20" s="1902">
        <v>1</v>
      </c>
      <c r="AC20" s="1902">
        <v>1</v>
      </c>
    </row>
    <row r="21" spans="1:29" ht="27.6">
      <c r="A21" s="408"/>
      <c r="B21" s="2408" t="s">
        <v>1751</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44"/>
      <c r="Q21" s="1898" t="str">
        <f>B21</f>
        <v>基础设施水平</v>
      </c>
      <c r="R21" s="752" t="s">
        <v>28</v>
      </c>
      <c r="S21" s="753">
        <f>F21</f>
        <v>100</v>
      </c>
      <c r="T21" s="752" t="s">
        <v>28</v>
      </c>
      <c r="U21" s="753">
        <f>H21</f>
        <v>100</v>
      </c>
      <c r="V21" s="752" t="s">
        <v>28</v>
      </c>
      <c r="W21" s="753">
        <f>J21</f>
        <v>100</v>
      </c>
      <c r="X21" s="1899"/>
      <c r="Y21" s="3031"/>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2409"/>
      <c r="L22" s="1252"/>
      <c r="M22" s="1243"/>
      <c r="N22" s="1243"/>
      <c r="O22" s="1243"/>
      <c r="P22" s="3044"/>
      <c r="Q22" s="1898"/>
      <c r="R22" s="752"/>
      <c r="S22" s="753"/>
      <c r="T22" s="752"/>
      <c r="U22" s="753"/>
      <c r="V22" s="752"/>
      <c r="W22" s="753"/>
      <c r="X22" s="1899"/>
      <c r="Y22" s="3031"/>
      <c r="Z22" s="1901"/>
      <c r="AA22" s="1902">
        <v>1</v>
      </c>
      <c r="AB22" s="1902">
        <v>1</v>
      </c>
      <c r="AC22" s="1902">
        <v>1</v>
      </c>
    </row>
    <row r="23" spans="1:29" ht="55.2">
      <c r="A23" s="408"/>
      <c r="B23" s="431" t="s">
        <v>1755</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44"/>
      <c r="Q23" s="1898" t="str">
        <f>B23</f>
        <v>自然及人文环境</v>
      </c>
      <c r="R23" s="752" t="s">
        <v>28</v>
      </c>
      <c r="S23" s="753">
        <f>F23</f>
        <v>100</v>
      </c>
      <c r="T23" s="752" t="s">
        <v>28</v>
      </c>
      <c r="U23" s="753">
        <f>H23</f>
        <v>100</v>
      </c>
      <c r="V23" s="752" t="s">
        <v>28</v>
      </c>
      <c r="W23" s="753">
        <f>J23</f>
        <v>100</v>
      </c>
      <c r="X23" s="1899"/>
      <c r="Y23" s="3031"/>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2405"/>
      <c r="L24" s="1252"/>
      <c r="M24" s="1243"/>
      <c r="N24" s="1243"/>
      <c r="O24" s="1243"/>
      <c r="P24" s="3044"/>
      <c r="Q24" s="1898"/>
      <c r="R24" s="752"/>
      <c r="S24" s="753"/>
      <c r="T24" s="752"/>
      <c r="U24" s="753"/>
      <c r="V24" s="752"/>
      <c r="W24" s="753"/>
      <c r="X24" s="1899"/>
      <c r="Y24" s="3031"/>
      <c r="Z24" s="1901"/>
      <c r="AA24" s="1902">
        <v>1</v>
      </c>
      <c r="AB24" s="1902">
        <v>1</v>
      </c>
      <c r="AC24" s="1902">
        <v>1</v>
      </c>
    </row>
    <row r="25" spans="1:29" ht="15">
      <c r="A25" s="408"/>
      <c r="B25" s="402" t="s">
        <v>2365</v>
      </c>
      <c r="C25" s="441"/>
      <c r="D25" s="415">
        <v>100</v>
      </c>
      <c r="E25" s="2410"/>
      <c r="F25" s="442">
        <f>SUMIF(86:86,E25,87:87)-SUMIF(86:86,C25,87:87)+100</f>
        <v>100</v>
      </c>
      <c r="G25" s="2411"/>
      <c r="H25" s="415">
        <f>SUMIF(86:86,G25,87:87)-SUMIF(86:86,C25,87:87)+100</f>
        <v>100</v>
      </c>
      <c r="I25" s="2410"/>
      <c r="J25" s="415">
        <f>SUMIF(86:86,I25,87:87)-SUMIF(86:86,C25,87:87)+100</f>
        <v>100</v>
      </c>
      <c r="K25" s="406"/>
      <c r="L25" s="1252"/>
      <c r="M25" s="1243"/>
      <c r="N25" s="1243"/>
      <c r="O25" s="1243"/>
      <c r="P25" s="3044"/>
      <c r="Q25" s="1898" t="str">
        <f t="shared" ref="Q25:Q46" si="11">B25</f>
        <v>楼层-1</v>
      </c>
      <c r="R25" s="752" t="s">
        <v>28</v>
      </c>
      <c r="S25" s="753">
        <f>F25</f>
        <v>100</v>
      </c>
      <c r="T25" s="752" t="s">
        <v>28</v>
      </c>
      <c r="U25" s="753">
        <f>H25</f>
        <v>100</v>
      </c>
      <c r="V25" s="752" t="s">
        <v>28</v>
      </c>
      <c r="W25" s="753">
        <f>J25</f>
        <v>100</v>
      </c>
      <c r="X25" s="1899"/>
      <c r="Y25" s="3031"/>
      <c r="Z25" s="1901" t="str">
        <f>Q25</f>
        <v>楼层-1</v>
      </c>
      <c r="AA25" s="1902">
        <f t="shared" si="3"/>
        <v>1</v>
      </c>
      <c r="AB25" s="1902">
        <f t="shared" si="4"/>
        <v>1</v>
      </c>
      <c r="AC25" s="1902">
        <f t="shared" si="5"/>
        <v>1</v>
      </c>
    </row>
    <row r="26" spans="1:29" ht="15">
      <c r="A26" s="408"/>
      <c r="B26" s="402" t="s">
        <v>2366</v>
      </c>
      <c r="C26" s="441"/>
      <c r="D26" s="415">
        <v>100</v>
      </c>
      <c r="E26" s="2410"/>
      <c r="F26" s="442">
        <f>SUMIF(88:88,E26,89:89)-SUMIF(88:88,C26,89:89)+100</f>
        <v>100</v>
      </c>
      <c r="G26" s="2411"/>
      <c r="H26" s="415">
        <f>SUMIF(88:88,G26,89:89)-SUMIF(88:88,C26,89:89)+100</f>
        <v>100</v>
      </c>
      <c r="I26" s="2410"/>
      <c r="J26" s="415">
        <f>SUMIF(88:88,I26,89:89)-SUMIF(88:88,C26,89:89)+100</f>
        <v>100</v>
      </c>
      <c r="K26" s="406"/>
      <c r="L26" s="1252"/>
      <c r="M26" s="1243"/>
      <c r="N26" s="1243"/>
      <c r="O26" s="1243"/>
      <c r="P26" s="3044"/>
      <c r="Q26" s="1898" t="str">
        <f t="shared" si="11"/>
        <v>朝向</v>
      </c>
      <c r="R26" s="752" t="s">
        <v>28</v>
      </c>
      <c r="S26" s="753">
        <f>F26</f>
        <v>100</v>
      </c>
      <c r="T26" s="752" t="s">
        <v>28</v>
      </c>
      <c r="U26" s="753">
        <f>H26</f>
        <v>100</v>
      </c>
      <c r="V26" s="752" t="s">
        <v>28</v>
      </c>
      <c r="W26" s="753">
        <f>J26</f>
        <v>100</v>
      </c>
      <c r="X26" s="1899"/>
      <c r="Y26" s="3031"/>
      <c r="Z26" s="1901" t="str">
        <f>Q26</f>
        <v>朝向</v>
      </c>
      <c r="AA26" s="1902">
        <f t="shared" si="3"/>
        <v>1</v>
      </c>
      <c r="AB26" s="1902">
        <f t="shared" si="4"/>
        <v>1</v>
      </c>
      <c r="AC26" s="1902">
        <f t="shared" si="5"/>
        <v>1</v>
      </c>
    </row>
    <row r="27" spans="1:29" s="35" customFormat="1" ht="15">
      <c r="A27" s="411"/>
      <c r="B27" s="2399" t="s">
        <v>2367</v>
      </c>
      <c r="C27" s="412"/>
      <c r="D27" s="443">
        <v>100</v>
      </c>
      <c r="E27" s="444"/>
      <c r="F27" s="445">
        <f>SUMIF(90:90,E27,91:91)-SUMIF(90:90,C27,91:91)+100</f>
        <v>100</v>
      </c>
      <c r="G27" s="446"/>
      <c r="H27" s="443">
        <f>SUMIF(90:90,G27,91:91)-SUMIF(90:90,C27,91:91)+100</f>
        <v>100</v>
      </c>
      <c r="I27" s="444"/>
      <c r="J27" s="443">
        <f>SUMIF(90:90,I27,91:91)-SUMIF(90:90,C27,91:91)+100</f>
        <v>100</v>
      </c>
      <c r="K27" s="2400"/>
      <c r="L27" s="1244"/>
      <c r="M27" s="1245"/>
      <c r="N27" s="1245"/>
      <c r="O27" s="1245"/>
      <c r="P27" s="3044"/>
      <c r="Q27" s="1886" t="str">
        <f t="shared" si="11"/>
        <v>道路级别</v>
      </c>
      <c r="R27" s="748" t="s">
        <v>28</v>
      </c>
      <c r="S27" s="749">
        <f>F27</f>
        <v>100</v>
      </c>
      <c r="T27" s="748" t="s">
        <v>28</v>
      </c>
      <c r="U27" s="749">
        <f>H27</f>
        <v>100</v>
      </c>
      <c r="V27" s="748" t="s">
        <v>28</v>
      </c>
      <c r="W27" s="749">
        <f>J27</f>
        <v>100</v>
      </c>
      <c r="X27" s="750"/>
      <c r="Y27" s="3031"/>
      <c r="Z27" s="23" t="str">
        <f>Q27</f>
        <v>道路级别</v>
      </c>
      <c r="AA27" s="1902">
        <f>D27/F27</f>
        <v>1</v>
      </c>
      <c r="AB27" s="1902">
        <f>D27/H27</f>
        <v>1</v>
      </c>
      <c r="AC27" s="1902">
        <f>D27/J27</f>
        <v>1</v>
      </c>
    </row>
    <row r="28" spans="1:29" ht="15">
      <c r="A28" s="408"/>
      <c r="B28" s="2412">
        <v>111</v>
      </c>
      <c r="C28" s="414"/>
      <c r="D28" s="415">
        <v>100</v>
      </c>
      <c r="E28" s="414"/>
      <c r="F28" s="442">
        <f>SUMIF(92:92,E28,93:93)-SUMIF(92:92,C28,93:93)+100</f>
        <v>100</v>
      </c>
      <c r="G28" s="414"/>
      <c r="H28" s="415">
        <f>SUMIF(92:92,G28,93:93)-SUMIF(92:92,C28,93:93)+100</f>
        <v>100</v>
      </c>
      <c r="I28" s="414"/>
      <c r="J28" s="415">
        <f>SUMIF(92:92,I28,93:93)-SUMIF(92:92,C28,93:93)+100</f>
        <v>100</v>
      </c>
      <c r="K28" s="2400"/>
      <c r="L28" s="1252"/>
      <c r="M28" s="1243"/>
      <c r="N28" s="1243"/>
      <c r="O28" s="1243"/>
      <c r="P28" s="3044"/>
      <c r="Q28" s="1898">
        <f t="shared" si="11"/>
        <v>111</v>
      </c>
      <c r="R28" s="752" t="s">
        <v>28</v>
      </c>
      <c r="S28" s="753">
        <f t="shared" ref="S28:S46" si="12">F28</f>
        <v>100</v>
      </c>
      <c r="T28" s="752" t="s">
        <v>28</v>
      </c>
      <c r="U28" s="753">
        <f t="shared" ref="U28:U46" si="13">H28</f>
        <v>100</v>
      </c>
      <c r="V28" s="752" t="s">
        <v>28</v>
      </c>
      <c r="W28" s="753">
        <f t="shared" ref="W28:W46" si="14">J28</f>
        <v>100</v>
      </c>
      <c r="X28" s="1899"/>
      <c r="Y28" s="3031"/>
      <c r="Z28" s="1901">
        <f t="shared" ref="Z28:Z46" si="15">Q28</f>
        <v>111</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2"/>
      <c r="M29" s="1243"/>
      <c r="N29" s="1243"/>
      <c r="O29" s="1243"/>
      <c r="P29" s="3044"/>
      <c r="Q29" s="1898">
        <f t="shared" si="11"/>
        <v>111</v>
      </c>
      <c r="R29" s="752" t="s">
        <v>28</v>
      </c>
      <c r="S29" s="753">
        <f t="shared" si="12"/>
        <v>100</v>
      </c>
      <c r="T29" s="752" t="s">
        <v>28</v>
      </c>
      <c r="U29" s="753">
        <f t="shared" si="13"/>
        <v>100</v>
      </c>
      <c r="V29" s="752" t="s">
        <v>28</v>
      </c>
      <c r="W29" s="753">
        <f t="shared" si="14"/>
        <v>100</v>
      </c>
      <c r="X29" s="1899"/>
      <c r="Y29" s="3031"/>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44"/>
      <c r="Q30" s="1898">
        <f t="shared" si="11"/>
        <v>111</v>
      </c>
      <c r="R30" s="752" t="s">
        <v>28</v>
      </c>
      <c r="S30" s="753">
        <f t="shared" si="12"/>
        <v>100</v>
      </c>
      <c r="T30" s="752" t="s">
        <v>28</v>
      </c>
      <c r="U30" s="753">
        <f t="shared" si="13"/>
        <v>100</v>
      </c>
      <c r="V30" s="752" t="s">
        <v>28</v>
      </c>
      <c r="W30" s="753">
        <f t="shared" si="14"/>
        <v>100</v>
      </c>
      <c r="X30" s="1899"/>
      <c r="Y30" s="3031"/>
      <c r="Z30" s="1901">
        <f t="shared" si="15"/>
        <v>111</v>
      </c>
      <c r="AA30" s="1902">
        <f t="shared" si="3"/>
        <v>1</v>
      </c>
      <c r="AB30" s="1902">
        <f t="shared" si="4"/>
        <v>1</v>
      </c>
      <c r="AC30" s="1902">
        <f t="shared" si="5"/>
        <v>1</v>
      </c>
    </row>
    <row r="31" spans="1:29" ht="15.6"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44"/>
      <c r="Q31" s="1898">
        <f t="shared" si="11"/>
        <v>111</v>
      </c>
      <c r="R31" s="752" t="s">
        <v>28</v>
      </c>
      <c r="S31" s="753">
        <f t="shared" si="12"/>
        <v>100</v>
      </c>
      <c r="T31" s="752" t="s">
        <v>28</v>
      </c>
      <c r="U31" s="753">
        <f t="shared" si="13"/>
        <v>100</v>
      </c>
      <c r="V31" s="752" t="s">
        <v>28</v>
      </c>
      <c r="W31" s="753">
        <f t="shared" si="14"/>
        <v>100</v>
      </c>
      <c r="X31" s="1899"/>
      <c r="Y31" s="3031"/>
      <c r="Z31" s="1901">
        <f t="shared" si="15"/>
        <v>111</v>
      </c>
      <c r="AA31" s="1902">
        <f t="shared" si="3"/>
        <v>1</v>
      </c>
      <c r="AB31" s="1902">
        <f t="shared" si="4"/>
        <v>1</v>
      </c>
      <c r="AC31" s="1902">
        <f t="shared" si="5"/>
        <v>1</v>
      </c>
    </row>
    <row r="32" spans="1:29" ht="15">
      <c r="A32" s="419" t="s">
        <v>2368</v>
      </c>
      <c r="B32" s="28" t="s">
        <v>2369</v>
      </c>
      <c r="C32" s="2413"/>
      <c r="D32" s="448">
        <v>100</v>
      </c>
      <c r="E32" s="2414"/>
      <c r="F32" s="442">
        <f>SUMIF(100:100,E32,101:101)-SUMIF(100:100,C32,101:101)+100</f>
        <v>100</v>
      </c>
      <c r="G32" s="2413"/>
      <c r="H32" s="448">
        <f>SUMIF(100:100,G32,101:101)-SUMIF(100:100,C32,101:101)+100</f>
        <v>100</v>
      </c>
      <c r="I32" s="2414"/>
      <c r="J32" s="415">
        <f>SUMIF(100:100,I32,101:101)-SUMIF(100:100,C32,101:101)+100</f>
        <v>100</v>
      </c>
      <c r="K32" s="406"/>
      <c r="L32" s="1252"/>
      <c r="M32" s="1243"/>
      <c r="N32" s="1243"/>
      <c r="O32" s="1243"/>
      <c r="P32" s="3032" t="s">
        <v>2370</v>
      </c>
      <c r="Q32" s="1898" t="str">
        <f t="shared" si="11"/>
        <v>建筑类型</v>
      </c>
      <c r="R32" s="752" t="s">
        <v>28</v>
      </c>
      <c r="S32" s="753">
        <f t="shared" si="12"/>
        <v>100</v>
      </c>
      <c r="T32" s="752" t="s">
        <v>28</v>
      </c>
      <c r="U32" s="753">
        <f t="shared" si="13"/>
        <v>100</v>
      </c>
      <c r="V32" s="752" t="s">
        <v>28</v>
      </c>
      <c r="W32" s="753">
        <f t="shared" si="14"/>
        <v>100</v>
      </c>
      <c r="X32" s="1899"/>
      <c r="Y32" s="3035" t="s">
        <v>2370</v>
      </c>
      <c r="Z32" s="1901" t="str">
        <f t="shared" si="15"/>
        <v>建筑类型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0"/>
      <c r="L33" s="1250"/>
      <c r="M33" s="1253"/>
      <c r="N33" s="1253"/>
      <c r="O33" s="1253"/>
      <c r="P33" s="3033"/>
      <c r="Q33" s="754" t="str">
        <f t="shared" si="11"/>
        <v>项目建筑规模</v>
      </c>
      <c r="R33" s="755" t="s">
        <v>28</v>
      </c>
      <c r="S33" s="756" t="e">
        <f t="shared" si="12"/>
        <v>#N/A</v>
      </c>
      <c r="T33" s="755" t="s">
        <v>28</v>
      </c>
      <c r="U33" s="756" t="e">
        <f t="shared" si="13"/>
        <v>#N/A</v>
      </c>
      <c r="V33" s="755" t="s">
        <v>28</v>
      </c>
      <c r="W33" s="756" t="e">
        <f t="shared" si="14"/>
        <v>#N/A</v>
      </c>
      <c r="X33" s="757"/>
      <c r="Y33" s="3035"/>
      <c r="Z33" s="758" t="str">
        <f t="shared" si="15"/>
        <v>项目建筑规模</v>
      </c>
      <c r="AA33" s="1902" t="e">
        <f t="shared" si="3"/>
        <v>#N/A</v>
      </c>
      <c r="AB33" s="1902" t="e">
        <f t="shared" si="4"/>
        <v>#N/A</v>
      </c>
      <c r="AC33" s="1902" t="e">
        <f t="shared" si="5"/>
        <v>#N/A</v>
      </c>
    </row>
    <row r="34" spans="1:29" ht="15">
      <c r="A34" s="453"/>
      <c r="B34" s="402" t="s">
        <v>2372</v>
      </c>
      <c r="C34" s="2415"/>
      <c r="D34" s="415">
        <v>100</v>
      </c>
      <c r="E34" s="2416"/>
      <c r="F34" s="442">
        <f>SUMIF(105:105,E34,106:106)-SUMIF(105:105,C34,106:106)+100</f>
        <v>100</v>
      </c>
      <c r="G34" s="2415"/>
      <c r="H34" s="415">
        <f>SUMIF(105:105,G34,106:106)-SUMIF(105:105,C34,106:106)+100</f>
        <v>100</v>
      </c>
      <c r="I34" s="2416"/>
      <c r="J34" s="415">
        <f>SUMIF(105:105,I34,106:106)-SUMIF(105:105,C34,106:106)+100</f>
        <v>100</v>
      </c>
      <c r="K34" s="406"/>
      <c r="L34" s="1252"/>
      <c r="M34" s="1243"/>
      <c r="N34" s="1243"/>
      <c r="O34" s="1243"/>
      <c r="P34" s="3033"/>
      <c r="Q34" s="1898" t="str">
        <f t="shared" si="11"/>
        <v>建筑结构</v>
      </c>
      <c r="R34" s="752" t="s">
        <v>28</v>
      </c>
      <c r="S34" s="753">
        <f t="shared" si="12"/>
        <v>100</v>
      </c>
      <c r="T34" s="752" t="s">
        <v>28</v>
      </c>
      <c r="U34" s="753">
        <f t="shared" si="13"/>
        <v>100</v>
      </c>
      <c r="V34" s="752" t="s">
        <v>28</v>
      </c>
      <c r="W34" s="753">
        <f t="shared" si="14"/>
        <v>100</v>
      </c>
      <c r="X34" s="1899"/>
      <c r="Y34" s="3035"/>
      <c r="Z34" s="1901" t="str">
        <f t="shared" si="15"/>
        <v>建筑结构</v>
      </c>
      <c r="AA34" s="1902">
        <f t="shared" si="3"/>
        <v>1</v>
      </c>
      <c r="AB34" s="1902">
        <f t="shared" si="4"/>
        <v>1</v>
      </c>
      <c r="AC34" s="1902">
        <f t="shared" si="5"/>
        <v>1</v>
      </c>
    </row>
    <row r="35" spans="1:29" ht="15">
      <c r="A35" s="453"/>
      <c r="B35" s="402" t="s">
        <v>2373</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2"/>
      <c r="M35" s="1243"/>
      <c r="N35" s="1243"/>
      <c r="O35" s="1243"/>
      <c r="P35" s="3033"/>
      <c r="Q35" s="1898" t="str">
        <f t="shared" si="11"/>
        <v>建筑品质</v>
      </c>
      <c r="R35" s="752" t="s">
        <v>28</v>
      </c>
      <c r="S35" s="753">
        <f t="shared" si="12"/>
        <v>100</v>
      </c>
      <c r="T35" s="752" t="s">
        <v>28</v>
      </c>
      <c r="U35" s="753">
        <f t="shared" si="13"/>
        <v>100</v>
      </c>
      <c r="V35" s="752" t="s">
        <v>28</v>
      </c>
      <c r="W35" s="753">
        <f t="shared" si="14"/>
        <v>100</v>
      </c>
      <c r="X35" s="1899"/>
      <c r="Y35" s="3035"/>
      <c r="Z35" s="1901" t="str">
        <f t="shared" si="15"/>
        <v>建筑品质</v>
      </c>
      <c r="AA35" s="1902">
        <f t="shared" si="3"/>
        <v>1</v>
      </c>
      <c r="AB35" s="1902">
        <f t="shared" si="4"/>
        <v>1</v>
      </c>
      <c r="AC35" s="1902">
        <f t="shared" si="5"/>
        <v>1</v>
      </c>
    </row>
    <row r="36" spans="1:29" ht="15">
      <c r="A36" s="453"/>
      <c r="B36" s="402" t="s">
        <v>2374</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2"/>
      <c r="M36" s="1243"/>
      <c r="N36" s="1243"/>
      <c r="O36" s="1243"/>
      <c r="P36" s="3033"/>
      <c r="Q36" s="1898" t="str">
        <f t="shared" si="11"/>
        <v>公共部分装修</v>
      </c>
      <c r="R36" s="752" t="s">
        <v>28</v>
      </c>
      <c r="S36" s="753">
        <f t="shared" si="12"/>
        <v>100</v>
      </c>
      <c r="T36" s="752" t="s">
        <v>28</v>
      </c>
      <c r="U36" s="753">
        <f t="shared" si="13"/>
        <v>100</v>
      </c>
      <c r="V36" s="752" t="s">
        <v>28</v>
      </c>
      <c r="W36" s="753">
        <f t="shared" si="14"/>
        <v>100</v>
      </c>
      <c r="X36" s="1899"/>
      <c r="Y36" s="3035"/>
      <c r="Z36" s="1901" t="str">
        <f t="shared" si="15"/>
        <v>公共部分装修</v>
      </c>
      <c r="AA36" s="1902">
        <f t="shared" si="3"/>
        <v>1</v>
      </c>
      <c r="AB36" s="1902">
        <f t="shared" si="4"/>
        <v>1</v>
      </c>
      <c r="AC36" s="1902">
        <f t="shared" si="5"/>
        <v>1</v>
      </c>
    </row>
    <row r="37" spans="1:29" s="35" customFormat="1" ht="15">
      <c r="A37" s="454"/>
      <c r="B37" s="402" t="s">
        <v>2375</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33"/>
      <c r="Q37" s="1886" t="str">
        <f t="shared" si="11"/>
        <v>成新度</v>
      </c>
      <c r="R37" s="748" t="s">
        <v>28</v>
      </c>
      <c r="S37" s="749" t="e">
        <f t="shared" si="12"/>
        <v>#N/A</v>
      </c>
      <c r="T37" s="748" t="s">
        <v>28</v>
      </c>
      <c r="U37" s="749" t="e">
        <f t="shared" si="13"/>
        <v>#N/A</v>
      </c>
      <c r="V37" s="748" t="s">
        <v>28</v>
      </c>
      <c r="W37" s="749" t="e">
        <f t="shared" si="14"/>
        <v>#N/A</v>
      </c>
      <c r="X37" s="750"/>
      <c r="Y37" s="3035"/>
      <c r="Z37" s="23" t="str">
        <f t="shared" si="15"/>
        <v>成新度</v>
      </c>
      <c r="AA37" s="751" t="e">
        <f t="shared" si="3"/>
        <v>#N/A</v>
      </c>
      <c r="AB37" s="751" t="e">
        <f t="shared" si="4"/>
        <v>#N/A</v>
      </c>
      <c r="AC37" s="751" t="e">
        <f t="shared" si="5"/>
        <v>#N/A</v>
      </c>
    </row>
    <row r="38" spans="1:29" ht="15">
      <c r="A38" s="453"/>
      <c r="B38" s="402" t="s">
        <v>2376</v>
      </c>
      <c r="C38" s="2411"/>
      <c r="D38" s="415">
        <v>100</v>
      </c>
      <c r="E38" s="2410"/>
      <c r="F38" s="442">
        <f>SUMIF(114:114,E38,115:115)-SUMIF(114:114,C38,115:115)+100</f>
        <v>100</v>
      </c>
      <c r="G38" s="2411"/>
      <c r="H38" s="415">
        <f>SUMIF(114:114,G38,115:115)-SUMIF(114:114,C38,115:115)+100</f>
        <v>100</v>
      </c>
      <c r="I38" s="2410"/>
      <c r="J38" s="415">
        <f>SUMIF(114:114,I38,115:115)-SUMIF(114:114,C38,115:115)+100</f>
        <v>100</v>
      </c>
      <c r="K38" s="406"/>
      <c r="L38" s="1252"/>
      <c r="M38" s="1243"/>
      <c r="N38" s="1243"/>
      <c r="O38" s="1243"/>
      <c r="P38" s="3033" t="s">
        <v>2370</v>
      </c>
      <c r="Q38" s="1898" t="str">
        <f t="shared" si="11"/>
        <v>物业管理</v>
      </c>
      <c r="R38" s="752" t="s">
        <v>28</v>
      </c>
      <c r="S38" s="753">
        <f t="shared" si="12"/>
        <v>100</v>
      </c>
      <c r="T38" s="752" t="s">
        <v>28</v>
      </c>
      <c r="U38" s="753">
        <f t="shared" si="13"/>
        <v>100</v>
      </c>
      <c r="V38" s="752" t="s">
        <v>28</v>
      </c>
      <c r="W38" s="753">
        <f t="shared" si="14"/>
        <v>100</v>
      </c>
      <c r="X38" s="1899"/>
      <c r="Y38" s="3035" t="s">
        <v>2370</v>
      </c>
      <c r="Z38" s="1901" t="str">
        <f t="shared" si="15"/>
        <v>物业管理</v>
      </c>
      <c r="AA38" s="1902">
        <f t="shared" si="3"/>
        <v>1</v>
      </c>
      <c r="AB38" s="1902">
        <f t="shared" si="4"/>
        <v>1</v>
      </c>
      <c r="AC38" s="1902">
        <f t="shared" si="5"/>
        <v>1</v>
      </c>
    </row>
    <row r="39" spans="1:29" ht="15">
      <c r="A39" s="453"/>
      <c r="B39" s="402" t="s">
        <v>2377</v>
      </c>
      <c r="C39" s="2411"/>
      <c r="D39" s="415">
        <v>100</v>
      </c>
      <c r="E39" s="2410"/>
      <c r="F39" s="442">
        <f>SUMIF(116:116,E39,117:117)-SUMIF(116:116,C39,117:117)+100</f>
        <v>100</v>
      </c>
      <c r="G39" s="2411"/>
      <c r="H39" s="415">
        <f>SUMIF(116:116,G39,117:117)-SUMIF(116:116,C39,117:117)+100</f>
        <v>100</v>
      </c>
      <c r="I39" s="2410"/>
      <c r="J39" s="415">
        <f>SUMIF(116:116,I39,117:117)-SUMIF(116:116,C39,117:117)+100</f>
        <v>100</v>
      </c>
      <c r="K39" s="406"/>
      <c r="L39" s="1252"/>
      <c r="M39" s="1243"/>
      <c r="N39" s="1243"/>
      <c r="O39" s="1243"/>
      <c r="P39" s="3033"/>
      <c r="Q39" s="1898" t="str">
        <f t="shared" si="11"/>
        <v>市政基础设施</v>
      </c>
      <c r="R39" s="752" t="s">
        <v>28</v>
      </c>
      <c r="S39" s="753">
        <f t="shared" si="12"/>
        <v>100</v>
      </c>
      <c r="T39" s="752" t="s">
        <v>28</v>
      </c>
      <c r="U39" s="753">
        <f t="shared" si="13"/>
        <v>100</v>
      </c>
      <c r="V39" s="752" t="s">
        <v>28</v>
      </c>
      <c r="W39" s="753">
        <f t="shared" si="14"/>
        <v>100</v>
      </c>
      <c r="X39" s="1899"/>
      <c r="Y39" s="3035"/>
      <c r="Z39" s="1901" t="str">
        <f t="shared" si="15"/>
        <v>市政基础设施</v>
      </c>
      <c r="AA39" s="1902">
        <f t="shared" si="3"/>
        <v>1</v>
      </c>
      <c r="AB39" s="1902">
        <f t="shared" si="4"/>
        <v>1</v>
      </c>
      <c r="AC39" s="1902">
        <f t="shared" si="5"/>
        <v>1</v>
      </c>
    </row>
    <row r="40" spans="1:29" ht="15">
      <c r="A40" s="453"/>
      <c r="B40" s="402" t="s">
        <v>2378</v>
      </c>
      <c r="C40" s="2411"/>
      <c r="D40" s="415">
        <v>100</v>
      </c>
      <c r="E40" s="2410"/>
      <c r="F40" s="442">
        <f>SUMIF(118:118,E40,119:119)-SUMIF(118:118,C40,119:119)+100</f>
        <v>100</v>
      </c>
      <c r="G40" s="2411"/>
      <c r="H40" s="415">
        <f>SUMIF(118:118,G40,119:119)-SUMIF(118:118,C40,119:119)+100</f>
        <v>100</v>
      </c>
      <c r="I40" s="2410"/>
      <c r="J40" s="415">
        <f>SUMIF(118:118,I40,119:119)-SUMIF(118:118,C40,119:119)+100</f>
        <v>100</v>
      </c>
      <c r="K40" s="406"/>
      <c r="L40" s="1252"/>
      <c r="M40" s="1243"/>
      <c r="N40" s="1243"/>
      <c r="O40" s="1243"/>
      <c r="P40" s="3033"/>
      <c r="Q40" s="1898" t="str">
        <f t="shared" si="11"/>
        <v>房型</v>
      </c>
      <c r="R40" s="752" t="s">
        <v>28</v>
      </c>
      <c r="S40" s="753">
        <f t="shared" si="12"/>
        <v>100</v>
      </c>
      <c r="T40" s="752" t="s">
        <v>28</v>
      </c>
      <c r="U40" s="753">
        <f t="shared" si="13"/>
        <v>100</v>
      </c>
      <c r="V40" s="752" t="s">
        <v>28</v>
      </c>
      <c r="W40" s="753">
        <f t="shared" si="14"/>
        <v>100</v>
      </c>
      <c r="X40" s="1899"/>
      <c r="Y40" s="3035"/>
      <c r="Z40" s="1901" t="str">
        <f t="shared" si="15"/>
        <v>房型</v>
      </c>
      <c r="AA40" s="1902">
        <f t="shared" si="3"/>
        <v>1</v>
      </c>
      <c r="AB40" s="1902">
        <f t="shared" si="4"/>
        <v>1</v>
      </c>
      <c r="AC40" s="1902">
        <f t="shared" si="5"/>
        <v>1</v>
      </c>
    </row>
    <row r="41" spans="1:29" s="452" customFormat="1" ht="28.8">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33"/>
      <c r="Q41" s="754" t="str">
        <f t="shared" si="11"/>
        <v>单套/主力户型建筑面积</v>
      </c>
      <c r="R41" s="755" t="s">
        <v>28</v>
      </c>
      <c r="S41" s="756">
        <f t="shared" si="12"/>
        <v>100</v>
      </c>
      <c r="T41" s="755" t="s">
        <v>28</v>
      </c>
      <c r="U41" s="756">
        <f t="shared" si="13"/>
        <v>100</v>
      </c>
      <c r="V41" s="755" t="s">
        <v>28</v>
      </c>
      <c r="W41" s="756">
        <f t="shared" si="14"/>
        <v>100</v>
      </c>
      <c r="X41" s="757"/>
      <c r="Y41" s="3035"/>
      <c r="Z41" s="758" t="str">
        <f t="shared" si="15"/>
        <v>单套/主力户型建筑面积</v>
      </c>
      <c r="AA41" s="1902">
        <f t="shared" si="3"/>
        <v>1</v>
      </c>
      <c r="AB41" s="1902">
        <f t="shared" si="4"/>
        <v>1</v>
      </c>
      <c r="AC41" s="1902">
        <f t="shared" si="5"/>
        <v>1</v>
      </c>
    </row>
    <row r="42" spans="1:29" ht="15">
      <c r="A42" s="453"/>
      <c r="B42" s="402" t="s">
        <v>2380</v>
      </c>
      <c r="C42" s="2411"/>
      <c r="D42" s="415">
        <v>100</v>
      </c>
      <c r="E42" s="2410"/>
      <c r="F42" s="442">
        <f>SUMIF(122:122,E42,123:123)-SUMIF(122:122,C42,123:123)+100</f>
        <v>100</v>
      </c>
      <c r="G42" s="2411"/>
      <c r="H42" s="415">
        <f>SUMIF(122:122,G42,123:123)-SUMIF(122:122,C42,123:123)+100</f>
        <v>100</v>
      </c>
      <c r="I42" s="2410"/>
      <c r="J42" s="415">
        <f>SUMIF(122:122,I42,123:123)-SUMIF(122:122,C42,123:123)+100</f>
        <v>100</v>
      </c>
      <c r="K42" s="406"/>
      <c r="L42" s="1252"/>
      <c r="M42" s="1243"/>
      <c r="N42" s="1243"/>
      <c r="O42" s="1243"/>
      <c r="P42" s="3033"/>
      <c r="Q42" s="1898" t="str">
        <f t="shared" si="11"/>
        <v>内部装修</v>
      </c>
      <c r="R42" s="752" t="s">
        <v>28</v>
      </c>
      <c r="S42" s="753">
        <f t="shared" si="12"/>
        <v>100</v>
      </c>
      <c r="T42" s="752" t="s">
        <v>28</v>
      </c>
      <c r="U42" s="753">
        <f t="shared" si="13"/>
        <v>100</v>
      </c>
      <c r="V42" s="752" t="s">
        <v>28</v>
      </c>
      <c r="W42" s="753">
        <f t="shared" si="14"/>
        <v>100</v>
      </c>
      <c r="X42" s="1899"/>
      <c r="Y42" s="3035"/>
      <c r="Z42" s="1901" t="str">
        <f t="shared" si="15"/>
        <v>内部装修</v>
      </c>
      <c r="AA42" s="1902">
        <f t="shared" si="3"/>
        <v>1</v>
      </c>
      <c r="AB42" s="1902">
        <f t="shared" si="4"/>
        <v>1</v>
      </c>
      <c r="AC42" s="1902">
        <f t="shared" si="5"/>
        <v>1</v>
      </c>
    </row>
    <row r="43" spans="1:29" ht="28.8">
      <c r="A43" s="453"/>
      <c r="B43" s="402" t="s">
        <v>2381</v>
      </c>
      <c r="C43" s="2411"/>
      <c r="D43" s="415">
        <v>100</v>
      </c>
      <c r="E43" s="2410"/>
      <c r="F43" s="442">
        <f>SUMIF(124:124,E43,125:125)-SUMIF(124:124,C43,125:125)+100</f>
        <v>100</v>
      </c>
      <c r="G43" s="2411"/>
      <c r="H43" s="415">
        <f>SUMIF(124:124,G43,125:125)-SUMIF(124:124,C43,125:125)+100</f>
        <v>100</v>
      </c>
      <c r="I43" s="2410"/>
      <c r="J43" s="415">
        <f>SUMIF(124:124,I43,125:125)-SUMIF(124:124,C43,125:125)+100</f>
        <v>100</v>
      </c>
      <c r="K43" s="406"/>
      <c r="L43" s="1252"/>
      <c r="M43" s="1243"/>
      <c r="N43" s="1243"/>
      <c r="O43" s="1243"/>
      <c r="P43" s="3033"/>
      <c r="Q43" s="1898" t="str">
        <f t="shared" si="11"/>
        <v>内部装修维护情况</v>
      </c>
      <c r="R43" s="752" t="s">
        <v>28</v>
      </c>
      <c r="S43" s="753">
        <f t="shared" si="12"/>
        <v>100</v>
      </c>
      <c r="T43" s="752" t="s">
        <v>28</v>
      </c>
      <c r="U43" s="753">
        <f t="shared" si="13"/>
        <v>100</v>
      </c>
      <c r="V43" s="752" t="s">
        <v>28</v>
      </c>
      <c r="W43" s="753">
        <f t="shared" si="14"/>
        <v>100</v>
      </c>
      <c r="X43" s="1899"/>
      <c r="Y43" s="3035"/>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4"/>
      <c r="M44" s="1245"/>
      <c r="N44" s="1245"/>
      <c r="O44" s="1245"/>
      <c r="P44" s="3033"/>
      <c r="Q44" s="1886">
        <f t="shared" si="11"/>
        <v>111</v>
      </c>
      <c r="R44" s="748" t="s">
        <v>28</v>
      </c>
      <c r="S44" s="749">
        <f t="shared" si="12"/>
        <v>100</v>
      </c>
      <c r="T44" s="748" t="s">
        <v>28</v>
      </c>
      <c r="U44" s="749">
        <f t="shared" si="13"/>
        <v>100</v>
      </c>
      <c r="V44" s="748" t="s">
        <v>28</v>
      </c>
      <c r="W44" s="749">
        <f t="shared" si="14"/>
        <v>100</v>
      </c>
      <c r="X44" s="750"/>
      <c r="Y44" s="3035"/>
      <c r="Z44" s="23">
        <f t="shared" si="15"/>
        <v>111</v>
      </c>
      <c r="AA44" s="751">
        <f t="shared" si="3"/>
        <v>1</v>
      </c>
      <c r="AB44" s="751">
        <f t="shared" si="4"/>
        <v>1</v>
      </c>
      <c r="AC44" s="751">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33"/>
      <c r="Q45" s="1898">
        <f t="shared" si="11"/>
        <v>111</v>
      </c>
      <c r="R45" s="752" t="s">
        <v>28</v>
      </c>
      <c r="S45" s="753">
        <f t="shared" si="12"/>
        <v>100</v>
      </c>
      <c r="T45" s="752" t="s">
        <v>28</v>
      </c>
      <c r="U45" s="753">
        <f t="shared" si="13"/>
        <v>100</v>
      </c>
      <c r="V45" s="752" t="s">
        <v>28</v>
      </c>
      <c r="W45" s="753">
        <f t="shared" si="14"/>
        <v>100</v>
      </c>
      <c r="X45" s="1899"/>
      <c r="Y45" s="3035"/>
      <c r="Z45" s="1901">
        <f t="shared" si="15"/>
        <v>111</v>
      </c>
      <c r="AA45" s="1902">
        <f t="shared" si="3"/>
        <v>1</v>
      </c>
      <c r="AB45" s="1902">
        <f t="shared" si="4"/>
        <v>1</v>
      </c>
      <c r="AC45" s="1902">
        <f t="shared" si="5"/>
        <v>1</v>
      </c>
    </row>
    <row r="46" spans="1:29" ht="15.6"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34"/>
      <c r="Q46" s="1898">
        <f t="shared" si="11"/>
        <v>111</v>
      </c>
      <c r="R46" s="752" t="s">
        <v>27</v>
      </c>
      <c r="S46" s="753">
        <f t="shared" si="12"/>
        <v>100</v>
      </c>
      <c r="T46" s="752" t="s">
        <v>27</v>
      </c>
      <c r="U46" s="753">
        <f t="shared" si="13"/>
        <v>100</v>
      </c>
      <c r="V46" s="752" t="s">
        <v>27</v>
      </c>
      <c r="W46" s="753">
        <f t="shared" si="14"/>
        <v>100</v>
      </c>
      <c r="X46" s="1899"/>
      <c r="Y46" s="3036"/>
      <c r="Z46" s="1901">
        <f t="shared" si="15"/>
        <v>111</v>
      </c>
      <c r="AA46" s="1902">
        <f t="shared" si="3"/>
        <v>1</v>
      </c>
      <c r="AB46" s="1902">
        <f t="shared" si="4"/>
        <v>1</v>
      </c>
      <c r="AC46" s="1902">
        <f t="shared" si="5"/>
        <v>1</v>
      </c>
    </row>
    <row r="47" spans="1:29" ht="14.4">
      <c r="A47" s="460" t="s">
        <v>2382</v>
      </c>
      <c r="B47" s="461"/>
      <c r="C47" s="1501" t="s">
        <v>26</v>
      </c>
      <c r="D47" s="1502"/>
      <c r="E47" s="1503"/>
      <c r="F47" s="1504"/>
      <c r="G47" s="1505"/>
      <c r="H47" s="1506"/>
      <c r="I47" s="1503"/>
      <c r="J47" s="1506"/>
      <c r="K47" s="2417"/>
      <c r="L47" s="1255"/>
      <c r="M47" s="1256"/>
      <c r="N47" s="1243"/>
      <c r="O47" s="1256"/>
      <c r="P47" s="3041" t="str">
        <f>A47</f>
        <v>成交单价（元/平方米）</v>
      </c>
      <c r="Q47" s="3041"/>
      <c r="R47" s="3042">
        <f>E47</f>
        <v>0</v>
      </c>
      <c r="S47" s="3042"/>
      <c r="T47" s="3042">
        <f>G47</f>
        <v>0</v>
      </c>
      <c r="U47" s="3042"/>
      <c r="V47" s="3042">
        <f>I47</f>
        <v>0</v>
      </c>
      <c r="W47" s="3042"/>
      <c r="X47" s="737"/>
      <c r="Y47" s="759"/>
      <c r="Z47" s="737"/>
      <c r="AA47" s="737"/>
      <c r="AB47" s="737"/>
      <c r="AC47" s="737"/>
    </row>
    <row r="48" spans="1:29" ht="15" thickBot="1">
      <c r="A48" s="467" t="s">
        <v>2383</v>
      </c>
      <c r="B48" s="468"/>
      <c r="C48" s="1507" t="e">
        <f>R49</f>
        <v>#DIV/0!</v>
      </c>
      <c r="D48" s="1508"/>
      <c r="E48" s="1509" t="e">
        <f>R48</f>
        <v>#DIV/0!</v>
      </c>
      <c r="F48" s="1509"/>
      <c r="G48" s="1507" t="e">
        <f>T48</f>
        <v>#DIV/0!</v>
      </c>
      <c r="H48" s="1508"/>
      <c r="I48" s="1509" t="e">
        <f>V48</f>
        <v>#DIV/0!</v>
      </c>
      <c r="J48" s="1508"/>
      <c r="K48" s="2418"/>
      <c r="L48" s="1255"/>
      <c r="M48" s="1256"/>
      <c r="N48" s="1256"/>
      <c r="O48" s="1256"/>
      <c r="P48" s="3041" t="str">
        <f>A48</f>
        <v>比较价值（元/平方米）</v>
      </c>
      <c r="Q48" s="3041"/>
      <c r="R48" s="3042" t="e">
        <f>IF(E1="售价",ROUND(PRODUCT(R47,AA7:AA46),0),ROUND(PRODUCT(R47,AA7:AA46),1))</f>
        <v>#DIV/0!</v>
      </c>
      <c r="S48" s="3042"/>
      <c r="T48" s="3045" t="e">
        <f>IF(E1="售价",ROUND(PRODUCT(T47,AB7:AB46),0),ROUND(PRODUCT(T47,AB7:AB46),1))</f>
        <v>#DIV/0!</v>
      </c>
      <c r="U48" s="3046"/>
      <c r="V48" s="3042" t="e">
        <f>IF(E1="售价",ROUND(PRODUCT(V47,AC7:AC46),0),ROUND(PRODUCT(V47,AC7:AC46),1))</f>
        <v>#DIV/0!</v>
      </c>
      <c r="W48" s="3042"/>
      <c r="X48" s="737"/>
      <c r="Y48" s="737"/>
      <c r="Z48" s="737"/>
      <c r="AA48" s="737"/>
      <c r="AB48" s="737"/>
      <c r="AC48" s="737"/>
    </row>
    <row r="49" spans="1:29" ht="15" thickBot="1">
      <c r="A49" s="473" t="s">
        <v>2384</v>
      </c>
      <c r="B49" s="474"/>
      <c r="C49" s="1510" t="e">
        <f>R49</f>
        <v>#DIV/0!</v>
      </c>
      <c r="D49" s="1511"/>
      <c r="E49" s="1511"/>
      <c r="F49" s="1511"/>
      <c r="G49" s="1511"/>
      <c r="H49" s="1511"/>
      <c r="I49" s="1511"/>
      <c r="J49" s="1511"/>
      <c r="K49" s="2419"/>
      <c r="L49" s="1255"/>
      <c r="M49" s="1256"/>
      <c r="N49" s="1256"/>
      <c r="O49" s="1256"/>
      <c r="P49" s="3047" t="str">
        <f>A49</f>
        <v>估价对象XX用房的比较价值（楼面单价，元/平方米）</v>
      </c>
      <c r="Q49" s="3048"/>
      <c r="R49" s="3049" t="e">
        <f>IF(E1="售价",ROUND(AVERAGE(R48:V48),0),ROUND(AVERAGE(R48:V48),1))</f>
        <v>#DIV/0!</v>
      </c>
      <c r="S49" s="3049"/>
      <c r="T49" s="3049"/>
      <c r="U49" s="3049"/>
      <c r="V49" s="3049"/>
      <c r="W49" s="3049"/>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2.2" thickBot="1">
      <c r="A57" s="741" t="s">
        <v>2388</v>
      </c>
      <c r="B57" s="737"/>
      <c r="C57" s="742"/>
      <c r="D57" s="742"/>
      <c r="E57" s="742"/>
      <c r="F57" s="743"/>
      <c r="G57" s="743"/>
      <c r="H57" s="742"/>
      <c r="I57" s="742"/>
      <c r="J57" s="742"/>
      <c r="K57" s="744"/>
      <c r="L57" s="745"/>
      <c r="M57" s="742"/>
      <c r="N57" s="742"/>
      <c r="O57" s="742"/>
      <c r="P57" s="2422"/>
      <c r="Q57" s="485"/>
    </row>
    <row r="58" spans="1:29" s="489" customFormat="1" ht="14.4">
      <c r="A58" s="486" t="s">
        <v>2389</v>
      </c>
      <c r="B58" s="487"/>
      <c r="C58" s="1677" t="str">
        <f>YEAR(C7)&amp;"-"&amp;MONTH(C7)</f>
        <v>2018-8</v>
      </c>
      <c r="D58" s="1678">
        <f>EDATE(C58,-1)</f>
        <v>43282</v>
      </c>
      <c r="E58" s="1678">
        <f t="shared" ref="E58:O58" si="16">EDATE(D58,-1)</f>
        <v>43252</v>
      </c>
      <c r="F58" s="1678">
        <f t="shared" si="16"/>
        <v>43221</v>
      </c>
      <c r="G58" s="1678">
        <f t="shared" si="16"/>
        <v>43191</v>
      </c>
      <c r="H58" s="1678">
        <f t="shared" si="16"/>
        <v>43160</v>
      </c>
      <c r="I58" s="1678">
        <f t="shared" si="16"/>
        <v>43132</v>
      </c>
      <c r="J58" s="1678">
        <f t="shared" si="16"/>
        <v>43101</v>
      </c>
      <c r="K58" s="1678">
        <f t="shared" si="16"/>
        <v>43070</v>
      </c>
      <c r="L58" s="1678">
        <f t="shared" si="16"/>
        <v>43040</v>
      </c>
      <c r="M58" s="1678">
        <f t="shared" si="16"/>
        <v>43009</v>
      </c>
      <c r="N58" s="1678">
        <f t="shared" si="16"/>
        <v>42979</v>
      </c>
      <c r="O58" s="1678">
        <f t="shared" si="16"/>
        <v>42948</v>
      </c>
      <c r="P58" s="2423"/>
    </row>
    <row r="59" spans="1:29" s="35" customFormat="1">
      <c r="A59" s="490"/>
      <c r="B59" s="491"/>
      <c r="C59" s="623">
        <v>100</v>
      </c>
      <c r="D59" s="493"/>
      <c r="E59" s="493"/>
      <c r="F59" s="493"/>
      <c r="G59" s="493"/>
      <c r="H59" s="493"/>
      <c r="I59" s="493"/>
      <c r="J59" s="493"/>
      <c r="K59" s="493"/>
      <c r="L59" s="493"/>
      <c r="M59" s="494"/>
      <c r="N59" s="493"/>
      <c r="O59" s="494"/>
      <c r="P59" s="2424"/>
    </row>
    <row r="60" spans="1:29" s="35" customFormat="1" ht="15" thickBot="1">
      <c r="A60" s="496" t="s">
        <v>2390</v>
      </c>
      <c r="B60" s="497"/>
      <c r="C60" s="498"/>
      <c r="D60" s="499"/>
      <c r="E60" s="499"/>
      <c r="F60" s="499"/>
      <c r="G60" s="499"/>
      <c r="H60" s="499"/>
      <c r="I60" s="499"/>
      <c r="J60" s="499"/>
      <c r="K60" s="499"/>
      <c r="L60" s="499"/>
      <c r="M60" s="500"/>
      <c r="N60" s="499"/>
      <c r="O60" s="500"/>
      <c r="P60" s="2424"/>
      <c r="Q60" s="485"/>
    </row>
    <row r="61" spans="1:29" s="35" customFormat="1" ht="14.4">
      <c r="A61" s="502" t="s">
        <v>2391</v>
      </c>
      <c r="B61" s="491"/>
      <c r="C61" s="503" t="s">
        <v>2392</v>
      </c>
      <c r="D61" s="504"/>
      <c r="E61" s="504"/>
      <c r="F61" s="504"/>
      <c r="G61" s="504"/>
      <c r="H61" s="504"/>
      <c r="I61" s="504"/>
      <c r="J61" s="504"/>
      <c r="K61" s="504"/>
      <c r="L61" s="505"/>
      <c r="M61" s="506"/>
      <c r="N61" s="1265"/>
      <c r="O61" s="1265"/>
      <c r="P61" s="2425"/>
      <c r="Q61" s="485"/>
    </row>
    <row r="62" spans="1:29" s="35" customFormat="1" ht="14.4" thickBot="1">
      <c r="A62" s="502"/>
      <c r="B62" s="491"/>
      <c r="C62" s="492">
        <v>100</v>
      </c>
      <c r="D62" s="493"/>
      <c r="E62" s="493"/>
      <c r="F62" s="493"/>
      <c r="G62" s="493"/>
      <c r="H62" s="493"/>
      <c r="I62" s="493"/>
      <c r="J62" s="493"/>
      <c r="K62" s="493"/>
      <c r="L62" s="493"/>
      <c r="M62" s="495"/>
      <c r="N62" s="1265"/>
      <c r="O62" s="1265"/>
      <c r="P62" s="2424"/>
      <c r="Q62" s="485"/>
    </row>
    <row r="63" spans="1:29" ht="14.4">
      <c r="A63" s="508" t="s">
        <v>2393</v>
      </c>
      <c r="B63" s="509" t="s">
        <v>2358</v>
      </c>
      <c r="C63" s="510">
        <f>C9</f>
        <v>0</v>
      </c>
      <c r="D63" s="511"/>
      <c r="E63" s="511"/>
      <c r="F63" s="511"/>
      <c r="G63" s="511"/>
      <c r="H63" s="511"/>
      <c r="I63" s="511"/>
      <c r="J63" s="511"/>
      <c r="K63" s="512"/>
      <c r="L63" s="513"/>
      <c r="M63" s="514"/>
      <c r="N63" s="1266"/>
      <c r="O63" s="1266"/>
      <c r="P63" s="2426"/>
      <c r="Q63" s="485"/>
    </row>
    <row r="64" spans="1:29" ht="14.4" thickBot="1">
      <c r="A64" s="516"/>
      <c r="B64" s="517"/>
      <c r="C64" s="518">
        <v>100</v>
      </c>
      <c r="D64" s="518"/>
      <c r="E64" s="518"/>
      <c r="F64" s="518"/>
      <c r="G64" s="518"/>
      <c r="H64" s="518"/>
      <c r="I64" s="518"/>
      <c r="J64" s="518"/>
      <c r="K64" s="518"/>
      <c r="L64" s="518"/>
      <c r="M64" s="519"/>
      <c r="N64" s="1267"/>
      <c r="O64" s="1267"/>
      <c r="P64" s="2426"/>
      <c r="Q64" s="485"/>
    </row>
    <row r="65" spans="1:17" ht="29.4"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6"/>
      <c r="Q65" s="485"/>
    </row>
    <row r="66" spans="1:17" ht="14.4"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 thickTop="1">
      <c r="A67" s="516"/>
      <c r="B67" s="529" t="s">
        <v>2362</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c r="A68" s="516"/>
      <c r="B68" s="531"/>
      <c r="C68" s="532"/>
      <c r="D68" s="532"/>
      <c r="E68" s="532"/>
      <c r="F68" s="532"/>
      <c r="G68" s="532"/>
      <c r="H68" s="532"/>
      <c r="I68" s="532"/>
      <c r="J68" s="532"/>
      <c r="K68" s="533"/>
      <c r="L68" s="534"/>
      <c r="M68" s="535"/>
      <c r="N68" s="1266"/>
      <c r="O68" s="1266"/>
      <c r="P68" s="2426"/>
      <c r="Q68" s="485"/>
    </row>
    <row r="69" spans="1:17" ht="14.4"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4.4" thickTop="1">
      <c r="A70" s="536"/>
      <c r="B70" s="521">
        <f>B12</f>
        <v>111</v>
      </c>
      <c r="C70" s="537"/>
      <c r="D70" s="537"/>
      <c r="E70" s="537"/>
      <c r="F70" s="537"/>
      <c r="G70" s="537"/>
      <c r="H70" s="538"/>
      <c r="I70" s="538"/>
      <c r="J70" s="538"/>
      <c r="K70" s="538"/>
      <c r="L70" s="539"/>
      <c r="M70" s="540"/>
      <c r="N70" s="1268"/>
      <c r="O70" s="1268"/>
      <c r="P70" s="2427"/>
      <c r="Q70" s="543"/>
    </row>
    <row r="71" spans="1:17" s="452" customFormat="1" ht="14.4" thickBot="1">
      <c r="A71" s="536"/>
      <c r="B71" s="526"/>
      <c r="C71" s="544"/>
      <c r="D71" s="518"/>
      <c r="E71" s="518"/>
      <c r="F71" s="518"/>
      <c r="G71" s="518"/>
      <c r="H71" s="518"/>
      <c r="I71" s="518"/>
      <c r="J71" s="518"/>
      <c r="K71" s="518"/>
      <c r="L71" s="518"/>
      <c r="M71" s="519"/>
      <c r="N71" s="1267"/>
      <c r="O71" s="1267"/>
      <c r="P71" s="2427"/>
      <c r="Q71" s="543"/>
    </row>
    <row r="72" spans="1:17" s="452" customFormat="1" ht="14.4" thickTop="1">
      <c r="A72" s="536"/>
      <c r="B72" s="521">
        <f>B13</f>
        <v>111</v>
      </c>
      <c r="C72" s="537"/>
      <c r="D72" s="537"/>
      <c r="E72" s="537"/>
      <c r="F72" s="537"/>
      <c r="G72" s="537"/>
      <c r="H72" s="538"/>
      <c r="I72" s="538"/>
      <c r="J72" s="538"/>
      <c r="K72" s="538"/>
      <c r="L72" s="539"/>
      <c r="M72" s="540"/>
      <c r="N72" s="1268"/>
      <c r="O72" s="1268"/>
      <c r="P72" s="2428"/>
      <c r="Q72" s="545"/>
    </row>
    <row r="73" spans="1:17" s="452" customFormat="1" ht="14.4" thickBot="1">
      <c r="A73" s="536"/>
      <c r="B73" s="526"/>
      <c r="C73" s="544"/>
      <c r="D73" s="544"/>
      <c r="E73" s="544"/>
      <c r="F73" s="544"/>
      <c r="G73" s="544"/>
      <c r="H73" s="546"/>
      <c r="I73" s="546"/>
      <c r="J73" s="546"/>
      <c r="K73" s="546"/>
      <c r="L73" s="546"/>
      <c r="M73" s="547"/>
      <c r="N73" s="1268"/>
      <c r="O73" s="1268"/>
      <c r="P73" s="2427"/>
      <c r="Q73" s="543"/>
    </row>
    <row r="74" spans="1:17" s="452" customFormat="1" ht="14.4" thickTop="1">
      <c r="A74" s="536"/>
      <c r="B74" s="529">
        <f>B14</f>
        <v>111</v>
      </c>
      <c r="C74" s="537"/>
      <c r="D74" s="537"/>
      <c r="E74" s="537"/>
      <c r="F74" s="537"/>
      <c r="G74" s="504"/>
      <c r="H74" s="548"/>
      <c r="I74" s="548"/>
      <c r="J74" s="548"/>
      <c r="K74" s="548"/>
      <c r="L74" s="549"/>
      <c r="M74" s="550"/>
      <c r="N74" s="1268"/>
      <c r="O74" s="1268"/>
      <c r="P74" s="2429"/>
      <c r="Q74" s="543"/>
    </row>
    <row r="75" spans="1:17" s="452" customFormat="1" ht="14.4" thickBot="1">
      <c r="A75" s="552"/>
      <c r="B75" s="553"/>
      <c r="C75" s="554"/>
      <c r="D75" s="554"/>
      <c r="E75" s="554"/>
      <c r="F75" s="554"/>
      <c r="G75" s="554"/>
      <c r="H75" s="555"/>
      <c r="I75" s="555"/>
      <c r="J75" s="555"/>
      <c r="K75" s="555"/>
      <c r="L75" s="555"/>
      <c r="M75" s="556"/>
      <c r="N75" s="1268"/>
      <c r="O75" s="1268"/>
      <c r="P75" s="2427"/>
      <c r="Q75" s="543"/>
    </row>
    <row r="76" spans="1:17" ht="14.4">
      <c r="A76" s="508" t="s">
        <v>2363</v>
      </c>
      <c r="B76" s="509" t="s">
        <v>2401</v>
      </c>
      <c r="C76" s="557" t="s">
        <v>2402</v>
      </c>
      <c r="D76" s="557" t="s">
        <v>2403</v>
      </c>
      <c r="E76" s="557" t="s">
        <v>2404</v>
      </c>
      <c r="F76" s="557" t="s">
        <v>2405</v>
      </c>
      <c r="G76" s="557" t="s">
        <v>2406</v>
      </c>
      <c r="H76" s="510"/>
      <c r="I76" s="510"/>
      <c r="J76" s="510"/>
      <c r="K76" s="558"/>
      <c r="L76" s="559"/>
      <c r="M76" s="560"/>
      <c r="N76" s="1266"/>
      <c r="O76" s="1266"/>
      <c r="P76" s="2430"/>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 thickTop="1">
      <c r="A78" s="516"/>
      <c r="B78" s="521" t="s">
        <v>2407</v>
      </c>
      <c r="C78" s="562" t="s">
        <v>2402</v>
      </c>
      <c r="D78" s="562" t="s">
        <v>2403</v>
      </c>
      <c r="E78" s="562" t="s">
        <v>2404</v>
      </c>
      <c r="F78" s="562" t="s">
        <v>2405</v>
      </c>
      <c r="G78" s="562" t="s">
        <v>2406</v>
      </c>
      <c r="H78" s="522"/>
      <c r="I78" s="522"/>
      <c r="J78" s="522"/>
      <c r="K78" s="523"/>
      <c r="L78" s="524"/>
      <c r="M78" s="525"/>
      <c r="N78" s="1266"/>
      <c r="O78" s="1266"/>
      <c r="P78" s="2426"/>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 thickTop="1">
      <c r="A80" s="516"/>
      <c r="B80" s="521" t="s">
        <v>2408</v>
      </c>
      <c r="C80" s="562" t="s">
        <v>2402</v>
      </c>
      <c r="D80" s="562" t="s">
        <v>2403</v>
      </c>
      <c r="E80" s="562" t="s">
        <v>2404</v>
      </c>
      <c r="F80" s="562" t="s">
        <v>2405</v>
      </c>
      <c r="G80" s="562" t="s">
        <v>2406</v>
      </c>
      <c r="H80" s="522"/>
      <c r="I80" s="522"/>
      <c r="J80" s="522"/>
      <c r="K80" s="523"/>
      <c r="L80" s="524"/>
      <c r="M80" s="525"/>
      <c r="N80" s="1266"/>
      <c r="O80" s="1266"/>
      <c r="P80" s="2426"/>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 thickTop="1">
      <c r="A82" s="516"/>
      <c r="B82" s="529" t="s">
        <v>1751</v>
      </c>
      <c r="C82" s="522" t="s">
        <v>2409</v>
      </c>
      <c r="D82" s="522" t="s">
        <v>2410</v>
      </c>
      <c r="E82" s="522" t="s">
        <v>2411</v>
      </c>
      <c r="F82" s="522" t="s">
        <v>2412</v>
      </c>
      <c r="G82" s="522" t="s">
        <v>2413</v>
      </c>
      <c r="H82" s="522"/>
      <c r="I82" s="522"/>
      <c r="J82" s="522"/>
      <c r="K82" s="522"/>
      <c r="L82" s="522"/>
      <c r="M82" s="1466"/>
      <c r="N82" s="1267"/>
      <c r="O82" s="1267"/>
      <c r="P82" s="2426"/>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 thickTop="1">
      <c r="A84" s="516"/>
      <c r="B84" s="521" t="s">
        <v>2414</v>
      </c>
      <c r="C84" s="562" t="s">
        <v>2402</v>
      </c>
      <c r="D84" s="562" t="s">
        <v>2403</v>
      </c>
      <c r="E84" s="562" t="s">
        <v>2404</v>
      </c>
      <c r="F84" s="562" t="s">
        <v>2405</v>
      </c>
      <c r="G84" s="562" t="s">
        <v>2406</v>
      </c>
      <c r="H84" s="522"/>
      <c r="I84" s="522"/>
      <c r="J84" s="522"/>
      <c r="K84" s="523"/>
      <c r="L84" s="524"/>
      <c r="M84" s="525"/>
      <c r="N84" s="1266"/>
      <c r="O84" s="1266"/>
      <c r="P84" s="2426"/>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 thickTop="1">
      <c r="A86" s="563"/>
      <c r="B86" s="521" t="s">
        <v>2415</v>
      </c>
      <c r="C86" s="537"/>
      <c r="D86" s="537"/>
      <c r="E86" s="537"/>
      <c r="F86" s="537"/>
      <c r="G86" s="537"/>
      <c r="H86" s="537"/>
      <c r="I86" s="537"/>
      <c r="J86" s="537"/>
      <c r="K86" s="537"/>
      <c r="L86" s="564"/>
      <c r="M86" s="565"/>
      <c r="N86" s="1265"/>
      <c r="O86" s="1265"/>
      <c r="P86" s="2426"/>
      <c r="Q86" s="485"/>
    </row>
    <row r="87" spans="1:17" s="35" customFormat="1" ht="14.4"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 thickTop="1">
      <c r="A88" s="563"/>
      <c r="B88" s="521" t="s">
        <v>2416</v>
      </c>
      <c r="C88" s="537"/>
      <c r="D88" s="537"/>
      <c r="E88" s="537"/>
      <c r="F88" s="2431"/>
      <c r="G88" s="537"/>
      <c r="H88" s="537"/>
      <c r="I88" s="537"/>
      <c r="J88" s="537"/>
      <c r="K88" s="537"/>
      <c r="L88" s="537"/>
      <c r="M88" s="565"/>
      <c r="N88" s="1265"/>
      <c r="O88" s="1265"/>
      <c r="P88" s="2426"/>
      <c r="Q88" s="485"/>
    </row>
    <row r="89" spans="1:17" s="35" customFormat="1" ht="14.4"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6"/>
      <c r="Q89" s="485"/>
    </row>
    <row r="90" spans="1:17" s="452" customFormat="1" ht="14.4" thickTop="1">
      <c r="A90" s="536"/>
      <c r="B90" s="521" t="str">
        <f>B27</f>
        <v>道路级别</v>
      </c>
      <c r="C90" s="537"/>
      <c r="D90" s="537"/>
      <c r="E90" s="537"/>
      <c r="F90" s="537"/>
      <c r="G90" s="537"/>
      <c r="H90" s="538"/>
      <c r="I90" s="538"/>
      <c r="J90" s="538"/>
      <c r="K90" s="538"/>
      <c r="L90" s="539"/>
      <c r="M90" s="540"/>
      <c r="N90" s="1268"/>
      <c r="O90" s="1268"/>
      <c r="P90" s="2427"/>
      <c r="Q90" s="543"/>
    </row>
    <row r="91" spans="1:17" s="452" customFormat="1" ht="14.4" thickBot="1">
      <c r="A91" s="536"/>
      <c r="B91" s="526"/>
      <c r="C91" s="544"/>
      <c r="D91" s="544"/>
      <c r="E91" s="544"/>
      <c r="F91" s="544"/>
      <c r="G91" s="544"/>
      <c r="H91" s="546"/>
      <c r="I91" s="546"/>
      <c r="J91" s="546"/>
      <c r="K91" s="546"/>
      <c r="L91" s="546"/>
      <c r="M91" s="547"/>
      <c r="N91" s="1268"/>
      <c r="O91" s="1268"/>
      <c r="P91" s="2427"/>
      <c r="Q91" s="543"/>
    </row>
    <row r="92" spans="1:17" ht="14.4" thickTop="1">
      <c r="A92" s="516"/>
      <c r="B92" s="521">
        <f>B28</f>
        <v>111</v>
      </c>
      <c r="C92" s="537"/>
      <c r="D92" s="537"/>
      <c r="E92" s="537"/>
      <c r="F92" s="537"/>
      <c r="G92" s="567"/>
      <c r="H92" s="567"/>
      <c r="I92" s="567"/>
      <c r="J92" s="567"/>
      <c r="K92" s="568"/>
      <c r="L92" s="569"/>
      <c r="M92" s="570"/>
      <c r="N92" s="1266"/>
      <c r="O92" s="1266"/>
      <c r="P92" s="2426"/>
      <c r="Q92" s="485"/>
    </row>
    <row r="93" spans="1:17" ht="14.4" thickBot="1">
      <c r="A93" s="516"/>
      <c r="B93" s="526"/>
      <c r="C93" s="544"/>
      <c r="D93" s="518"/>
      <c r="E93" s="518"/>
      <c r="F93" s="518"/>
      <c r="G93" s="518"/>
      <c r="H93" s="518"/>
      <c r="I93" s="518"/>
      <c r="J93" s="518"/>
      <c r="K93" s="518"/>
      <c r="L93" s="518"/>
      <c r="M93" s="519"/>
      <c r="N93" s="1267"/>
      <c r="O93" s="1267"/>
      <c r="P93" s="2426"/>
      <c r="Q93" s="485"/>
    </row>
    <row r="94" spans="1:17" ht="14.4" thickTop="1">
      <c r="A94" s="516"/>
      <c r="B94" s="521">
        <f>B29</f>
        <v>111</v>
      </c>
      <c r="C94" s="537"/>
      <c r="D94" s="537"/>
      <c r="E94" s="537"/>
      <c r="F94" s="537"/>
      <c r="G94" s="567"/>
      <c r="H94" s="567"/>
      <c r="I94" s="567"/>
      <c r="J94" s="567"/>
      <c r="K94" s="568"/>
      <c r="L94" s="569"/>
      <c r="M94" s="570"/>
      <c r="N94" s="1266"/>
      <c r="O94" s="1266"/>
      <c r="P94" s="2426"/>
      <c r="Q94" s="485"/>
    </row>
    <row r="95" spans="1:17" ht="14.4" thickBot="1">
      <c r="A95" s="516"/>
      <c r="B95" s="526"/>
      <c r="C95" s="544"/>
      <c r="D95" s="544"/>
      <c r="E95" s="544"/>
      <c r="F95" s="544"/>
      <c r="G95" s="518"/>
      <c r="H95" s="518"/>
      <c r="I95" s="518"/>
      <c r="J95" s="518"/>
      <c r="K95" s="518"/>
      <c r="L95" s="518"/>
      <c r="M95" s="519"/>
      <c r="N95" s="1267"/>
      <c r="O95" s="1267"/>
      <c r="P95" s="2426"/>
      <c r="Q95" s="485"/>
    </row>
    <row r="96" spans="1:17" ht="14.4" thickTop="1">
      <c r="A96" s="516"/>
      <c r="B96" s="521">
        <f>B30</f>
        <v>111</v>
      </c>
      <c r="C96" s="537"/>
      <c r="D96" s="537"/>
      <c r="E96" s="537"/>
      <c r="F96" s="537"/>
      <c r="G96" s="567"/>
      <c r="H96" s="567"/>
      <c r="I96" s="567"/>
      <c r="J96" s="567"/>
      <c r="K96" s="568"/>
      <c r="L96" s="569"/>
      <c r="M96" s="570"/>
      <c r="N96" s="1266"/>
      <c r="O96" s="1266"/>
      <c r="P96" s="2426"/>
      <c r="Q96" s="485"/>
    </row>
    <row r="97" spans="1:17" ht="14.4" thickBot="1">
      <c r="A97" s="516"/>
      <c r="B97" s="526"/>
      <c r="C97" s="554"/>
      <c r="D97" s="554"/>
      <c r="E97" s="554"/>
      <c r="F97" s="554"/>
      <c r="G97" s="518"/>
      <c r="H97" s="518"/>
      <c r="I97" s="518"/>
      <c r="J97" s="518"/>
      <c r="K97" s="518"/>
      <c r="L97" s="518"/>
      <c r="M97" s="519"/>
      <c r="N97" s="1267"/>
      <c r="O97" s="1267"/>
      <c r="P97" s="2426"/>
      <c r="Q97" s="485"/>
    </row>
    <row r="98" spans="1:17" ht="14.4" thickTop="1">
      <c r="A98" s="516"/>
      <c r="B98" s="529">
        <f>B31</f>
        <v>111</v>
      </c>
      <c r="C98" s="571"/>
      <c r="D98" s="571"/>
      <c r="E98" s="571"/>
      <c r="F98" s="571"/>
      <c r="G98" s="571"/>
      <c r="H98" s="571"/>
      <c r="I98" s="571"/>
      <c r="J98" s="571"/>
      <c r="K98" s="572"/>
      <c r="L98" s="573"/>
      <c r="M98" s="574"/>
      <c r="N98" s="1266"/>
      <c r="O98" s="1266"/>
      <c r="P98" s="2426"/>
      <c r="Q98" s="485"/>
    </row>
    <row r="99" spans="1:17" ht="14.4" thickBot="1">
      <c r="A99" s="2432"/>
      <c r="B99" s="553"/>
      <c r="C99" s="575"/>
      <c r="D99" s="575"/>
      <c r="E99" s="575"/>
      <c r="F99" s="575"/>
      <c r="G99" s="575"/>
      <c r="H99" s="575"/>
      <c r="I99" s="575"/>
      <c r="J99" s="575"/>
      <c r="K99" s="575"/>
      <c r="L99" s="575"/>
      <c r="M99" s="576"/>
      <c r="N99" s="1267"/>
      <c r="O99" s="1267"/>
      <c r="P99" s="2426"/>
      <c r="Q99" s="485"/>
    </row>
    <row r="100" spans="1:17" ht="14.4">
      <c r="A100" s="508" t="s">
        <v>2368</v>
      </c>
      <c r="B100" s="509" t="s">
        <v>2417</v>
      </c>
      <c r="C100" s="511"/>
      <c r="D100" s="511"/>
      <c r="E100" s="511"/>
      <c r="F100" s="511"/>
      <c r="G100" s="511"/>
      <c r="H100" s="511"/>
      <c r="I100" s="511"/>
      <c r="J100" s="511"/>
      <c r="K100" s="512"/>
      <c r="L100" s="513"/>
      <c r="M100" s="514"/>
      <c r="N100" s="1266"/>
      <c r="O100" s="1266"/>
      <c r="P100" s="2426"/>
      <c r="Q100" s="485"/>
    </row>
    <row r="101" spans="1:17" ht="14.4"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 thickTop="1">
      <c r="A102" s="516"/>
      <c r="B102" s="521" t="s">
        <v>2418</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4.4" thickBot="1">
      <c r="A104" s="536"/>
      <c r="B104" s="526"/>
      <c r="C104" s="544"/>
      <c r="D104" s="518"/>
      <c r="E104" s="518"/>
      <c r="F104" s="518"/>
      <c r="G104" s="518"/>
      <c r="H104" s="518"/>
      <c r="I104" s="518"/>
      <c r="J104" s="518"/>
      <c r="K104" s="518"/>
      <c r="L104" s="518"/>
      <c r="M104" s="518"/>
      <c r="N104" s="1267"/>
      <c r="O104" s="1267"/>
      <c r="P104" s="2427"/>
      <c r="Q104" s="543"/>
    </row>
    <row r="105" spans="1:17" ht="15" thickTop="1">
      <c r="A105" s="583"/>
      <c r="B105" s="521" t="s">
        <v>2419</v>
      </c>
      <c r="C105" s="537"/>
      <c r="D105" s="537"/>
      <c r="E105" s="567"/>
      <c r="F105" s="567"/>
      <c r="G105" s="567"/>
      <c r="H105" s="567"/>
      <c r="I105" s="567"/>
      <c r="J105" s="567"/>
      <c r="K105" s="568"/>
      <c r="L105" s="569"/>
      <c r="M105" s="570"/>
      <c r="N105" s="1266"/>
      <c r="O105" s="1266"/>
      <c r="P105" s="2426"/>
      <c r="Q105" s="485"/>
    </row>
    <row r="106" spans="1:17" ht="14.4"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2420</v>
      </c>
      <c r="C107" s="567"/>
      <c r="D107" s="567"/>
      <c r="E107" s="567"/>
      <c r="F107" s="567"/>
      <c r="G107" s="567"/>
      <c r="H107" s="567"/>
      <c r="I107" s="567"/>
      <c r="J107" s="567"/>
      <c r="K107" s="568"/>
      <c r="L107" s="569"/>
      <c r="M107" s="570"/>
      <c r="N107" s="1266"/>
      <c r="O107" s="1266"/>
      <c r="P107" s="2426"/>
      <c r="Q107" s="485"/>
    </row>
    <row r="108" spans="1:17" ht="14.4"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2421</v>
      </c>
      <c r="C109" s="537"/>
      <c r="D109" s="537"/>
      <c r="E109" s="537"/>
      <c r="F109" s="567"/>
      <c r="G109" s="567"/>
      <c r="H109" s="567"/>
      <c r="I109" s="567"/>
      <c r="J109" s="567"/>
      <c r="K109" s="568"/>
      <c r="L109" s="569"/>
      <c r="M109" s="570"/>
      <c r="N109" s="1266"/>
      <c r="O109" s="1266"/>
      <c r="P109" s="2426"/>
      <c r="Q109" s="485"/>
    </row>
    <row r="110" spans="1:17" ht="14.4"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4.4"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2423</v>
      </c>
      <c r="C114" s="537"/>
      <c r="D114" s="537"/>
      <c r="E114" s="567"/>
      <c r="F114" s="567"/>
      <c r="G114" s="567"/>
      <c r="H114" s="567"/>
      <c r="I114" s="567"/>
      <c r="J114" s="567"/>
      <c r="K114" s="568"/>
      <c r="L114" s="569"/>
      <c r="M114" s="570"/>
      <c r="N114" s="1266"/>
      <c r="O114" s="1266"/>
      <c r="P114" s="2426"/>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2424</v>
      </c>
      <c r="C116" s="537"/>
      <c r="D116" s="537"/>
      <c r="E116" s="537"/>
      <c r="F116" s="537"/>
      <c r="G116" s="537"/>
      <c r="H116" s="567"/>
      <c r="I116" s="567"/>
      <c r="J116" s="567"/>
      <c r="K116" s="568"/>
      <c r="L116" s="569"/>
      <c r="M116" s="570"/>
      <c r="N116" s="1266"/>
      <c r="O116" s="1266"/>
      <c r="P116" s="2426"/>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2425</v>
      </c>
      <c r="C118" s="567"/>
      <c r="D118" s="567"/>
      <c r="E118" s="567"/>
      <c r="F118" s="567"/>
      <c r="G118" s="567"/>
      <c r="H118" s="567"/>
      <c r="I118" s="567"/>
      <c r="J118" s="567"/>
      <c r="K118" s="568"/>
      <c r="L118" s="569"/>
      <c r="M118" s="570"/>
      <c r="N118" s="1266"/>
      <c r="O118" s="1266"/>
      <c r="P118" s="2426"/>
      <c r="Q118" s="485"/>
    </row>
    <row r="119" spans="1:17" ht="14.4"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9.4" thickTop="1">
      <c r="A120" s="577"/>
      <c r="B120" s="521" t="s">
        <v>2379</v>
      </c>
      <c r="C120" s="537"/>
      <c r="D120" s="537"/>
      <c r="E120" s="537"/>
      <c r="F120" s="537"/>
      <c r="G120" s="537"/>
      <c r="H120" s="537"/>
      <c r="I120" s="537"/>
      <c r="J120" s="537"/>
      <c r="K120" s="537"/>
      <c r="L120" s="564"/>
      <c r="M120" s="565"/>
      <c r="N120" s="1268"/>
      <c r="O120" s="1268"/>
      <c r="P120" s="2427"/>
      <c r="Q120" s="543"/>
    </row>
    <row r="121" spans="1:17" s="452" customFormat="1" ht="14.4"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2426</v>
      </c>
      <c r="C122" s="537"/>
      <c r="D122" s="537"/>
      <c r="E122" s="537"/>
      <c r="F122" s="567"/>
      <c r="G122" s="567"/>
      <c r="H122" s="567"/>
      <c r="I122" s="567"/>
      <c r="J122" s="567"/>
      <c r="K122" s="568"/>
      <c r="L122" s="569"/>
      <c r="M122" s="570"/>
      <c r="N122" s="1266"/>
      <c r="O122" s="1266"/>
      <c r="P122" s="2426"/>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29.4"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7"/>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4.4"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4.4" thickBot="1">
      <c r="A127" s="536"/>
      <c r="B127" s="526"/>
      <c r="C127" s="544"/>
      <c r="D127" s="518"/>
      <c r="E127" s="518"/>
      <c r="F127" s="518"/>
      <c r="G127" s="544"/>
      <c r="H127" s="546"/>
      <c r="I127" s="546"/>
      <c r="J127" s="546"/>
      <c r="K127" s="546"/>
      <c r="L127" s="546"/>
      <c r="M127" s="547"/>
      <c r="N127" s="1268"/>
      <c r="O127" s="1268"/>
      <c r="P127" s="2427"/>
      <c r="Q127" s="543"/>
    </row>
    <row r="128" spans="1:17" ht="14.4" thickTop="1">
      <c r="A128" s="583"/>
      <c r="B128" s="521">
        <f>B45</f>
        <v>111</v>
      </c>
      <c r="C128" s="537"/>
      <c r="D128" s="537"/>
      <c r="E128" s="537"/>
      <c r="F128" s="537"/>
      <c r="G128" s="567"/>
      <c r="H128" s="567"/>
      <c r="I128" s="567"/>
      <c r="J128" s="567"/>
      <c r="K128" s="568"/>
      <c r="L128" s="569"/>
      <c r="M128" s="570"/>
      <c r="N128" s="1266"/>
      <c r="O128" s="1266"/>
      <c r="P128" s="2426"/>
      <c r="Q128" s="485"/>
    </row>
    <row r="129" spans="1:17" ht="14.4" thickBot="1">
      <c r="A129" s="516"/>
      <c r="B129" s="526"/>
      <c r="C129" s="544"/>
      <c r="D129" s="544"/>
      <c r="E129" s="544"/>
      <c r="F129" s="544"/>
      <c r="G129" s="518"/>
      <c r="H129" s="518"/>
      <c r="I129" s="518"/>
      <c r="J129" s="518"/>
      <c r="K129" s="518"/>
      <c r="L129" s="518"/>
      <c r="M129" s="519"/>
      <c r="N129" s="1267"/>
      <c r="O129" s="1267"/>
      <c r="P129" s="2426"/>
      <c r="Q129" s="485"/>
    </row>
    <row r="130" spans="1:17" ht="14.4" thickTop="1">
      <c r="A130" s="583"/>
      <c r="B130" s="529">
        <f>B46</f>
        <v>111</v>
      </c>
      <c r="C130" s="537"/>
      <c r="D130" s="537"/>
      <c r="E130" s="537"/>
      <c r="F130" s="537"/>
      <c r="G130" s="571"/>
      <c r="H130" s="571"/>
      <c r="I130" s="571"/>
      <c r="J130" s="571"/>
      <c r="K130" s="504"/>
      <c r="L130" s="505"/>
      <c r="M130" s="574"/>
      <c r="N130" s="1266"/>
      <c r="O130" s="1266"/>
      <c r="P130" s="2426"/>
      <c r="Q130" s="485"/>
    </row>
    <row r="131" spans="1:17" ht="14.4"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4">
        <v>6</v>
      </c>
      <c r="C139" s="1132">
        <v>96</v>
      </c>
      <c r="D139" s="2444" t="s">
        <v>2437</v>
      </c>
      <c r="E139" s="1133">
        <v>100</v>
      </c>
      <c r="F139" s="1134">
        <v>102.5</v>
      </c>
      <c r="G139" s="2444" t="s">
        <v>2437</v>
      </c>
      <c r="H139" s="1135">
        <v>105</v>
      </c>
      <c r="I139" s="2445" t="s">
        <v>2438</v>
      </c>
      <c r="J139" s="1132">
        <v>20</v>
      </c>
      <c r="K139" s="1126">
        <f>C145/(J139-2)</f>
        <v>4.0555555555555553E-3</v>
      </c>
    </row>
    <row r="140" spans="1:17" ht="15">
      <c r="B140" s="1125">
        <v>5</v>
      </c>
      <c r="C140" s="1136">
        <v>100</v>
      </c>
      <c r="D140" s="1136"/>
      <c r="E140" s="1137"/>
      <c r="F140" s="1138">
        <v>102</v>
      </c>
      <c r="G140" s="1136"/>
      <c r="H140" s="1139"/>
      <c r="I140" s="2446" t="s">
        <v>2439</v>
      </c>
      <c r="J140" s="217">
        <f>ROUNDUP((J139-1)/2,0)</f>
        <v>10</v>
      </c>
      <c r="K140" s="1127">
        <v>100</v>
      </c>
    </row>
    <row r="141" spans="1:17" ht="15">
      <c r="B141" s="1125">
        <v>4</v>
      </c>
      <c r="C141" s="1136">
        <v>102</v>
      </c>
      <c r="D141" s="1136"/>
      <c r="E141" s="1137"/>
      <c r="F141" s="1138">
        <v>101.5</v>
      </c>
      <c r="G141" s="1136"/>
      <c r="H141" s="1139"/>
      <c r="I141" s="2446" t="s">
        <v>2440</v>
      </c>
      <c r="J141" s="217">
        <v>1</v>
      </c>
      <c r="K141" s="1128">
        <f>ROUND(100+(J141-J140)*K139*100,1)</f>
        <v>96.4</v>
      </c>
    </row>
    <row r="142" spans="1:17" ht="15">
      <c r="B142" s="1125">
        <v>3</v>
      </c>
      <c r="C142" s="1136">
        <v>103</v>
      </c>
      <c r="D142" s="1136"/>
      <c r="E142" s="1137"/>
      <c r="F142" s="1138">
        <v>101</v>
      </c>
      <c r="G142" s="1136"/>
      <c r="H142" s="1139"/>
      <c r="I142" s="2446" t="s">
        <v>2441</v>
      </c>
      <c r="J142" s="217">
        <f>J139</f>
        <v>20</v>
      </c>
      <c r="K142" s="1141">
        <v>95</v>
      </c>
    </row>
    <row r="143" spans="1:17" ht="15">
      <c r="B143" s="1125">
        <v>2</v>
      </c>
      <c r="C143" s="1136">
        <v>100</v>
      </c>
      <c r="D143" s="1136"/>
      <c r="E143" s="1137"/>
      <c r="F143" s="1138">
        <v>100.5</v>
      </c>
      <c r="G143" s="1136"/>
      <c r="H143" s="1139"/>
      <c r="I143" s="2446" t="s">
        <v>2442</v>
      </c>
      <c r="J143" s="1136">
        <v>15</v>
      </c>
      <c r="K143" s="1128">
        <f>ROUND(100+(J143-J140)*K139*100,1)</f>
        <v>102</v>
      </c>
    </row>
    <row r="144" spans="1:17" ht="15">
      <c r="B144" s="1125">
        <v>1</v>
      </c>
      <c r="C144" s="1136">
        <v>98</v>
      </c>
      <c r="D144" s="2447" t="s">
        <v>2443</v>
      </c>
      <c r="E144" s="1137">
        <v>102</v>
      </c>
      <c r="F144" s="1140">
        <v>100</v>
      </c>
      <c r="G144" s="2447" t="s">
        <v>2443</v>
      </c>
      <c r="H144" s="1139">
        <v>105</v>
      </c>
      <c r="I144" s="2446" t="s">
        <v>2442</v>
      </c>
      <c r="J144" s="1136">
        <v>18</v>
      </c>
      <c r="K144" s="1128">
        <f>ROUND(100+(J144-J140)*K139*100,1)</f>
        <v>103.2</v>
      </c>
    </row>
    <row r="145" spans="2:11" ht="16.2" thickBot="1">
      <c r="B145" s="2448" t="s">
        <v>2444</v>
      </c>
      <c r="C145" s="1130">
        <f>ROUND(MAX(C139:C144)/MIN(C139:C144)-1,3)</f>
        <v>7.2999999999999995E-2</v>
      </c>
      <c r="D145" s="1131"/>
      <c r="E145" s="1131"/>
      <c r="F145" s="2449" t="s">
        <v>2445</v>
      </c>
      <c r="G145" s="2450"/>
      <c r="H145" s="2451"/>
      <c r="I145" s="2452" t="s">
        <v>2442</v>
      </c>
      <c r="J145" s="1142">
        <v>8</v>
      </c>
      <c r="K145" s="1129">
        <f>ROUND(100+(J145-J140)*K139*100,1)</f>
        <v>99.2</v>
      </c>
    </row>
    <row r="147" spans="2:11" ht="14.4">
      <c r="B147" s="2433" t="s">
        <v>2446</v>
      </c>
    </row>
    <row r="148" spans="2:11" ht="14.4">
      <c r="B148" s="2433"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20"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2335</v>
      </c>
      <c r="B1" s="1733" t="s">
        <v>2448</v>
      </c>
      <c r="C1" s="1725"/>
      <c r="D1" s="2453"/>
      <c r="E1" s="2382"/>
      <c r="F1" s="1739" t="s">
        <v>2337</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IF(D2="——",IF(C2="元",ROUND(C49*D3,0),ROUND(C49*D3/10000,0)),IF(C2="元",ROUND(C49*D3,0),ROUND(C49*D3/10000,0))-E2)</f>
        <v>#DIV/0!</v>
      </c>
      <c r="C2" s="163" t="str">
        <f>'数据-取费表'!B3</f>
        <v>万元</v>
      </c>
      <c r="D2" s="2384"/>
      <c r="E2" s="2454" t="e">
        <f ca="1">SUMIF(INDIRECT("'"&amp;G2&amp;"'"&amp;"!A:A"),"承租人权益价值",INDIRECT("'"&amp;G2&amp;"'"&amp;"!c:c"))</f>
        <v>#REF!</v>
      </c>
      <c r="F2" s="2385" t="str">
        <f>C2</f>
        <v>万元</v>
      </c>
      <c r="G2" s="2386"/>
      <c r="H2" s="980"/>
      <c r="I2" s="980"/>
      <c r="J2" s="980"/>
      <c r="K2" s="980"/>
      <c r="L2" s="1240"/>
      <c r="M2" s="1241"/>
      <c r="N2" s="1241"/>
      <c r="O2" s="1241"/>
      <c r="P2" s="2455"/>
      <c r="Q2" s="746"/>
      <c r="R2" s="746"/>
      <c r="S2" s="746"/>
      <c r="T2" s="746"/>
      <c r="U2" s="746"/>
      <c r="V2" s="746"/>
      <c r="W2" s="746"/>
      <c r="X2" s="746"/>
      <c r="Y2" s="746"/>
      <c r="Z2" s="746"/>
      <c r="AA2" s="746"/>
      <c r="AB2" s="746"/>
      <c r="AC2" s="747"/>
    </row>
    <row r="3" spans="1:29" s="377" customFormat="1" ht="28.5" customHeight="1" thickBot="1">
      <c r="A3" s="167" t="s">
        <v>2009</v>
      </c>
      <c r="B3" s="593" t="e">
        <f ca="1">ROUND(IF(D2="——",C49,IF(C2="万元",B2*10000/D3,B2/D3)),0)</f>
        <v>#DIV/0!</v>
      </c>
      <c r="C3" s="379" t="s">
        <v>2338</v>
      </c>
      <c r="D3" s="378">
        <f>IF(C1="仅计算典型户型",'数据-取费表'!E5,'数据-取费表'!B5)</f>
        <v>424.6</v>
      </c>
      <c r="E3" s="2456"/>
      <c r="F3" s="981"/>
      <c r="G3" s="980"/>
      <c r="H3" s="980"/>
      <c r="I3" s="980"/>
      <c r="J3" s="980"/>
      <c r="K3" s="982"/>
      <c r="L3" s="1240"/>
      <c r="M3" s="1241"/>
      <c r="N3" s="1241"/>
      <c r="O3" s="1241"/>
      <c r="P3" s="2455"/>
      <c r="Q3" s="746"/>
      <c r="R3" s="746"/>
      <c r="S3" s="746"/>
      <c r="T3" s="746"/>
      <c r="U3" s="746"/>
      <c r="V3" s="746"/>
      <c r="W3" s="746"/>
      <c r="X3" s="746"/>
      <c r="Y3" s="746"/>
      <c r="Z3" s="746"/>
      <c r="AA3" s="746"/>
      <c r="AB3" s="746"/>
      <c r="AC3" s="760"/>
    </row>
    <row r="4" spans="1:29" ht="14.4">
      <c r="A4" s="380" t="s">
        <v>2339</v>
      </c>
      <c r="B4" s="381"/>
      <c r="C4" s="3005" t="s">
        <v>2340</v>
      </c>
      <c r="D4" s="3006"/>
      <c r="E4" s="3007" t="s">
        <v>2341</v>
      </c>
      <c r="F4" s="3008"/>
      <c r="G4" s="3005" t="s">
        <v>2342</v>
      </c>
      <c r="H4" s="3006"/>
      <c r="I4" s="3005" t="s">
        <v>2343</v>
      </c>
      <c r="J4" s="3006"/>
      <c r="K4" s="594" t="s">
        <v>2344</v>
      </c>
      <c r="L4" s="1242"/>
      <c r="M4" s="1243"/>
      <c r="N4" s="1243"/>
      <c r="O4" s="1243"/>
      <c r="P4" s="3009" t="s">
        <v>2345</v>
      </c>
      <c r="Q4" s="3010"/>
      <c r="R4" s="3015" t="s">
        <v>2341</v>
      </c>
      <c r="S4" s="3016"/>
      <c r="T4" s="3015" t="s">
        <v>2342</v>
      </c>
      <c r="U4" s="3016"/>
      <c r="V4" s="3021" t="s">
        <v>2343</v>
      </c>
      <c r="W4" s="3021"/>
      <c r="X4" s="1899"/>
      <c r="Y4" s="3015" t="s">
        <v>2345</v>
      </c>
      <c r="Z4" s="3016"/>
      <c r="AA4" s="3002" t="s">
        <v>2341</v>
      </c>
      <c r="AB4" s="3021" t="s">
        <v>2342</v>
      </c>
      <c r="AC4" s="3002" t="s">
        <v>2343</v>
      </c>
    </row>
    <row r="5" spans="1:29">
      <c r="A5" s="383"/>
      <c r="B5" s="384"/>
      <c r="C5" s="3024" t="s">
        <v>2346</v>
      </c>
      <c r="D5" s="3025"/>
      <c r="E5" s="3022" t="s">
        <v>2347</v>
      </c>
      <c r="F5" s="3023"/>
      <c r="G5" s="3024" t="s">
        <v>2348</v>
      </c>
      <c r="H5" s="3025"/>
      <c r="I5" s="3024" t="s">
        <v>2349</v>
      </c>
      <c r="J5" s="3025"/>
      <c r="K5" s="594"/>
      <c r="L5" s="1242"/>
      <c r="M5" s="1243"/>
      <c r="N5" s="1243"/>
      <c r="O5" s="1243"/>
      <c r="P5" s="3011"/>
      <c r="Q5" s="3012"/>
      <c r="R5" s="3017"/>
      <c r="S5" s="3018"/>
      <c r="T5" s="3017"/>
      <c r="U5" s="3018"/>
      <c r="V5" s="3021"/>
      <c r="W5" s="3021"/>
      <c r="X5" s="1899"/>
      <c r="Y5" s="3017"/>
      <c r="Z5" s="3018"/>
      <c r="AA5" s="3003"/>
      <c r="AB5" s="3021"/>
      <c r="AC5" s="3003"/>
    </row>
    <row r="6" spans="1:29" ht="15" thickBot="1">
      <c r="A6" s="385"/>
      <c r="B6" s="386"/>
      <c r="C6" s="3026" t="s">
        <v>2350</v>
      </c>
      <c r="D6" s="3027"/>
      <c r="E6" s="3028" t="s">
        <v>2350</v>
      </c>
      <c r="F6" s="3029"/>
      <c r="G6" s="3026" t="s">
        <v>2350</v>
      </c>
      <c r="H6" s="3027"/>
      <c r="I6" s="3026" t="s">
        <v>2350</v>
      </c>
      <c r="J6" s="3027"/>
      <c r="K6" s="594" t="s">
        <v>2351</v>
      </c>
      <c r="L6" s="1242"/>
      <c r="M6" s="1243"/>
      <c r="N6" s="1243"/>
      <c r="O6" s="1243"/>
      <c r="P6" s="3013"/>
      <c r="Q6" s="3014"/>
      <c r="R6" s="3017"/>
      <c r="S6" s="3018"/>
      <c r="T6" s="3019"/>
      <c r="U6" s="3020"/>
      <c r="V6" s="3021"/>
      <c r="W6" s="3021"/>
      <c r="X6" s="1899"/>
      <c r="Y6" s="3019"/>
      <c r="Z6" s="3020"/>
      <c r="AA6" s="3004"/>
      <c r="AB6" s="3021"/>
      <c r="AC6" s="3004"/>
    </row>
    <row r="7" spans="1:29" s="35" customFormat="1" ht="15" thickBot="1">
      <c r="A7" s="387" t="s">
        <v>2352</v>
      </c>
      <c r="B7" s="388"/>
      <c r="C7" s="389">
        <f>'数据-取费表'!B2</f>
        <v>43328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7" t="s">
        <v>2353</v>
      </c>
      <c r="Q7" s="3039"/>
      <c r="R7" s="748" t="s">
        <v>25</v>
      </c>
      <c r="S7" s="749">
        <f t="shared" ref="S7:S15" si="0">F7</f>
        <v>0</v>
      </c>
      <c r="T7" s="748" t="s">
        <v>25</v>
      </c>
      <c r="U7" s="749">
        <f t="shared" ref="U7:U15" si="1">H7</f>
        <v>0</v>
      </c>
      <c r="V7" s="748" t="s">
        <v>25</v>
      </c>
      <c r="W7" s="749">
        <f t="shared" ref="W7:W15" si="2">J7</f>
        <v>0</v>
      </c>
      <c r="X7" s="750"/>
      <c r="Y7" s="3037" t="s">
        <v>2353</v>
      </c>
      <c r="Z7" s="3038"/>
      <c r="AA7" s="751" t="e">
        <f>D7/F7</f>
        <v>#DIV/0!</v>
      </c>
      <c r="AB7" s="751" t="e">
        <f>D7/H7</f>
        <v>#DIV/0!</v>
      </c>
      <c r="AC7" s="751" t="e">
        <f>D7/J7</f>
        <v>#DIV/0!</v>
      </c>
    </row>
    <row r="8" spans="1:29" s="35" customFormat="1" ht="1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7" t="s">
        <v>2356</v>
      </c>
      <c r="Q8" s="3038"/>
      <c r="R8" s="748" t="s">
        <v>25</v>
      </c>
      <c r="S8" s="749">
        <f t="shared" si="0"/>
        <v>0</v>
      </c>
      <c r="T8" s="748" t="s">
        <v>25</v>
      </c>
      <c r="U8" s="749">
        <f t="shared" si="1"/>
        <v>0</v>
      </c>
      <c r="V8" s="748" t="s">
        <v>25</v>
      </c>
      <c r="W8" s="749">
        <f t="shared" si="2"/>
        <v>0</v>
      </c>
      <c r="X8" s="750"/>
      <c r="Y8" s="3037" t="s">
        <v>2356</v>
      </c>
      <c r="Z8" s="3038"/>
      <c r="AA8" s="751" t="e">
        <f t="shared" ref="AA8:AA46" si="3">D8/F8</f>
        <v>#DIV/0!</v>
      </c>
      <c r="AB8" s="751" t="e">
        <f t="shared" ref="AB8:AB46" si="4">D8/H8</f>
        <v>#DIV/0!</v>
      </c>
      <c r="AC8" s="751" t="e">
        <f t="shared" ref="AC8:AC46" si="5">D8/J8</f>
        <v>#DIV/0!</v>
      </c>
    </row>
    <row r="9" spans="1:29" s="35" customFormat="1" ht="14.4">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0" t="s">
        <v>2359</v>
      </c>
      <c r="Q9" s="1886" t="str">
        <f t="shared" ref="Q9:Q15" si="6">B9</f>
        <v>用途</v>
      </c>
      <c r="R9" s="748" t="s">
        <v>25</v>
      </c>
      <c r="S9" s="749">
        <f t="shared" si="0"/>
        <v>100</v>
      </c>
      <c r="T9" s="748" t="s">
        <v>25</v>
      </c>
      <c r="U9" s="749">
        <f t="shared" si="1"/>
        <v>100</v>
      </c>
      <c r="V9" s="748" t="s">
        <v>25</v>
      </c>
      <c r="W9" s="749">
        <f t="shared" si="2"/>
        <v>100</v>
      </c>
      <c r="X9" s="750"/>
      <c r="Y9" s="2853" t="s">
        <v>2360</v>
      </c>
      <c r="Z9" s="23" t="str">
        <f t="shared" ref="Z9:Z15" si="7">Q9</f>
        <v>用途</v>
      </c>
      <c r="AA9" s="751">
        <f t="shared" si="3"/>
        <v>1</v>
      </c>
      <c r="AB9" s="751">
        <f t="shared" si="4"/>
        <v>1</v>
      </c>
      <c r="AC9" s="751">
        <f t="shared" si="5"/>
        <v>1</v>
      </c>
    </row>
    <row r="10" spans="1:29" s="407" customFormat="1" ht="28.8">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0"/>
      <c r="Q10" s="1886"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0"/>
      <c r="Q11" s="1886" t="str">
        <f t="shared" si="6"/>
        <v>容积率</v>
      </c>
      <c r="R11" s="748" t="s">
        <v>25</v>
      </c>
      <c r="S11" s="749" t="e">
        <f t="shared" si="0"/>
        <v>#N/A</v>
      </c>
      <c r="T11" s="748" t="s">
        <v>25</v>
      </c>
      <c r="U11" s="749" t="e">
        <f t="shared" si="1"/>
        <v>#N/A</v>
      </c>
      <c r="V11" s="748" t="s">
        <v>25</v>
      </c>
      <c r="W11" s="749" t="e">
        <f t="shared" si="2"/>
        <v>#N/A</v>
      </c>
      <c r="X11" s="750"/>
      <c r="Y11" s="2853"/>
      <c r="Z11" s="23" t="str">
        <f t="shared" si="7"/>
        <v>容积率</v>
      </c>
      <c r="AA11" s="751" t="e">
        <f t="shared" si="3"/>
        <v>#N/A</v>
      </c>
      <c r="AB11" s="751" t="e">
        <f t="shared" si="4"/>
        <v>#N/A</v>
      </c>
      <c r="AC11" s="751"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0"/>
      <c r="Q12" s="1886">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0"/>
      <c r="Q13" s="1886">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15.6"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0"/>
      <c r="Q14" s="1886">
        <f t="shared" si="6"/>
        <v>111</v>
      </c>
      <c r="R14" s="748" t="s">
        <v>25</v>
      </c>
      <c r="S14" s="749">
        <f t="shared" si="0"/>
        <v>100</v>
      </c>
      <c r="T14" s="748" t="s">
        <v>25</v>
      </c>
      <c r="U14" s="749">
        <f t="shared" si="1"/>
        <v>100</v>
      </c>
      <c r="V14" s="748" t="s">
        <v>25</v>
      </c>
      <c r="W14" s="749">
        <f t="shared" si="2"/>
        <v>100</v>
      </c>
      <c r="X14" s="750"/>
      <c r="Y14" s="2853"/>
      <c r="Z14" s="23">
        <f t="shared" si="7"/>
        <v>111</v>
      </c>
      <c r="AA14" s="751">
        <f t="shared" si="3"/>
        <v>1</v>
      </c>
      <c r="AB14" s="751">
        <f t="shared" si="4"/>
        <v>1</v>
      </c>
      <c r="AC14" s="751">
        <f t="shared" si="5"/>
        <v>1</v>
      </c>
    </row>
    <row r="15" spans="1:29" ht="82.8">
      <c r="A15" s="419" t="s">
        <v>2363</v>
      </c>
      <c r="B15" s="26" t="s">
        <v>2449</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43" t="s">
        <v>2364</v>
      </c>
      <c r="Q15" s="1898" t="str">
        <f t="shared" si="6"/>
        <v>商业繁华度</v>
      </c>
      <c r="R15" s="752" t="s">
        <v>25</v>
      </c>
      <c r="S15" s="753">
        <f t="shared" si="0"/>
        <v>100</v>
      </c>
      <c r="T15" s="752" t="s">
        <v>25</v>
      </c>
      <c r="U15" s="753">
        <f t="shared" si="1"/>
        <v>100</v>
      </c>
      <c r="V15" s="752" t="s">
        <v>25</v>
      </c>
      <c r="W15" s="753">
        <f t="shared" si="2"/>
        <v>100</v>
      </c>
      <c r="X15" s="1899"/>
      <c r="Y15" s="3030"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44"/>
      <c r="Q16" s="1898"/>
      <c r="R16" s="752"/>
      <c r="S16" s="753"/>
      <c r="T16" s="752"/>
      <c r="U16" s="753"/>
      <c r="V16" s="752"/>
      <c r="W16" s="753"/>
      <c r="X16" s="1899"/>
      <c r="Y16" s="3031"/>
      <c r="Z16" s="1901"/>
      <c r="AA16" s="1902">
        <v>1</v>
      </c>
      <c r="AB16" s="1902">
        <v>1</v>
      </c>
      <c r="AC16" s="1902">
        <v>1</v>
      </c>
    </row>
    <row r="17" spans="1:29" ht="96.6">
      <c r="A17" s="408"/>
      <c r="B17" s="431" t="s">
        <v>1750</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44"/>
      <c r="Q17" s="1898" t="str">
        <f>B17</f>
        <v>交通便捷度</v>
      </c>
      <c r="R17" s="752" t="s">
        <v>25</v>
      </c>
      <c r="S17" s="753">
        <f>F17</f>
        <v>100</v>
      </c>
      <c r="T17" s="752" t="s">
        <v>25</v>
      </c>
      <c r="U17" s="753">
        <f>H17</f>
        <v>100</v>
      </c>
      <c r="V17" s="752" t="s">
        <v>25</v>
      </c>
      <c r="W17" s="753">
        <f>J17</f>
        <v>100</v>
      </c>
      <c r="X17" s="1899"/>
      <c r="Y17" s="3031"/>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43"/>
      <c r="P18" s="3044"/>
      <c r="Q18" s="1898"/>
      <c r="R18" s="752"/>
      <c r="S18" s="753"/>
      <c r="T18" s="752"/>
      <c r="U18" s="753"/>
      <c r="V18" s="752"/>
      <c r="W18" s="753"/>
      <c r="X18" s="1899"/>
      <c r="Y18" s="3031"/>
      <c r="Z18" s="1901"/>
      <c r="AA18" s="1902">
        <v>1</v>
      </c>
      <c r="AB18" s="1902">
        <v>1</v>
      </c>
      <c r="AC18" s="1902">
        <v>1</v>
      </c>
    </row>
    <row r="19" spans="1:29" ht="41.4">
      <c r="A19" s="408"/>
      <c r="B19" s="431" t="s">
        <v>2450</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44"/>
      <c r="Q19" s="1898" t="str">
        <f>B19</f>
        <v>公共配套设施</v>
      </c>
      <c r="R19" s="752" t="s">
        <v>25</v>
      </c>
      <c r="S19" s="753">
        <f>F19</f>
        <v>100</v>
      </c>
      <c r="T19" s="752" t="s">
        <v>25</v>
      </c>
      <c r="U19" s="753">
        <f>H19</f>
        <v>100</v>
      </c>
      <c r="V19" s="752" t="s">
        <v>25</v>
      </c>
      <c r="W19" s="753">
        <f>J19</f>
        <v>100</v>
      </c>
      <c r="X19" s="1899"/>
      <c r="Y19" s="3031"/>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599"/>
      <c r="L20" s="1252"/>
      <c r="M20" s="1243"/>
      <c r="N20" s="1243"/>
      <c r="O20" s="1243"/>
      <c r="P20" s="3044"/>
      <c r="Q20" s="1898"/>
      <c r="R20" s="752"/>
      <c r="S20" s="753"/>
      <c r="T20" s="752"/>
      <c r="U20" s="753"/>
      <c r="V20" s="752"/>
      <c r="W20" s="753"/>
      <c r="X20" s="1899"/>
      <c r="Y20" s="3031"/>
      <c r="Z20" s="1901"/>
      <c r="AA20" s="1902">
        <v>1</v>
      </c>
      <c r="AB20" s="1902">
        <v>1</v>
      </c>
      <c r="AC20" s="1902">
        <v>1</v>
      </c>
    </row>
    <row r="21" spans="1:29" ht="41.4">
      <c r="A21" s="408"/>
      <c r="B21" s="2408" t="s">
        <v>2451</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44"/>
      <c r="Q21" s="1898" t="str">
        <f>B21</f>
        <v>基础设施水平</v>
      </c>
      <c r="R21" s="752" t="s">
        <v>25</v>
      </c>
      <c r="S21" s="753">
        <f>F21</f>
        <v>100</v>
      </c>
      <c r="T21" s="752" t="s">
        <v>25</v>
      </c>
      <c r="U21" s="753">
        <f>H21</f>
        <v>100</v>
      </c>
      <c r="V21" s="752" t="s">
        <v>25</v>
      </c>
      <c r="W21" s="753">
        <f>J21</f>
        <v>100</v>
      </c>
      <c r="X21" s="1899"/>
      <c r="Y21" s="3031"/>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43"/>
      <c r="P22" s="3044"/>
      <c r="Q22" s="1898"/>
      <c r="R22" s="752"/>
      <c r="S22" s="753"/>
      <c r="T22" s="752"/>
      <c r="U22" s="753"/>
      <c r="V22" s="752"/>
      <c r="W22" s="753"/>
      <c r="X22" s="1899"/>
      <c r="Y22" s="3031"/>
      <c r="Z22" s="1901"/>
      <c r="AA22" s="1902">
        <v>1</v>
      </c>
      <c r="AB22" s="1902">
        <v>1</v>
      </c>
      <c r="AC22" s="1902">
        <v>1</v>
      </c>
    </row>
    <row r="23" spans="1:29" ht="55.2">
      <c r="A23" s="408"/>
      <c r="B23" s="431" t="s">
        <v>1755</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44"/>
      <c r="Q23" s="1898" t="str">
        <f>B23</f>
        <v>自然及人文环境</v>
      </c>
      <c r="R23" s="752" t="s">
        <v>25</v>
      </c>
      <c r="S23" s="753">
        <f>F23</f>
        <v>100</v>
      </c>
      <c r="T23" s="752" t="s">
        <v>25</v>
      </c>
      <c r="U23" s="753">
        <f>H23</f>
        <v>100</v>
      </c>
      <c r="V23" s="752" t="s">
        <v>25</v>
      </c>
      <c r="W23" s="753">
        <f>J23</f>
        <v>100</v>
      </c>
      <c r="X23" s="1899"/>
      <c r="Y23" s="3031"/>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599"/>
      <c r="L24" s="1252"/>
      <c r="M24" s="1243"/>
      <c r="N24" s="1243"/>
      <c r="O24" s="1243"/>
      <c r="P24" s="3044"/>
      <c r="Q24" s="1898"/>
      <c r="R24" s="752"/>
      <c r="S24" s="753"/>
      <c r="T24" s="752"/>
      <c r="U24" s="753"/>
      <c r="V24" s="752"/>
      <c r="W24" s="753"/>
      <c r="X24" s="1899"/>
      <c r="Y24" s="3031"/>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44"/>
      <c r="Q25" s="1898" t="str">
        <f t="shared" ref="Q25:Q46" si="11">B25</f>
        <v>临街状况</v>
      </c>
      <c r="R25" s="752" t="s">
        <v>25</v>
      </c>
      <c r="S25" s="753">
        <f>F25</f>
        <v>100</v>
      </c>
      <c r="T25" s="752" t="s">
        <v>25</v>
      </c>
      <c r="U25" s="753">
        <f>H25</f>
        <v>100</v>
      </c>
      <c r="V25" s="752" t="s">
        <v>25</v>
      </c>
      <c r="W25" s="753">
        <f>J25</f>
        <v>100</v>
      </c>
      <c r="X25" s="1899"/>
      <c r="Y25" s="3031"/>
      <c r="Z25" s="1901" t="str">
        <f>Q25</f>
        <v>临街状况</v>
      </c>
      <c r="AA25" s="1902">
        <f t="shared" si="3"/>
        <v>1</v>
      </c>
      <c r="AB25" s="1902">
        <f t="shared" si="4"/>
        <v>1</v>
      </c>
      <c r="AC25" s="1902">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44"/>
      <c r="Q26" s="1898" t="str">
        <f t="shared" si="11"/>
        <v>平面位置/可视性</v>
      </c>
      <c r="R26" s="752" t="s">
        <v>25</v>
      </c>
      <c r="S26" s="753">
        <f>F26</f>
        <v>100</v>
      </c>
      <c r="T26" s="752" t="s">
        <v>25</v>
      </c>
      <c r="U26" s="753">
        <f>H26</f>
        <v>100</v>
      </c>
      <c r="V26" s="752" t="s">
        <v>25</v>
      </c>
      <c r="W26" s="753">
        <f>J26</f>
        <v>100</v>
      </c>
      <c r="X26" s="1899"/>
      <c r="Y26" s="3031"/>
      <c r="Z26" s="1901" t="str">
        <f>Q26</f>
        <v>平面位置/可视性</v>
      </c>
      <c r="AA26" s="1902">
        <f t="shared" si="3"/>
        <v>1</v>
      </c>
      <c r="AB26" s="1902">
        <f t="shared" si="4"/>
        <v>1</v>
      </c>
      <c r="AC26" s="1902">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44"/>
      <c r="Q27" s="1886" t="str">
        <f t="shared" si="11"/>
        <v>人流量</v>
      </c>
      <c r="R27" s="748" t="s">
        <v>25</v>
      </c>
      <c r="S27" s="749">
        <f>F27</f>
        <v>100</v>
      </c>
      <c r="T27" s="748" t="s">
        <v>25</v>
      </c>
      <c r="U27" s="749">
        <f>H27</f>
        <v>100</v>
      </c>
      <c r="V27" s="748" t="s">
        <v>25</v>
      </c>
      <c r="W27" s="749">
        <f>J27</f>
        <v>100</v>
      </c>
      <c r="X27" s="750"/>
      <c r="Y27" s="3031"/>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44"/>
      <c r="Q28" s="1898" t="str">
        <f t="shared" si="11"/>
        <v>楼层</v>
      </c>
      <c r="R28" s="752" t="s">
        <v>25</v>
      </c>
      <c r="S28" s="753">
        <f t="shared" ref="S28:S46" si="12">F28</f>
        <v>100</v>
      </c>
      <c r="T28" s="752" t="s">
        <v>25</v>
      </c>
      <c r="U28" s="753">
        <f t="shared" ref="U28:U46" si="13">H28</f>
        <v>100</v>
      </c>
      <c r="V28" s="752" t="s">
        <v>25</v>
      </c>
      <c r="W28" s="753">
        <f t="shared" ref="W28:W46" si="14">J28</f>
        <v>100</v>
      </c>
      <c r="X28" s="1899"/>
      <c r="Y28" s="3031"/>
      <c r="Z28" s="1901" t="str">
        <f t="shared" ref="Z28:Z46" si="15">Q28</f>
        <v>楼层</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44"/>
      <c r="Q29" s="1898">
        <f t="shared" si="11"/>
        <v>111</v>
      </c>
      <c r="R29" s="752" t="s">
        <v>25</v>
      </c>
      <c r="S29" s="753">
        <f t="shared" si="12"/>
        <v>100</v>
      </c>
      <c r="T29" s="752" t="s">
        <v>25</v>
      </c>
      <c r="U29" s="753">
        <f t="shared" si="13"/>
        <v>100</v>
      </c>
      <c r="V29" s="752" t="s">
        <v>25</v>
      </c>
      <c r="W29" s="753">
        <f t="shared" si="14"/>
        <v>100</v>
      </c>
      <c r="X29" s="1899"/>
      <c r="Y29" s="3031"/>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44"/>
      <c r="Q30" s="1898">
        <f t="shared" si="11"/>
        <v>111</v>
      </c>
      <c r="R30" s="752" t="s">
        <v>25</v>
      </c>
      <c r="S30" s="753">
        <f t="shared" si="12"/>
        <v>100</v>
      </c>
      <c r="T30" s="752" t="s">
        <v>25</v>
      </c>
      <c r="U30" s="753">
        <f t="shared" si="13"/>
        <v>100</v>
      </c>
      <c r="V30" s="752" t="s">
        <v>25</v>
      </c>
      <c r="W30" s="753">
        <f t="shared" si="14"/>
        <v>100</v>
      </c>
      <c r="X30" s="1899"/>
      <c r="Y30" s="3031"/>
      <c r="Z30" s="1901">
        <f t="shared" si="15"/>
        <v>111</v>
      </c>
      <c r="AA30" s="1902">
        <f t="shared" si="3"/>
        <v>1</v>
      </c>
      <c r="AB30" s="1902">
        <f t="shared" si="4"/>
        <v>1</v>
      </c>
      <c r="AC30" s="1902">
        <f t="shared" si="5"/>
        <v>1</v>
      </c>
    </row>
    <row r="31" spans="1:29" ht="15.6"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44"/>
      <c r="Q31" s="1898">
        <f t="shared" si="11"/>
        <v>111</v>
      </c>
      <c r="R31" s="752" t="s">
        <v>25</v>
      </c>
      <c r="S31" s="753">
        <f t="shared" si="12"/>
        <v>100</v>
      </c>
      <c r="T31" s="752" t="s">
        <v>25</v>
      </c>
      <c r="U31" s="753">
        <f t="shared" si="13"/>
        <v>100</v>
      </c>
      <c r="V31" s="752" t="s">
        <v>25</v>
      </c>
      <c r="W31" s="753">
        <f t="shared" si="14"/>
        <v>100</v>
      </c>
      <c r="X31" s="1899"/>
      <c r="Y31" s="3031"/>
      <c r="Z31" s="1901">
        <f t="shared" si="15"/>
        <v>111</v>
      </c>
      <c r="AA31" s="1902">
        <f t="shared" si="3"/>
        <v>1</v>
      </c>
      <c r="AB31" s="1902">
        <f t="shared" si="4"/>
        <v>1</v>
      </c>
      <c r="AC31" s="1902">
        <f t="shared" si="5"/>
        <v>1</v>
      </c>
    </row>
    <row r="32" spans="1:29" ht="15">
      <c r="A32" s="419" t="s">
        <v>2368</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32" t="s">
        <v>2370</v>
      </c>
      <c r="Q32" s="1898" t="str">
        <f t="shared" si="11"/>
        <v>商业类型</v>
      </c>
      <c r="R32" s="752" t="s">
        <v>25</v>
      </c>
      <c r="S32" s="753">
        <f t="shared" si="12"/>
        <v>100</v>
      </c>
      <c r="T32" s="752" t="s">
        <v>25</v>
      </c>
      <c r="U32" s="753">
        <f t="shared" si="13"/>
        <v>100</v>
      </c>
      <c r="V32" s="752" t="s">
        <v>25</v>
      </c>
      <c r="W32" s="753">
        <f t="shared" si="14"/>
        <v>100</v>
      </c>
      <c r="X32" s="1899"/>
      <c r="Y32" s="3035"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33"/>
      <c r="Q33" s="754" t="str">
        <f t="shared" si="11"/>
        <v>项目建筑规模</v>
      </c>
      <c r="R33" s="755" t="s">
        <v>25</v>
      </c>
      <c r="S33" s="756" t="e">
        <f t="shared" si="12"/>
        <v>#N/A</v>
      </c>
      <c r="T33" s="755" t="s">
        <v>25</v>
      </c>
      <c r="U33" s="756" t="e">
        <f t="shared" si="13"/>
        <v>#N/A</v>
      </c>
      <c r="V33" s="755" t="s">
        <v>25</v>
      </c>
      <c r="W33" s="756" t="e">
        <f t="shared" si="14"/>
        <v>#N/A</v>
      </c>
      <c r="X33" s="757"/>
      <c r="Y33" s="3035"/>
      <c r="Z33" s="758" t="str">
        <f t="shared" si="15"/>
        <v>项目建筑规模</v>
      </c>
      <c r="AA33" s="1902" t="e">
        <f t="shared" si="3"/>
        <v>#N/A</v>
      </c>
      <c r="AB33" s="1902" t="e">
        <f t="shared" si="4"/>
        <v>#N/A</v>
      </c>
      <c r="AC33" s="1902" t="e">
        <f t="shared" si="5"/>
        <v>#N/A</v>
      </c>
    </row>
    <row r="34" spans="1:29" ht="15">
      <c r="A34" s="453"/>
      <c r="B34" s="402" t="s">
        <v>2372</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33"/>
      <c r="Q34" s="1898" t="str">
        <f t="shared" si="11"/>
        <v>建筑结构</v>
      </c>
      <c r="R34" s="752" t="s">
        <v>25</v>
      </c>
      <c r="S34" s="753">
        <f t="shared" si="12"/>
        <v>100</v>
      </c>
      <c r="T34" s="752" t="s">
        <v>25</v>
      </c>
      <c r="U34" s="753">
        <f t="shared" si="13"/>
        <v>100</v>
      </c>
      <c r="V34" s="752" t="s">
        <v>25</v>
      </c>
      <c r="W34" s="753">
        <f t="shared" si="14"/>
        <v>100</v>
      </c>
      <c r="X34" s="1899"/>
      <c r="Y34" s="3035"/>
      <c r="Z34" s="1901" t="str">
        <f t="shared" si="15"/>
        <v>建筑结构</v>
      </c>
      <c r="AA34" s="1902">
        <f t="shared" si="3"/>
        <v>1</v>
      </c>
      <c r="AB34" s="1902">
        <f t="shared" si="4"/>
        <v>1</v>
      </c>
      <c r="AC34" s="1902">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33"/>
      <c r="Q35" s="1898" t="str">
        <f t="shared" si="11"/>
        <v>公共部分装修</v>
      </c>
      <c r="R35" s="752" t="s">
        <v>25</v>
      </c>
      <c r="S35" s="753">
        <f t="shared" si="12"/>
        <v>100</v>
      </c>
      <c r="T35" s="752" t="s">
        <v>25</v>
      </c>
      <c r="U35" s="753">
        <f t="shared" si="13"/>
        <v>100</v>
      </c>
      <c r="V35" s="752" t="s">
        <v>25</v>
      </c>
      <c r="W35" s="753">
        <f t="shared" si="14"/>
        <v>100</v>
      </c>
      <c r="X35" s="1899"/>
      <c r="Y35" s="3035"/>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33"/>
      <c r="Q36" s="1898" t="str">
        <f t="shared" si="11"/>
        <v>成新度</v>
      </c>
      <c r="R36" s="752" t="s">
        <v>25</v>
      </c>
      <c r="S36" s="753" t="e">
        <f t="shared" si="12"/>
        <v>#N/A</v>
      </c>
      <c r="T36" s="752" t="s">
        <v>25</v>
      </c>
      <c r="U36" s="753" t="e">
        <f t="shared" si="13"/>
        <v>#N/A</v>
      </c>
      <c r="V36" s="752" t="s">
        <v>25</v>
      </c>
      <c r="W36" s="753" t="e">
        <f t="shared" si="14"/>
        <v>#N/A</v>
      </c>
      <c r="X36" s="1899"/>
      <c r="Y36" s="3035"/>
      <c r="Z36" s="1901" t="str">
        <f t="shared" si="15"/>
        <v>成新度</v>
      </c>
      <c r="AA36" s="1902" t="e">
        <f t="shared" si="3"/>
        <v>#N/A</v>
      </c>
      <c r="AB36" s="1902" t="e">
        <f t="shared" si="4"/>
        <v>#N/A</v>
      </c>
      <c r="AC36" s="1902"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33"/>
      <c r="Q37" s="1886" t="str">
        <f t="shared" si="11"/>
        <v>市政基础设施</v>
      </c>
      <c r="R37" s="748" t="s">
        <v>25</v>
      </c>
      <c r="S37" s="749">
        <f t="shared" si="12"/>
        <v>100</v>
      </c>
      <c r="T37" s="748" t="s">
        <v>25</v>
      </c>
      <c r="U37" s="749">
        <f t="shared" si="13"/>
        <v>100</v>
      </c>
      <c r="V37" s="748" t="s">
        <v>25</v>
      </c>
      <c r="W37" s="749">
        <f t="shared" si="14"/>
        <v>100</v>
      </c>
      <c r="X37" s="750"/>
      <c r="Y37" s="3035"/>
      <c r="Z37" s="23" t="str">
        <f t="shared" si="15"/>
        <v>市政基础设施</v>
      </c>
      <c r="AA37" s="751">
        <f t="shared" si="3"/>
        <v>1</v>
      </c>
      <c r="AB37" s="751">
        <f t="shared" si="4"/>
        <v>1</v>
      </c>
      <c r="AC37" s="751">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33" t="s">
        <v>2370</v>
      </c>
      <c r="Q38" s="1898" t="str">
        <f t="shared" si="11"/>
        <v>业态</v>
      </c>
      <c r="R38" s="752" t="s">
        <v>25</v>
      </c>
      <c r="S38" s="753">
        <f t="shared" si="12"/>
        <v>100</v>
      </c>
      <c r="T38" s="752" t="s">
        <v>25</v>
      </c>
      <c r="U38" s="753">
        <f t="shared" si="13"/>
        <v>100</v>
      </c>
      <c r="V38" s="752" t="s">
        <v>25</v>
      </c>
      <c r="W38" s="753">
        <f t="shared" si="14"/>
        <v>100</v>
      </c>
      <c r="X38" s="1899"/>
      <c r="Y38" s="3035" t="s">
        <v>2370</v>
      </c>
      <c r="Z38" s="1901" t="str">
        <f t="shared" si="15"/>
        <v>业态</v>
      </c>
      <c r="AA38" s="1902">
        <f t="shared" si="3"/>
        <v>1</v>
      </c>
      <c r="AB38" s="1902">
        <f t="shared" si="4"/>
        <v>1</v>
      </c>
      <c r="AC38" s="1902">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33"/>
      <c r="Q39" s="1898" t="str">
        <f t="shared" si="11"/>
        <v>层高</v>
      </c>
      <c r="R39" s="752" t="s">
        <v>25</v>
      </c>
      <c r="S39" s="753">
        <f t="shared" si="12"/>
        <v>100</v>
      </c>
      <c r="T39" s="752" t="s">
        <v>25</v>
      </c>
      <c r="U39" s="753">
        <f t="shared" si="13"/>
        <v>100</v>
      </c>
      <c r="V39" s="752" t="s">
        <v>25</v>
      </c>
      <c r="W39" s="753">
        <f t="shared" si="14"/>
        <v>100</v>
      </c>
      <c r="X39" s="1899"/>
      <c r="Y39" s="3035"/>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33"/>
      <c r="Q40" s="1898" t="str">
        <f t="shared" si="11"/>
        <v>单套建筑面积</v>
      </c>
      <c r="R40" s="752" t="s">
        <v>25</v>
      </c>
      <c r="S40" s="753">
        <f t="shared" si="12"/>
        <v>100</v>
      </c>
      <c r="T40" s="752" t="s">
        <v>25</v>
      </c>
      <c r="U40" s="753">
        <f t="shared" si="13"/>
        <v>100</v>
      </c>
      <c r="V40" s="752" t="s">
        <v>25</v>
      </c>
      <c r="W40" s="753">
        <f t="shared" si="14"/>
        <v>100</v>
      </c>
      <c r="X40" s="1899"/>
      <c r="Y40" s="3035"/>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33"/>
      <c r="Q41" s="754" t="str">
        <f t="shared" si="11"/>
        <v>进深比</v>
      </c>
      <c r="R41" s="755" t="s">
        <v>25</v>
      </c>
      <c r="S41" s="756">
        <f t="shared" si="12"/>
        <v>100</v>
      </c>
      <c r="T41" s="755" t="s">
        <v>25</v>
      </c>
      <c r="U41" s="756">
        <f t="shared" si="13"/>
        <v>100</v>
      </c>
      <c r="V41" s="755" t="s">
        <v>25</v>
      </c>
      <c r="W41" s="756">
        <f t="shared" si="14"/>
        <v>100</v>
      </c>
      <c r="X41" s="757"/>
      <c r="Y41" s="3035"/>
      <c r="Z41" s="758" t="str">
        <f t="shared" si="15"/>
        <v>进深比</v>
      </c>
      <c r="AA41" s="1902">
        <f t="shared" si="3"/>
        <v>1</v>
      </c>
      <c r="AB41" s="1902">
        <f t="shared" si="4"/>
        <v>1</v>
      </c>
      <c r="AC41" s="1902">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33"/>
      <c r="Q42" s="1898" t="str">
        <f t="shared" si="11"/>
        <v>内部装修</v>
      </c>
      <c r="R42" s="752" t="s">
        <v>25</v>
      </c>
      <c r="S42" s="753">
        <f t="shared" si="12"/>
        <v>100</v>
      </c>
      <c r="T42" s="752" t="s">
        <v>25</v>
      </c>
      <c r="U42" s="753">
        <f t="shared" si="13"/>
        <v>100</v>
      </c>
      <c r="V42" s="752" t="s">
        <v>25</v>
      </c>
      <c r="W42" s="753">
        <f t="shared" si="14"/>
        <v>100</v>
      </c>
      <c r="X42" s="1899"/>
      <c r="Y42" s="3035"/>
      <c r="Z42" s="1901" t="str">
        <f t="shared" si="15"/>
        <v>内部装修</v>
      </c>
      <c r="AA42" s="1902">
        <f t="shared" si="3"/>
        <v>1</v>
      </c>
      <c r="AB42" s="1902">
        <f t="shared" si="4"/>
        <v>1</v>
      </c>
      <c r="AC42" s="1902">
        <f t="shared" si="5"/>
        <v>1</v>
      </c>
    </row>
    <row r="43" spans="1:29" ht="28.8">
      <c r="A43" s="453"/>
      <c r="B43" s="402" t="s">
        <v>2381</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33"/>
      <c r="Q43" s="1898" t="str">
        <f t="shared" si="11"/>
        <v>内部装修维护情况</v>
      </c>
      <c r="R43" s="752" t="s">
        <v>25</v>
      </c>
      <c r="S43" s="753">
        <f t="shared" si="12"/>
        <v>100</v>
      </c>
      <c r="T43" s="752" t="s">
        <v>25</v>
      </c>
      <c r="U43" s="753">
        <f t="shared" si="13"/>
        <v>100</v>
      </c>
      <c r="V43" s="752" t="s">
        <v>25</v>
      </c>
      <c r="W43" s="753">
        <f t="shared" si="14"/>
        <v>100</v>
      </c>
      <c r="X43" s="1899"/>
      <c r="Y43" s="3035"/>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33"/>
      <c r="Q44" s="1886">
        <f t="shared" si="11"/>
        <v>111</v>
      </c>
      <c r="R44" s="748" t="s">
        <v>25</v>
      </c>
      <c r="S44" s="749">
        <f t="shared" si="12"/>
        <v>100</v>
      </c>
      <c r="T44" s="748" t="s">
        <v>25</v>
      </c>
      <c r="U44" s="749">
        <f t="shared" si="13"/>
        <v>100</v>
      </c>
      <c r="V44" s="748" t="s">
        <v>25</v>
      </c>
      <c r="W44" s="749">
        <f t="shared" si="14"/>
        <v>100</v>
      </c>
      <c r="X44" s="750"/>
      <c r="Y44" s="3035"/>
      <c r="Z44" s="23">
        <f t="shared" si="15"/>
        <v>111</v>
      </c>
      <c r="AA44" s="751">
        <f t="shared" si="3"/>
        <v>1</v>
      </c>
      <c r="AB44" s="751">
        <f t="shared" si="4"/>
        <v>1</v>
      </c>
      <c r="AC44" s="751">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33"/>
      <c r="Q45" s="1898">
        <f t="shared" si="11"/>
        <v>111</v>
      </c>
      <c r="R45" s="752" t="s">
        <v>25</v>
      </c>
      <c r="S45" s="753">
        <f t="shared" si="12"/>
        <v>100</v>
      </c>
      <c r="T45" s="752" t="s">
        <v>25</v>
      </c>
      <c r="U45" s="753">
        <f t="shared" si="13"/>
        <v>100</v>
      </c>
      <c r="V45" s="752" t="s">
        <v>25</v>
      </c>
      <c r="W45" s="753">
        <f t="shared" si="14"/>
        <v>100</v>
      </c>
      <c r="X45" s="1899"/>
      <c r="Y45" s="3035"/>
      <c r="Z45" s="1901">
        <f t="shared" si="15"/>
        <v>111</v>
      </c>
      <c r="AA45" s="1902">
        <f t="shared" si="3"/>
        <v>1</v>
      </c>
      <c r="AB45" s="1902">
        <f t="shared" si="4"/>
        <v>1</v>
      </c>
      <c r="AC45" s="1902">
        <f t="shared" si="5"/>
        <v>1</v>
      </c>
    </row>
    <row r="46" spans="1:29" ht="15.6"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34"/>
      <c r="Q46" s="1898">
        <f t="shared" si="11"/>
        <v>111</v>
      </c>
      <c r="R46" s="752" t="s">
        <v>25</v>
      </c>
      <c r="S46" s="753">
        <f t="shared" si="12"/>
        <v>100</v>
      </c>
      <c r="T46" s="752" t="s">
        <v>25</v>
      </c>
      <c r="U46" s="753">
        <f t="shared" si="13"/>
        <v>100</v>
      </c>
      <c r="V46" s="752" t="s">
        <v>25</v>
      </c>
      <c r="W46" s="753">
        <f t="shared" si="14"/>
        <v>100</v>
      </c>
      <c r="X46" s="1899"/>
      <c r="Y46" s="3036"/>
      <c r="Z46" s="1901">
        <f t="shared" si="15"/>
        <v>111</v>
      </c>
      <c r="AA46" s="1902">
        <f t="shared" si="3"/>
        <v>1</v>
      </c>
      <c r="AB46" s="1902">
        <f t="shared" si="4"/>
        <v>1</v>
      </c>
      <c r="AC46" s="1902">
        <f t="shared" si="5"/>
        <v>1</v>
      </c>
    </row>
    <row r="47" spans="1:29" ht="14.4">
      <c r="A47" s="460" t="s">
        <v>2382</v>
      </c>
      <c r="B47" s="461"/>
      <c r="C47" s="1501" t="s">
        <v>1</v>
      </c>
      <c r="D47" s="1502"/>
      <c r="E47" s="1503"/>
      <c r="F47" s="1504"/>
      <c r="G47" s="1505"/>
      <c r="H47" s="1506"/>
      <c r="I47" s="1503"/>
      <c r="J47" s="1506"/>
      <c r="K47" s="761"/>
      <c r="L47" s="1255"/>
      <c r="M47" s="1256"/>
      <c r="N47" s="1243"/>
      <c r="O47" s="1256"/>
      <c r="P47" s="3041" t="str">
        <f>A47</f>
        <v>成交单价（元/平方米）</v>
      </c>
      <c r="Q47" s="3041"/>
      <c r="R47" s="3042">
        <f>E47</f>
        <v>0</v>
      </c>
      <c r="S47" s="3042"/>
      <c r="T47" s="3042">
        <f>G47</f>
        <v>0</v>
      </c>
      <c r="U47" s="3042"/>
      <c r="V47" s="3042">
        <f>I47</f>
        <v>0</v>
      </c>
      <c r="W47" s="3042"/>
      <c r="X47" s="737"/>
      <c r="Y47" s="759"/>
      <c r="Z47" s="737"/>
      <c r="AA47" s="737"/>
      <c r="AB47" s="737"/>
      <c r="AC47" s="737"/>
    </row>
    <row r="48" spans="1:29" ht="15" thickBot="1">
      <c r="A48" s="467" t="s">
        <v>2465</v>
      </c>
      <c r="B48" s="468"/>
      <c r="C48" s="1507" t="e">
        <f>R49</f>
        <v>#DIV/0!</v>
      </c>
      <c r="D48" s="1508"/>
      <c r="E48" s="1509" t="e">
        <f>R48</f>
        <v>#DIV/0!</v>
      </c>
      <c r="F48" s="1509"/>
      <c r="G48" s="1507" t="e">
        <f>T48</f>
        <v>#DIV/0!</v>
      </c>
      <c r="H48" s="1508"/>
      <c r="I48" s="1509" t="e">
        <f>V48</f>
        <v>#DIV/0!</v>
      </c>
      <c r="J48" s="1508"/>
      <c r="K48" s="762"/>
      <c r="L48" s="1255"/>
      <c r="M48" s="1256"/>
      <c r="N48" s="1243"/>
      <c r="O48" s="1256"/>
      <c r="P48" s="3041" t="str">
        <f>A48</f>
        <v>比较价值（元/平方米）</v>
      </c>
      <c r="Q48" s="3041"/>
      <c r="R48" s="3042" t="e">
        <f>IF(E1="售价",ROUND(PRODUCT(R47,AA7:AA46),0),ROUND(PRODUCT(R47,AA7:AA46),1))</f>
        <v>#DIV/0!</v>
      </c>
      <c r="S48" s="3042"/>
      <c r="T48" s="3042" t="e">
        <f>IF(E1="售价",ROUND(PRODUCT(T47,AB7:AB46),0),ROUND(PRODUCT(T47,AB7:AB46),1))</f>
        <v>#DIV/0!</v>
      </c>
      <c r="U48" s="3042"/>
      <c r="V48" s="3042" t="e">
        <f>IF(E1="售价",ROUND(PRODUCT(V47,AC7:AC46),0),ROUND(PRODUCT(V47,AC7:AC46),1))</f>
        <v>#DIV/0!</v>
      </c>
      <c r="W48" s="3042"/>
      <c r="X48" s="737"/>
      <c r="Y48" s="737"/>
      <c r="Z48" s="737"/>
      <c r="AA48" s="737"/>
      <c r="AB48" s="737"/>
      <c r="AC48" s="737"/>
    </row>
    <row r="49" spans="1:29" ht="15" thickBot="1">
      <c r="A49" s="473" t="s">
        <v>2466</v>
      </c>
      <c r="B49" s="474"/>
      <c r="C49" s="1511" t="e">
        <f>R49</f>
        <v>#DIV/0!</v>
      </c>
      <c r="D49" s="1511"/>
      <c r="E49" s="1511"/>
      <c r="F49" s="1511"/>
      <c r="G49" s="1511"/>
      <c r="H49" s="1511"/>
      <c r="I49" s="1511"/>
      <c r="J49" s="1511"/>
      <c r="K49" s="763"/>
      <c r="L49" s="1255"/>
      <c r="M49" s="1256"/>
      <c r="N49" s="1243"/>
      <c r="O49" s="1256"/>
      <c r="P49" s="3047" t="str">
        <f>A49</f>
        <v>估价对象XX用房的比较价值（楼面单价，元/平方米）</v>
      </c>
      <c r="Q49" s="3048"/>
      <c r="R49" s="3049" t="e">
        <f>IF(E1="售价",ROUND(AVERAGE(R48:V48),0),ROUND(AVERAGE(R48:V48),1))</f>
        <v>#DIV/0!</v>
      </c>
      <c r="S49" s="3049"/>
      <c r="T49" s="3049"/>
      <c r="U49" s="3049"/>
      <c r="V49" s="3049"/>
      <c r="W49" s="3049"/>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2.2" thickBot="1">
      <c r="A57" s="741" t="s">
        <v>2470</v>
      </c>
      <c r="B57" s="737"/>
      <c r="C57" s="742"/>
      <c r="D57" s="742"/>
      <c r="E57" s="742"/>
      <c r="F57" s="743"/>
      <c r="G57" s="743"/>
      <c r="H57" s="742"/>
      <c r="I57" s="742"/>
      <c r="J57" s="742"/>
      <c r="K57" s="744"/>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4.4">
      <c r="A58" s="486" t="s">
        <v>2352</v>
      </c>
      <c r="B58" s="487"/>
      <c r="C58" s="1677" t="str">
        <f>YEAR(C7)&amp;"-"&amp;MONTH(C7)</f>
        <v>2018-8</v>
      </c>
      <c r="D58" s="1678">
        <f>EDATE(C58,-1)</f>
        <v>43282</v>
      </c>
      <c r="E58" s="1678">
        <f t="shared" ref="E58:O58" si="16">EDATE(D58,-1)</f>
        <v>43252</v>
      </c>
      <c r="F58" s="1678">
        <f t="shared" si="16"/>
        <v>43221</v>
      </c>
      <c r="G58" s="1678">
        <f t="shared" si="16"/>
        <v>43191</v>
      </c>
      <c r="H58" s="1678">
        <f t="shared" si="16"/>
        <v>43160</v>
      </c>
      <c r="I58" s="1678">
        <f t="shared" si="16"/>
        <v>43132</v>
      </c>
      <c r="J58" s="1678">
        <f t="shared" si="16"/>
        <v>43101</v>
      </c>
      <c r="K58" s="1678">
        <f t="shared" si="16"/>
        <v>43070</v>
      </c>
      <c r="L58" s="1678">
        <f t="shared" si="16"/>
        <v>43040</v>
      </c>
      <c r="M58" s="1678">
        <f t="shared" si="16"/>
        <v>43009</v>
      </c>
      <c r="N58" s="1678">
        <f t="shared" si="16"/>
        <v>42979</v>
      </c>
      <c r="O58" s="1678">
        <f t="shared" si="16"/>
        <v>42948</v>
      </c>
      <c r="P58" s="2423"/>
    </row>
    <row r="59" spans="1:29" s="35" customFormat="1">
      <c r="A59" s="490"/>
      <c r="B59" s="491"/>
      <c r="C59" s="623">
        <v>100</v>
      </c>
      <c r="D59" s="493"/>
      <c r="E59" s="493"/>
      <c r="F59" s="493"/>
      <c r="G59" s="493"/>
      <c r="H59" s="493"/>
      <c r="I59" s="493"/>
      <c r="J59" s="493"/>
      <c r="K59" s="493"/>
      <c r="L59" s="493"/>
      <c r="M59" s="494"/>
      <c r="N59" s="493"/>
      <c r="O59" s="494"/>
      <c r="P59" s="2424"/>
    </row>
    <row r="60" spans="1:29" s="35" customFormat="1" ht="15" thickBot="1">
      <c r="A60" s="496" t="s">
        <v>2390</v>
      </c>
      <c r="B60" s="497"/>
      <c r="C60" s="498"/>
      <c r="D60" s="499"/>
      <c r="E60" s="499"/>
      <c r="F60" s="499"/>
      <c r="G60" s="499"/>
      <c r="H60" s="499"/>
      <c r="I60" s="499"/>
      <c r="J60" s="499"/>
      <c r="K60" s="499"/>
      <c r="L60" s="499"/>
      <c r="M60" s="500"/>
      <c r="N60" s="499"/>
      <c r="O60" s="500"/>
      <c r="P60" s="2424"/>
      <c r="Q60" s="485"/>
    </row>
    <row r="61" spans="1:29" s="35" customFormat="1" ht="14.4">
      <c r="A61" s="502" t="s">
        <v>2354</v>
      </c>
      <c r="B61" s="491"/>
      <c r="C61" s="503" t="s">
        <v>2355</v>
      </c>
      <c r="D61" s="504"/>
      <c r="E61" s="504"/>
      <c r="F61" s="504"/>
      <c r="G61" s="504"/>
      <c r="H61" s="504"/>
      <c r="I61" s="504"/>
      <c r="J61" s="504"/>
      <c r="K61" s="504"/>
      <c r="L61" s="505"/>
      <c r="M61" s="506"/>
      <c r="N61" s="1265"/>
      <c r="O61" s="1265"/>
      <c r="P61" s="2425"/>
      <c r="Q61" s="485"/>
    </row>
    <row r="62" spans="1:29" s="35" customFormat="1" ht="14.4" thickBot="1">
      <c r="A62" s="502"/>
      <c r="B62" s="491"/>
      <c r="C62" s="492">
        <v>100</v>
      </c>
      <c r="D62" s="493"/>
      <c r="E62" s="493"/>
      <c r="F62" s="493"/>
      <c r="G62" s="493"/>
      <c r="H62" s="493"/>
      <c r="I62" s="493"/>
      <c r="J62" s="493"/>
      <c r="K62" s="493"/>
      <c r="L62" s="493"/>
      <c r="M62" s="495"/>
      <c r="N62" s="1265"/>
      <c r="O62" s="1265"/>
      <c r="P62" s="2424"/>
      <c r="Q62" s="485"/>
    </row>
    <row r="63" spans="1:29" ht="14.4">
      <c r="A63" s="508" t="s">
        <v>2393</v>
      </c>
      <c r="B63" s="509" t="s">
        <v>2358</v>
      </c>
      <c r="C63" s="510">
        <f>C9</f>
        <v>0</v>
      </c>
      <c r="D63" s="511"/>
      <c r="E63" s="511"/>
      <c r="F63" s="511"/>
      <c r="G63" s="511"/>
      <c r="H63" s="511"/>
      <c r="I63" s="511"/>
      <c r="J63" s="511"/>
      <c r="K63" s="512"/>
      <c r="L63" s="513"/>
      <c r="M63" s="514"/>
      <c r="N63" s="1266"/>
      <c r="O63" s="1266"/>
      <c r="P63" s="2426"/>
      <c r="Q63" s="485"/>
    </row>
    <row r="64" spans="1:29" ht="14.4" thickBot="1">
      <c r="A64" s="516"/>
      <c r="B64" s="517"/>
      <c r="C64" s="518">
        <v>100</v>
      </c>
      <c r="D64" s="518"/>
      <c r="E64" s="518"/>
      <c r="F64" s="518"/>
      <c r="G64" s="518"/>
      <c r="H64" s="518"/>
      <c r="I64" s="518"/>
      <c r="J64" s="518"/>
      <c r="K64" s="518"/>
      <c r="L64" s="518"/>
      <c r="M64" s="519"/>
      <c r="N64" s="1267"/>
      <c r="O64" s="1267"/>
      <c r="P64" s="2426"/>
      <c r="Q64" s="485"/>
    </row>
    <row r="65" spans="1:17" ht="29.4"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6"/>
      <c r="Q65" s="485"/>
    </row>
    <row r="66" spans="1:17" ht="14.4"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c r="A68" s="516"/>
      <c r="B68" s="531"/>
      <c r="C68" s="532"/>
      <c r="D68" s="532"/>
      <c r="E68" s="532"/>
      <c r="F68" s="532"/>
      <c r="G68" s="532"/>
      <c r="H68" s="532"/>
      <c r="I68" s="532"/>
      <c r="J68" s="532"/>
      <c r="K68" s="533"/>
      <c r="L68" s="534"/>
      <c r="M68" s="535"/>
      <c r="N68" s="1266"/>
      <c r="O68" s="1266"/>
      <c r="P68" s="2426"/>
      <c r="Q68" s="485"/>
    </row>
    <row r="69" spans="1:17" ht="14.4"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4.4" thickTop="1">
      <c r="A70" s="536"/>
      <c r="B70" s="521">
        <f>B12</f>
        <v>111</v>
      </c>
      <c r="C70" s="537"/>
      <c r="D70" s="537"/>
      <c r="E70" s="537"/>
      <c r="F70" s="537"/>
      <c r="G70" s="537"/>
      <c r="H70" s="538"/>
      <c r="I70" s="538"/>
      <c r="J70" s="538"/>
      <c r="K70" s="538"/>
      <c r="L70" s="539"/>
      <c r="M70" s="540"/>
      <c r="N70" s="1268"/>
      <c r="O70" s="1268"/>
      <c r="P70" s="2427"/>
      <c r="Q70" s="543"/>
    </row>
    <row r="71" spans="1:17" s="452" customFormat="1" ht="14.4" thickBot="1">
      <c r="A71" s="536"/>
      <c r="B71" s="526"/>
      <c r="C71" s="544"/>
      <c r="D71" s="518"/>
      <c r="E71" s="518"/>
      <c r="F71" s="518"/>
      <c r="G71" s="518"/>
      <c r="H71" s="518"/>
      <c r="I71" s="518"/>
      <c r="J71" s="518"/>
      <c r="K71" s="518"/>
      <c r="L71" s="518"/>
      <c r="M71" s="519"/>
      <c r="N71" s="1267"/>
      <c r="O71" s="1267"/>
      <c r="P71" s="2427"/>
      <c r="Q71" s="543"/>
    </row>
    <row r="72" spans="1:17" s="452" customFormat="1" ht="14.4" thickTop="1">
      <c r="A72" s="536"/>
      <c r="B72" s="521">
        <f>B13</f>
        <v>111</v>
      </c>
      <c r="C72" s="537"/>
      <c r="D72" s="537"/>
      <c r="E72" s="537"/>
      <c r="F72" s="537"/>
      <c r="G72" s="537"/>
      <c r="H72" s="538"/>
      <c r="I72" s="538"/>
      <c r="J72" s="538"/>
      <c r="K72" s="538"/>
      <c r="L72" s="539"/>
      <c r="M72" s="540"/>
      <c r="N72" s="1268"/>
      <c r="O72" s="1268"/>
      <c r="P72" s="2428"/>
      <c r="Q72" s="545"/>
    </row>
    <row r="73" spans="1:17" s="452" customFormat="1" ht="14.4" thickBot="1">
      <c r="A73" s="536"/>
      <c r="B73" s="526"/>
      <c r="C73" s="544"/>
      <c r="D73" s="518"/>
      <c r="E73" s="518"/>
      <c r="F73" s="518"/>
      <c r="G73" s="544"/>
      <c r="H73" s="546"/>
      <c r="I73" s="546"/>
      <c r="J73" s="546"/>
      <c r="K73" s="546"/>
      <c r="L73" s="546"/>
      <c r="M73" s="547"/>
      <c r="N73" s="1268"/>
      <c r="O73" s="1268"/>
      <c r="P73" s="2427"/>
      <c r="Q73" s="543"/>
    </row>
    <row r="74" spans="1:17" s="452" customFormat="1" ht="14.4" thickTop="1">
      <c r="A74" s="536"/>
      <c r="B74" s="529">
        <f>B14</f>
        <v>111</v>
      </c>
      <c r="C74" s="537"/>
      <c r="D74" s="537"/>
      <c r="E74" s="537"/>
      <c r="F74" s="537"/>
      <c r="G74" s="504"/>
      <c r="H74" s="548"/>
      <c r="I74" s="548"/>
      <c r="J74" s="548"/>
      <c r="K74" s="548"/>
      <c r="L74" s="549"/>
      <c r="M74" s="550"/>
      <c r="N74" s="1268"/>
      <c r="O74" s="1268"/>
      <c r="P74" s="2429"/>
      <c r="Q74" s="543"/>
    </row>
    <row r="75" spans="1:17" s="452" customFormat="1" ht="14.4" thickBot="1">
      <c r="A75" s="552"/>
      <c r="B75" s="553"/>
      <c r="C75" s="554"/>
      <c r="D75" s="554"/>
      <c r="E75" s="554"/>
      <c r="F75" s="554"/>
      <c r="G75" s="554"/>
      <c r="H75" s="555"/>
      <c r="I75" s="555"/>
      <c r="J75" s="555"/>
      <c r="K75" s="555"/>
      <c r="L75" s="555"/>
      <c r="M75" s="556"/>
      <c r="N75" s="1268"/>
      <c r="O75" s="1268"/>
      <c r="P75" s="2427"/>
      <c r="Q75" s="543"/>
    </row>
    <row r="76" spans="1:17" ht="14.4">
      <c r="A76" s="508" t="s">
        <v>2363</v>
      </c>
      <c r="B76" s="509" t="s">
        <v>2401</v>
      </c>
      <c r="C76" s="557" t="s">
        <v>2402</v>
      </c>
      <c r="D76" s="557" t="s">
        <v>2403</v>
      </c>
      <c r="E76" s="557" t="s">
        <v>2404</v>
      </c>
      <c r="F76" s="557" t="s">
        <v>2405</v>
      </c>
      <c r="G76" s="557" t="s">
        <v>2406</v>
      </c>
      <c r="H76" s="510"/>
      <c r="I76" s="510"/>
      <c r="J76" s="510"/>
      <c r="K76" s="558"/>
      <c r="L76" s="559"/>
      <c r="M76" s="560"/>
      <c r="N76" s="1266"/>
      <c r="O76" s="1266"/>
      <c r="P76" s="2430"/>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 thickTop="1">
      <c r="A78" s="516"/>
      <c r="B78" s="521" t="s">
        <v>2407</v>
      </c>
      <c r="C78" s="562" t="s">
        <v>2402</v>
      </c>
      <c r="D78" s="562" t="s">
        <v>2403</v>
      </c>
      <c r="E78" s="562" t="s">
        <v>2404</v>
      </c>
      <c r="F78" s="562" t="s">
        <v>2405</v>
      </c>
      <c r="G78" s="562" t="s">
        <v>2406</v>
      </c>
      <c r="H78" s="522"/>
      <c r="I78" s="522"/>
      <c r="J78" s="522"/>
      <c r="K78" s="523"/>
      <c r="L78" s="524"/>
      <c r="M78" s="525"/>
      <c r="N78" s="1266"/>
      <c r="O78" s="1266"/>
      <c r="P78" s="2426"/>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 thickTop="1">
      <c r="A80" s="516"/>
      <c r="B80" s="521" t="s">
        <v>2408</v>
      </c>
      <c r="C80" s="562" t="s">
        <v>2402</v>
      </c>
      <c r="D80" s="562" t="s">
        <v>2403</v>
      </c>
      <c r="E80" s="562" t="s">
        <v>2404</v>
      </c>
      <c r="F80" s="562" t="s">
        <v>2405</v>
      </c>
      <c r="G80" s="562" t="s">
        <v>2406</v>
      </c>
      <c r="H80" s="522"/>
      <c r="I80" s="522"/>
      <c r="J80" s="522"/>
      <c r="K80" s="523"/>
      <c r="L80" s="524"/>
      <c r="M80" s="525"/>
      <c r="N80" s="1266"/>
      <c r="O80" s="1266"/>
      <c r="P80" s="2426"/>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 thickTop="1">
      <c r="A82" s="516"/>
      <c r="B82" s="529" t="s">
        <v>2451</v>
      </c>
      <c r="C82" s="522" t="s">
        <v>2409</v>
      </c>
      <c r="D82" s="522" t="s">
        <v>2410</v>
      </c>
      <c r="E82" s="522" t="s">
        <v>2411</v>
      </c>
      <c r="F82" s="522" t="s">
        <v>2412</v>
      </c>
      <c r="G82" s="522" t="s">
        <v>2413</v>
      </c>
      <c r="H82" s="522"/>
      <c r="I82" s="522"/>
      <c r="J82" s="522"/>
      <c r="K82" s="522"/>
      <c r="L82" s="522"/>
      <c r="M82" s="1466"/>
      <c r="N82" s="1267"/>
      <c r="O82" s="1267"/>
      <c r="P82" s="2426"/>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 thickTop="1">
      <c r="A84" s="516"/>
      <c r="B84" s="521" t="s">
        <v>2414</v>
      </c>
      <c r="C84" s="562" t="s">
        <v>2402</v>
      </c>
      <c r="D84" s="562" t="s">
        <v>2403</v>
      </c>
      <c r="E84" s="562" t="s">
        <v>2404</v>
      </c>
      <c r="F84" s="562" t="s">
        <v>2405</v>
      </c>
      <c r="G84" s="562" t="s">
        <v>2406</v>
      </c>
      <c r="H84" s="522"/>
      <c r="I84" s="522"/>
      <c r="J84" s="522"/>
      <c r="K84" s="523"/>
      <c r="L84" s="524"/>
      <c r="M84" s="525"/>
      <c r="N84" s="1266"/>
      <c r="O84" s="1266"/>
      <c r="P84" s="2426"/>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 thickTop="1">
      <c r="A86" s="563"/>
      <c r="B86" s="521" t="s">
        <v>2471</v>
      </c>
      <c r="C86" s="537"/>
      <c r="D86" s="537"/>
      <c r="E86" s="537"/>
      <c r="F86" s="537"/>
      <c r="G86" s="537"/>
      <c r="H86" s="537"/>
      <c r="I86" s="537"/>
      <c r="J86" s="537"/>
      <c r="K86" s="537"/>
      <c r="L86" s="564"/>
      <c r="M86" s="565"/>
      <c r="N86" s="1265"/>
      <c r="O86" s="1265"/>
      <c r="P86" s="2426"/>
      <c r="Q86" s="485"/>
    </row>
    <row r="87" spans="1:17" s="35" customFormat="1" ht="14.4"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4.4"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4.4" thickBot="1">
      <c r="A89" s="563"/>
      <c r="B89" s="526"/>
      <c r="C89" s="544"/>
      <c r="D89" s="518"/>
      <c r="E89" s="518"/>
      <c r="F89" s="518"/>
      <c r="G89" s="518"/>
      <c r="H89" s="518"/>
      <c r="I89" s="518"/>
      <c r="J89" s="518"/>
      <c r="K89" s="518"/>
      <c r="L89" s="518"/>
      <c r="M89" s="518"/>
      <c r="N89" s="1267"/>
      <c r="O89" s="1267"/>
      <c r="P89" s="2426"/>
      <c r="Q89" s="485"/>
    </row>
    <row r="90" spans="1:17" s="452" customFormat="1" ht="14.4"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4.4"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4.4" thickTop="1">
      <c r="A92" s="516"/>
      <c r="B92" s="521" t="str">
        <f>B28</f>
        <v>楼层</v>
      </c>
      <c r="C92" s="537"/>
      <c r="D92" s="537"/>
      <c r="E92" s="537"/>
      <c r="F92" s="537"/>
      <c r="G92" s="537"/>
      <c r="H92" s="537"/>
      <c r="I92" s="537"/>
      <c r="J92" s="537"/>
      <c r="K92" s="537"/>
      <c r="L92" s="564"/>
      <c r="M92" s="565"/>
      <c r="N92" s="1266"/>
      <c r="O92" s="1266"/>
      <c r="P92" s="2426"/>
      <c r="Q92" s="485"/>
    </row>
    <row r="93" spans="1:17" ht="14.4" thickBot="1">
      <c r="A93" s="516"/>
      <c r="B93" s="526"/>
      <c r="C93" s="518"/>
      <c r="D93" s="518"/>
      <c r="E93" s="518"/>
      <c r="F93" s="518"/>
      <c r="G93" s="518"/>
      <c r="H93" s="518"/>
      <c r="I93" s="518"/>
      <c r="J93" s="518"/>
      <c r="K93" s="518"/>
      <c r="L93" s="518"/>
      <c r="M93" s="519"/>
      <c r="N93" s="1267"/>
      <c r="O93" s="1267"/>
      <c r="P93" s="2426"/>
      <c r="Q93" s="485"/>
    </row>
    <row r="94" spans="1:17" ht="14.4" thickTop="1">
      <c r="A94" s="516"/>
      <c r="B94" s="521">
        <f>B29</f>
        <v>111</v>
      </c>
      <c r="C94" s="537"/>
      <c r="D94" s="537"/>
      <c r="E94" s="537"/>
      <c r="F94" s="537"/>
      <c r="G94" s="567"/>
      <c r="H94" s="567"/>
      <c r="I94" s="567"/>
      <c r="J94" s="567"/>
      <c r="K94" s="568"/>
      <c r="L94" s="569"/>
      <c r="M94" s="570"/>
      <c r="N94" s="1266"/>
      <c r="O94" s="1266"/>
      <c r="P94" s="2426"/>
      <c r="Q94" s="485"/>
    </row>
    <row r="95" spans="1:17" ht="14.4" thickBot="1">
      <c r="A95" s="516"/>
      <c r="B95" s="526"/>
      <c r="C95" s="544"/>
      <c r="D95" s="518"/>
      <c r="E95" s="518"/>
      <c r="F95" s="518"/>
      <c r="G95" s="518"/>
      <c r="H95" s="518"/>
      <c r="I95" s="518"/>
      <c r="J95" s="518"/>
      <c r="K95" s="518"/>
      <c r="L95" s="518"/>
      <c r="M95" s="519"/>
      <c r="N95" s="1267"/>
      <c r="O95" s="1267"/>
      <c r="P95" s="2426"/>
      <c r="Q95" s="485"/>
    </row>
    <row r="96" spans="1:17" ht="14.4" thickTop="1">
      <c r="A96" s="516"/>
      <c r="B96" s="521">
        <f>B30</f>
        <v>111</v>
      </c>
      <c r="C96" s="537"/>
      <c r="D96" s="537"/>
      <c r="E96" s="537"/>
      <c r="F96" s="537"/>
      <c r="G96" s="567"/>
      <c r="H96" s="567"/>
      <c r="I96" s="567"/>
      <c r="J96" s="567"/>
      <c r="K96" s="568"/>
      <c r="L96" s="569"/>
      <c r="M96" s="570"/>
      <c r="N96" s="1266"/>
      <c r="O96" s="1266"/>
      <c r="P96" s="2426"/>
      <c r="Q96" s="485"/>
    </row>
    <row r="97" spans="1:17" ht="14.4" thickBot="1">
      <c r="A97" s="516"/>
      <c r="B97" s="526"/>
      <c r="C97" s="544"/>
      <c r="D97" s="518"/>
      <c r="E97" s="518"/>
      <c r="F97" s="518"/>
      <c r="G97" s="518"/>
      <c r="H97" s="518"/>
      <c r="I97" s="518"/>
      <c r="J97" s="518"/>
      <c r="K97" s="518"/>
      <c r="L97" s="518"/>
      <c r="M97" s="519"/>
      <c r="N97" s="1267"/>
      <c r="O97" s="1267"/>
      <c r="P97" s="2426"/>
      <c r="Q97" s="485"/>
    </row>
    <row r="98" spans="1:17" ht="14.4" thickTop="1">
      <c r="A98" s="516"/>
      <c r="B98" s="529">
        <f>B31</f>
        <v>111</v>
      </c>
      <c r="C98" s="537"/>
      <c r="D98" s="537"/>
      <c r="E98" s="537"/>
      <c r="F98" s="537"/>
      <c r="G98" s="571"/>
      <c r="H98" s="571"/>
      <c r="I98" s="571"/>
      <c r="J98" s="571"/>
      <c r="K98" s="572"/>
      <c r="L98" s="573"/>
      <c r="M98" s="574"/>
      <c r="N98" s="1266"/>
      <c r="O98" s="1266"/>
      <c r="P98" s="2426"/>
      <c r="Q98" s="485"/>
    </row>
    <row r="99" spans="1:17" ht="14.4" thickBot="1">
      <c r="A99" s="2432"/>
      <c r="B99" s="553"/>
      <c r="C99" s="554"/>
      <c r="D99" s="554"/>
      <c r="E99" s="554"/>
      <c r="F99" s="554"/>
      <c r="G99" s="575"/>
      <c r="H99" s="575"/>
      <c r="I99" s="575"/>
      <c r="J99" s="575"/>
      <c r="K99" s="575"/>
      <c r="L99" s="575"/>
      <c r="M99" s="576"/>
      <c r="N99" s="1267"/>
      <c r="O99" s="1267"/>
      <c r="P99" s="2426"/>
      <c r="Q99" s="485"/>
    </row>
    <row r="100" spans="1:17" ht="14.4">
      <c r="A100" s="508" t="s">
        <v>2368</v>
      </c>
      <c r="B100" s="509" t="s">
        <v>2472</v>
      </c>
      <c r="C100" s="511"/>
      <c r="D100" s="511"/>
      <c r="E100" s="511"/>
      <c r="F100" s="511"/>
      <c r="G100" s="511"/>
      <c r="H100" s="511"/>
      <c r="I100" s="511"/>
      <c r="J100" s="511"/>
      <c r="K100" s="512"/>
      <c r="L100" s="513"/>
      <c r="M100" s="514"/>
      <c r="N100" s="1266"/>
      <c r="O100" s="1266"/>
      <c r="P100" s="2426"/>
      <c r="Q100" s="485"/>
    </row>
    <row r="101" spans="1:17" ht="14.4"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4.4"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2419</v>
      </c>
      <c r="C105" s="537"/>
      <c r="D105" s="537"/>
      <c r="E105" s="567"/>
      <c r="F105" s="567"/>
      <c r="G105" s="567"/>
      <c r="H105" s="567"/>
      <c r="I105" s="567"/>
      <c r="J105" s="567"/>
      <c r="K105" s="568"/>
      <c r="L105" s="569"/>
      <c r="M105" s="570"/>
      <c r="N105" s="1266"/>
      <c r="O105" s="1266"/>
      <c r="P105" s="2426"/>
      <c r="Q105" s="485"/>
    </row>
    <row r="106" spans="1:17" ht="14.4"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2421</v>
      </c>
      <c r="C107" s="537"/>
      <c r="D107" s="537"/>
      <c r="E107" s="537"/>
      <c r="F107" s="567"/>
      <c r="G107" s="567"/>
      <c r="H107" s="567"/>
      <c r="I107" s="567"/>
      <c r="J107" s="567"/>
      <c r="K107" s="568"/>
      <c r="L107" s="569"/>
      <c r="M107" s="570"/>
      <c r="N107" s="1266"/>
      <c r="O107" s="1266"/>
      <c r="P107" s="2426"/>
      <c r="Q107" s="485"/>
    </row>
    <row r="108" spans="1:17" ht="14.4"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4.4"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7"/>
      <c r="Q112" s="543"/>
    </row>
    <row r="113" spans="1:17" s="452" customFormat="1" ht="14.4"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2473</v>
      </c>
      <c r="C114" s="537"/>
      <c r="D114" s="537"/>
      <c r="E114" s="567"/>
      <c r="F114" s="567"/>
      <c r="G114" s="567"/>
      <c r="H114" s="567"/>
      <c r="I114" s="567"/>
      <c r="J114" s="567"/>
      <c r="K114" s="568"/>
      <c r="L114" s="569"/>
      <c r="M114" s="570"/>
      <c r="N114" s="1266"/>
      <c r="O114" s="1266"/>
      <c r="P114" s="2426"/>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2474</v>
      </c>
      <c r="C116" s="537"/>
      <c r="D116" s="537"/>
      <c r="E116" s="537"/>
      <c r="F116" s="537"/>
      <c r="G116" s="537"/>
      <c r="H116" s="567"/>
      <c r="I116" s="567"/>
      <c r="J116" s="567"/>
      <c r="K116" s="568"/>
      <c r="L116" s="569"/>
      <c r="M116" s="570"/>
      <c r="N116" s="1266"/>
      <c r="O116" s="1266"/>
      <c r="P116" s="2426"/>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2475</v>
      </c>
      <c r="C118" s="611"/>
      <c r="D118" s="611"/>
      <c r="E118" s="611"/>
      <c r="F118" s="611"/>
      <c r="G118" s="611"/>
      <c r="H118" s="538"/>
      <c r="I118" s="538"/>
      <c r="J118" s="538"/>
      <c r="K118" s="538"/>
      <c r="L118" s="539"/>
      <c r="M118" s="540"/>
      <c r="N118" s="1266"/>
      <c r="O118" s="1266"/>
      <c r="P118" s="2426"/>
      <c r="Q118" s="485"/>
    </row>
    <row r="119" spans="1:17" ht="14.4"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7"/>
      <c r="Q120" s="543"/>
    </row>
    <row r="121" spans="1:17" s="452" customFormat="1" ht="14.4"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2426</v>
      </c>
      <c r="C122" s="537"/>
      <c r="D122" s="537"/>
      <c r="E122" s="537"/>
      <c r="F122" s="567"/>
      <c r="G122" s="567"/>
      <c r="H122" s="567"/>
      <c r="I122" s="567"/>
      <c r="J122" s="567"/>
      <c r="K122" s="568"/>
      <c r="L122" s="569"/>
      <c r="M122" s="570"/>
      <c r="N122" s="1266"/>
      <c r="O122" s="1266"/>
      <c r="P122" s="2426"/>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29.4"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7"/>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4.4"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4.4" thickBot="1">
      <c r="A127" s="536"/>
      <c r="B127" s="526"/>
      <c r="C127" s="544"/>
      <c r="D127" s="518"/>
      <c r="E127" s="518"/>
      <c r="F127" s="518"/>
      <c r="G127" s="544"/>
      <c r="H127" s="546"/>
      <c r="I127" s="546"/>
      <c r="J127" s="546"/>
      <c r="K127" s="546"/>
      <c r="L127" s="546"/>
      <c r="M127" s="547"/>
      <c r="N127" s="1268"/>
      <c r="O127" s="1268"/>
      <c r="P127" s="2427"/>
      <c r="Q127" s="543"/>
    </row>
    <row r="128" spans="1:17" ht="14.4" thickTop="1">
      <c r="A128" s="583"/>
      <c r="B128" s="521">
        <f>B45</f>
        <v>111</v>
      </c>
      <c r="C128" s="537"/>
      <c r="D128" s="537"/>
      <c r="E128" s="537"/>
      <c r="F128" s="537"/>
      <c r="G128" s="567"/>
      <c r="H128" s="567"/>
      <c r="I128" s="567"/>
      <c r="J128" s="567"/>
      <c r="K128" s="568"/>
      <c r="L128" s="569"/>
      <c r="M128" s="570"/>
      <c r="N128" s="1266"/>
      <c r="O128" s="1266"/>
      <c r="P128" s="2426"/>
      <c r="Q128" s="485"/>
    </row>
    <row r="129" spans="1:17" ht="14.4" thickBot="1">
      <c r="A129" s="516"/>
      <c r="B129" s="526"/>
      <c r="C129" s="544"/>
      <c r="D129" s="518"/>
      <c r="E129" s="518"/>
      <c r="F129" s="518"/>
      <c r="G129" s="518"/>
      <c r="H129" s="518"/>
      <c r="I129" s="518"/>
      <c r="J129" s="518"/>
      <c r="K129" s="518"/>
      <c r="L129" s="518"/>
      <c r="M129" s="519"/>
      <c r="N129" s="1267"/>
      <c r="O129" s="1267"/>
      <c r="P129" s="2426"/>
      <c r="Q129" s="485"/>
    </row>
    <row r="130" spans="1:17" ht="14.4" thickTop="1">
      <c r="A130" s="583"/>
      <c r="B130" s="529">
        <f>B46</f>
        <v>111</v>
      </c>
      <c r="C130" s="537"/>
      <c r="D130" s="537"/>
      <c r="E130" s="537"/>
      <c r="F130" s="537"/>
      <c r="G130" s="571"/>
      <c r="H130" s="571"/>
      <c r="I130" s="571"/>
      <c r="J130" s="571"/>
      <c r="K130" s="504"/>
      <c r="L130" s="505"/>
      <c r="M130" s="574"/>
      <c r="N130" s="1266"/>
      <c r="O130" s="1266"/>
      <c r="P130" s="2426"/>
      <c r="Q130" s="485"/>
    </row>
    <row r="131" spans="1:17" ht="14.4"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B25" zoomScale="90" zoomScaleNormal="90" workbookViewId="0">
      <selection activeCell="G104" sqref="G104"/>
    </sheetView>
  </sheetViews>
  <sheetFormatPr defaultColWidth="9" defaultRowHeight="13.8"/>
  <cols>
    <col min="1" max="1" width="10.44140625" style="382" customWidth="1"/>
    <col min="2" max="2" width="15.77734375" style="382" customWidth="1"/>
    <col min="3" max="3" width="16.21875" style="382" customWidth="1"/>
    <col min="4" max="4" width="12.21875" style="382" customWidth="1"/>
    <col min="5" max="5" width="15.44140625" style="382" customWidth="1"/>
    <col min="6" max="6" width="12.21875" style="382" customWidth="1"/>
    <col min="7" max="7" width="16.33203125" style="382" customWidth="1"/>
    <col min="8" max="8" width="12.21875" style="382" customWidth="1"/>
    <col min="9" max="9" width="15.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2335</v>
      </c>
      <c r="B1" s="1733" t="s">
        <v>2477</v>
      </c>
      <c r="C1" s="1725" t="s">
        <v>2834</v>
      </c>
      <c r="D1" s="1738"/>
      <c r="E1" s="2382" t="s">
        <v>2835</v>
      </c>
      <c r="F1" s="1739" t="s">
        <v>2337</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2008</v>
      </c>
      <c r="B2" s="1724">
        <f>IF(D2="——",IF(C2="元",ROUND(C50*D3,0),ROUND(C50*D3/10000,0)),IF(C2="元",ROUND(C50*D3,0),ROUND(C50*D3/10000,0))-E2)</f>
        <v>584</v>
      </c>
      <c r="C2" s="163" t="str">
        <f>'数据-取费表'!B3</f>
        <v>万元</v>
      </c>
      <c r="D2" s="2384" t="s">
        <v>1254</v>
      </c>
      <c r="E2" s="1841" t="e">
        <f ca="1">SUMIF(INDIRECT("'"&amp;G2&amp;"'"&amp;"!A:A"),"承租人权益价值",INDIRECT("'"&amp;G2&amp;"'"&amp;"!c:c"))</f>
        <v>#REF!</v>
      </c>
      <c r="F2" s="2385" t="str">
        <f>C2</f>
        <v>万元</v>
      </c>
      <c r="G2" s="2386"/>
      <c r="H2" s="980"/>
      <c r="I2" s="980"/>
      <c r="J2" s="980"/>
      <c r="K2" s="980"/>
      <c r="L2" s="1240"/>
      <c r="M2" s="1241"/>
      <c r="N2" s="1241"/>
      <c r="O2" s="1241"/>
      <c r="P2" s="746"/>
      <c r="Q2" s="746"/>
      <c r="R2" s="746"/>
      <c r="S2" s="746"/>
      <c r="T2" s="746"/>
      <c r="U2" s="746"/>
      <c r="V2" s="746"/>
      <c r="W2" s="746"/>
      <c r="X2" s="746"/>
      <c r="Y2" s="746"/>
      <c r="Z2" s="746"/>
      <c r="AA2" s="746"/>
      <c r="AB2" s="2464"/>
      <c r="AC2" s="760"/>
    </row>
    <row r="3" spans="1:29" s="377" customFormat="1" ht="28.5" customHeight="1" thickBot="1">
      <c r="A3" s="167" t="s">
        <v>2009</v>
      </c>
      <c r="B3" s="593">
        <f>ROUND(IF(D2="——",C50,IF(C2="万元",B2*10000/D3,B2/D3)),0)</f>
        <v>36849</v>
      </c>
      <c r="C3" s="379" t="s">
        <v>2338</v>
      </c>
      <c r="D3" s="378">
        <f>IF(C1="仅计算典型户型",'数据-取费表'!E5,'数据-取费表'!B5)</f>
        <v>158.38</v>
      </c>
      <c r="E3" s="2456"/>
      <c r="F3" s="981"/>
      <c r="G3" s="980"/>
      <c r="H3" s="980"/>
      <c r="I3" s="980"/>
      <c r="J3" s="980"/>
      <c r="K3" s="982"/>
      <c r="L3" s="1240"/>
      <c r="M3" s="1241"/>
      <c r="N3" s="1241"/>
      <c r="O3" s="1241"/>
      <c r="P3" s="736"/>
      <c r="Q3" s="736"/>
      <c r="R3" s="736"/>
      <c r="S3" s="736"/>
      <c r="T3" s="736"/>
      <c r="U3" s="736"/>
      <c r="V3" s="736"/>
      <c r="W3" s="736"/>
      <c r="X3" s="746"/>
      <c r="Y3" s="736"/>
      <c r="Z3" s="736"/>
      <c r="AA3" s="736"/>
      <c r="AB3" s="2465"/>
      <c r="AC3" s="760"/>
    </row>
    <row r="4" spans="1:29" ht="14.4">
      <c r="A4" s="380" t="s">
        <v>2339</v>
      </c>
      <c r="B4" s="381"/>
      <c r="C4" s="3005" t="s">
        <v>2340</v>
      </c>
      <c r="D4" s="3006"/>
      <c r="E4" s="3007" t="s">
        <v>2341</v>
      </c>
      <c r="F4" s="3008"/>
      <c r="G4" s="3005" t="s">
        <v>2342</v>
      </c>
      <c r="H4" s="3006"/>
      <c r="I4" s="3005" t="s">
        <v>2343</v>
      </c>
      <c r="J4" s="3006"/>
      <c r="K4" s="594" t="s">
        <v>2344</v>
      </c>
      <c r="L4" s="1242"/>
      <c r="M4" s="1243"/>
      <c r="N4" s="1243"/>
      <c r="O4" s="1243"/>
      <c r="P4" s="3052" t="s">
        <v>2345</v>
      </c>
      <c r="Q4" s="3010"/>
      <c r="R4" s="3015" t="s">
        <v>2341</v>
      </c>
      <c r="S4" s="3016"/>
      <c r="T4" s="3015" t="s">
        <v>2342</v>
      </c>
      <c r="U4" s="3016"/>
      <c r="V4" s="3021" t="s">
        <v>2343</v>
      </c>
      <c r="W4" s="3021"/>
      <c r="X4" s="1899"/>
      <c r="Y4" s="3015" t="s">
        <v>2345</v>
      </c>
      <c r="Z4" s="3016"/>
      <c r="AA4" s="3002" t="s">
        <v>2341</v>
      </c>
      <c r="AB4" s="3002" t="s">
        <v>2342</v>
      </c>
      <c r="AC4" s="3002" t="s">
        <v>2343</v>
      </c>
    </row>
    <row r="5" spans="1:29" ht="13.95" customHeight="1">
      <c r="A5" s="383"/>
      <c r="B5" s="384"/>
      <c r="C5" s="3051" t="s">
        <v>2836</v>
      </c>
      <c r="D5" s="3025"/>
      <c r="E5" s="3051" t="s">
        <v>2836</v>
      </c>
      <c r="F5" s="3025"/>
      <c r="G5" s="3051" t="s">
        <v>2836</v>
      </c>
      <c r="H5" s="3025"/>
      <c r="I5" s="3051" t="s">
        <v>2836</v>
      </c>
      <c r="J5" s="3025"/>
      <c r="K5" s="594"/>
      <c r="L5" s="1242"/>
      <c r="M5" s="1243"/>
      <c r="N5" s="1243"/>
      <c r="O5" s="1243"/>
      <c r="P5" s="3053"/>
      <c r="Q5" s="3012"/>
      <c r="R5" s="3017"/>
      <c r="S5" s="3018"/>
      <c r="T5" s="3017"/>
      <c r="U5" s="3018"/>
      <c r="V5" s="3021"/>
      <c r="W5" s="3021"/>
      <c r="X5" s="1899"/>
      <c r="Y5" s="3017"/>
      <c r="Z5" s="3018"/>
      <c r="AA5" s="3003"/>
      <c r="AB5" s="3003"/>
      <c r="AC5" s="3003"/>
    </row>
    <row r="6" spans="1:29" ht="15" thickBot="1">
      <c r="A6" s="385"/>
      <c r="B6" s="386"/>
      <c r="C6" s="3050" t="s">
        <v>2837</v>
      </c>
      <c r="D6" s="3027"/>
      <c r="E6" s="3050" t="s">
        <v>2837</v>
      </c>
      <c r="F6" s="3027"/>
      <c r="G6" s="3050" t="s">
        <v>2837</v>
      </c>
      <c r="H6" s="3027"/>
      <c r="I6" s="3050" t="s">
        <v>2837</v>
      </c>
      <c r="J6" s="3027"/>
      <c r="K6" s="594" t="s">
        <v>2351</v>
      </c>
      <c r="L6" s="1242"/>
      <c r="M6" s="1243"/>
      <c r="N6" s="1243"/>
      <c r="O6" s="1243"/>
      <c r="P6" s="3054"/>
      <c r="Q6" s="3014"/>
      <c r="R6" s="3017"/>
      <c r="S6" s="3018"/>
      <c r="T6" s="3019"/>
      <c r="U6" s="3020"/>
      <c r="V6" s="3021"/>
      <c r="W6" s="3021"/>
      <c r="X6" s="1899"/>
      <c r="Y6" s="3019"/>
      <c r="Z6" s="3020"/>
      <c r="AA6" s="3004"/>
      <c r="AB6" s="3004"/>
      <c r="AC6" s="3004"/>
    </row>
    <row r="7" spans="1:29" s="35" customFormat="1" ht="15" thickBot="1">
      <c r="A7" s="387" t="s">
        <v>2352</v>
      </c>
      <c r="B7" s="388"/>
      <c r="C7" s="389">
        <f>'数据-取费表'!B2</f>
        <v>43328</v>
      </c>
      <c r="D7" s="390">
        <v>100</v>
      </c>
      <c r="E7" s="391">
        <v>43311</v>
      </c>
      <c r="F7" s="392">
        <f>SUMIF(59:59,YEAR(E7)&amp;"-"&amp;MONTH(E7),60:60)</f>
        <v>100</v>
      </c>
      <c r="G7" s="2466">
        <v>43327</v>
      </c>
      <c r="H7" s="390">
        <f>SUMIF(59:59,YEAR(G7)&amp;"-"&amp;MONTH(G7),60:60)</f>
        <v>100</v>
      </c>
      <c r="I7" s="2466">
        <v>43302</v>
      </c>
      <c r="J7" s="390">
        <f>SUMIF(59:59,YEAR(I7)&amp;"-"&amp;MONTH(I7),60:60)</f>
        <v>100</v>
      </c>
      <c r="K7" s="595"/>
      <c r="L7" s="1244"/>
      <c r="M7" s="1245"/>
      <c r="N7" s="1245"/>
      <c r="O7" s="1245"/>
      <c r="P7" s="3039" t="s">
        <v>2353</v>
      </c>
      <c r="Q7" s="3039"/>
      <c r="R7" s="748" t="s">
        <v>25</v>
      </c>
      <c r="S7" s="749">
        <f t="shared" ref="S7:S15" si="0">F7</f>
        <v>100</v>
      </c>
      <c r="T7" s="748" t="s">
        <v>25</v>
      </c>
      <c r="U7" s="749">
        <f t="shared" ref="U7:U15" si="1">H7</f>
        <v>100</v>
      </c>
      <c r="V7" s="748" t="s">
        <v>25</v>
      </c>
      <c r="W7" s="749">
        <f t="shared" ref="W7:W15" si="2">J7</f>
        <v>100</v>
      </c>
      <c r="X7" s="750"/>
      <c r="Y7" s="3037" t="s">
        <v>2353</v>
      </c>
      <c r="Z7" s="3038"/>
      <c r="AA7" s="751">
        <f>D7/F7</f>
        <v>1</v>
      </c>
      <c r="AB7" s="751">
        <f>D7/H7</f>
        <v>1</v>
      </c>
      <c r="AC7" s="751">
        <f>D7/J7</f>
        <v>1</v>
      </c>
    </row>
    <row r="8" spans="1:29" s="35" customFormat="1" ht="15" thickBot="1">
      <c r="A8" s="387" t="s">
        <v>2354</v>
      </c>
      <c r="B8" s="388"/>
      <c r="C8" s="394" t="s">
        <v>2355</v>
      </c>
      <c r="D8" s="390">
        <v>100</v>
      </c>
      <c r="E8" s="394" t="s">
        <v>2839</v>
      </c>
      <c r="F8" s="392">
        <f>SUMIF(62:62,E8,63:63)-SUMIF(62:62,C8,63:63)+100</f>
        <v>100</v>
      </c>
      <c r="G8" s="394" t="s">
        <v>2839</v>
      </c>
      <c r="H8" s="390">
        <f>SUMIF(62:62,G8,63:63)-SUMIF(62:62,C8,63:63)+100</f>
        <v>100</v>
      </c>
      <c r="I8" s="394" t="s">
        <v>2839</v>
      </c>
      <c r="J8" s="390">
        <f>SUMIF(62:62,I8,63:63)-SUMIF(62:62,C8,63:63)+100</f>
        <v>100</v>
      </c>
      <c r="K8" s="595"/>
      <c r="L8" s="1244"/>
      <c r="M8" s="1245"/>
      <c r="N8" s="1245"/>
      <c r="O8" s="1245"/>
      <c r="P8" s="3039" t="s">
        <v>2356</v>
      </c>
      <c r="Q8" s="3038"/>
      <c r="R8" s="748" t="s">
        <v>25</v>
      </c>
      <c r="S8" s="749">
        <f t="shared" si="0"/>
        <v>100</v>
      </c>
      <c r="T8" s="748" t="s">
        <v>25</v>
      </c>
      <c r="U8" s="749">
        <f t="shared" si="1"/>
        <v>100</v>
      </c>
      <c r="V8" s="748" t="s">
        <v>25</v>
      </c>
      <c r="W8" s="749">
        <f t="shared" si="2"/>
        <v>100</v>
      </c>
      <c r="X8" s="750"/>
      <c r="Y8" s="3037" t="s">
        <v>2356</v>
      </c>
      <c r="Z8" s="3038"/>
      <c r="AA8" s="751">
        <f t="shared" ref="AA8:AA47" si="3">D8/F8</f>
        <v>1</v>
      </c>
      <c r="AB8" s="751">
        <f t="shared" ref="AB8:AB47" si="4">D8/H8</f>
        <v>1</v>
      </c>
      <c r="AC8" s="751">
        <f t="shared" ref="AC8:AC47" si="5">D8/J8</f>
        <v>1</v>
      </c>
    </row>
    <row r="9" spans="1:29" s="35" customFormat="1" ht="14.4">
      <c r="A9" s="395" t="s">
        <v>2357</v>
      </c>
      <c r="B9" s="28" t="s">
        <v>2358</v>
      </c>
      <c r="C9" s="2737" t="s">
        <v>2838</v>
      </c>
      <c r="D9" s="51">
        <v>100</v>
      </c>
      <c r="E9" s="399" t="s">
        <v>2831</v>
      </c>
      <c r="F9" s="51">
        <f>SUMIF(64:64,E9,65:65)-SUMIF(64:64,C9,65:65)+100</f>
        <v>100</v>
      </c>
      <c r="G9" s="399" t="s">
        <v>2831</v>
      </c>
      <c r="H9" s="51">
        <f>SUMIF(64:64,G9,65:65)-SUMIF(64:64,C9,65:65)+100</f>
        <v>100</v>
      </c>
      <c r="I9" s="399" t="s">
        <v>2831</v>
      </c>
      <c r="J9" s="51">
        <f>SUMIF(64:64,I9,65:65)-SUMIF(64:64,C9,65:65)+100</f>
        <v>100</v>
      </c>
      <c r="K9" s="595"/>
      <c r="L9" s="1244"/>
      <c r="M9" s="1245"/>
      <c r="N9" s="1245"/>
      <c r="O9" s="1245"/>
      <c r="P9" s="3048" t="s">
        <v>2359</v>
      </c>
      <c r="Q9" s="1886" t="str">
        <f t="shared" ref="Q9:Q15" si="6">B9</f>
        <v>用途</v>
      </c>
      <c r="R9" s="748" t="s">
        <v>25</v>
      </c>
      <c r="S9" s="749">
        <f t="shared" si="0"/>
        <v>100</v>
      </c>
      <c r="T9" s="748" t="s">
        <v>25</v>
      </c>
      <c r="U9" s="749">
        <f t="shared" si="1"/>
        <v>100</v>
      </c>
      <c r="V9" s="748" t="s">
        <v>25</v>
      </c>
      <c r="W9" s="749">
        <f t="shared" si="2"/>
        <v>100</v>
      </c>
      <c r="X9" s="750"/>
      <c r="Y9" s="2853" t="s">
        <v>2360</v>
      </c>
      <c r="Z9" s="23" t="str">
        <f t="shared" ref="Z9:Z15" si="7">Q9</f>
        <v>用途</v>
      </c>
      <c r="AA9" s="751">
        <f t="shared" si="3"/>
        <v>1</v>
      </c>
      <c r="AB9" s="751">
        <f t="shared" si="4"/>
        <v>1</v>
      </c>
      <c r="AC9" s="751">
        <f t="shared" si="5"/>
        <v>1</v>
      </c>
    </row>
    <row r="10" spans="1:29" s="407" customFormat="1" ht="28.8">
      <c r="A10" s="401"/>
      <c r="B10" s="402" t="s">
        <v>2361</v>
      </c>
      <c r="C10" s="403" t="s">
        <v>2840</v>
      </c>
      <c r="D10" s="52">
        <v>100</v>
      </c>
      <c r="E10" s="403" t="s">
        <v>2840</v>
      </c>
      <c r="F10" s="52">
        <f>SUMIF(66:66,E10,67:67)-SUMIF(66:66,C10,67:67)+100</f>
        <v>100</v>
      </c>
      <c r="G10" s="403" t="s">
        <v>2840</v>
      </c>
      <c r="H10" s="52">
        <f>SUMIF(66:66,G10,67:67)-SUMIF(66:66,C10,67:67)+100</f>
        <v>100</v>
      </c>
      <c r="I10" s="403" t="s">
        <v>2840</v>
      </c>
      <c r="J10" s="52">
        <f>SUMIF(66:66,I10,67:67)-SUMIF(66:66,C10,67:67)+100</f>
        <v>100</v>
      </c>
      <c r="K10" s="596">
        <v>2</v>
      </c>
      <c r="L10" s="1247"/>
      <c r="M10" s="1248"/>
      <c r="N10" s="1248"/>
      <c r="O10" s="1248"/>
      <c r="P10" s="3048"/>
      <c r="Q10" s="1886"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402" t="s">
        <v>2362</v>
      </c>
      <c r="C11" s="409"/>
      <c r="D11" s="52">
        <v>100</v>
      </c>
      <c r="E11" s="409"/>
      <c r="F11" s="52">
        <f>LOOKUP(E11,69:69,70:70)-LOOKUP(C11,69:69,70:70)+100</f>
        <v>100</v>
      </c>
      <c r="G11" s="410"/>
      <c r="H11" s="52">
        <f>LOOKUP(G11,69:69,70:70)-LOOKUP(C11,69:69,70:70)+100</f>
        <v>100</v>
      </c>
      <c r="I11" s="409"/>
      <c r="J11" s="52">
        <f>LOOKUP(I11,69:69,70:70)-LOOKUP(C11,69:69,70:70)+100</f>
        <v>100</v>
      </c>
      <c r="K11" s="596"/>
      <c r="L11" s="1250"/>
      <c r="M11" s="1243"/>
      <c r="N11" s="1243"/>
      <c r="O11" s="1243"/>
      <c r="P11" s="3048"/>
      <c r="Q11" s="1886" t="str">
        <f t="shared" si="6"/>
        <v>容积率</v>
      </c>
      <c r="R11" s="748" t="s">
        <v>25</v>
      </c>
      <c r="S11" s="749">
        <f t="shared" si="0"/>
        <v>100</v>
      </c>
      <c r="T11" s="748" t="s">
        <v>25</v>
      </c>
      <c r="U11" s="749">
        <f t="shared" si="1"/>
        <v>100</v>
      </c>
      <c r="V11" s="748" t="s">
        <v>25</v>
      </c>
      <c r="W11" s="749">
        <f t="shared" si="2"/>
        <v>100</v>
      </c>
      <c r="X11" s="750"/>
      <c r="Y11" s="2853"/>
      <c r="Z11" s="23" t="str">
        <f t="shared" si="7"/>
        <v>容积率</v>
      </c>
      <c r="AA11" s="751">
        <f t="shared" si="3"/>
        <v>1</v>
      </c>
      <c r="AB11" s="751">
        <f t="shared" si="4"/>
        <v>1</v>
      </c>
      <c r="AC11" s="751">
        <f t="shared" si="5"/>
        <v>1</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48"/>
      <c r="Q12" s="1886">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48"/>
      <c r="Q13" s="1886">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15.6"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48"/>
      <c r="Q14" s="1886">
        <f t="shared" si="6"/>
        <v>111</v>
      </c>
      <c r="R14" s="748" t="s">
        <v>25</v>
      </c>
      <c r="S14" s="749">
        <f t="shared" si="0"/>
        <v>100</v>
      </c>
      <c r="T14" s="748" t="s">
        <v>25</v>
      </c>
      <c r="U14" s="749">
        <f t="shared" si="1"/>
        <v>100</v>
      </c>
      <c r="V14" s="748" t="s">
        <v>25</v>
      </c>
      <c r="W14" s="749">
        <f t="shared" si="2"/>
        <v>100</v>
      </c>
      <c r="X14" s="750"/>
      <c r="Y14" s="2853"/>
      <c r="Z14" s="23">
        <f t="shared" si="7"/>
        <v>111</v>
      </c>
      <c r="AA14" s="751">
        <f t="shared" si="3"/>
        <v>1</v>
      </c>
      <c r="AB14" s="751">
        <f t="shared" si="4"/>
        <v>1</v>
      </c>
      <c r="AC14" s="751">
        <f t="shared" si="5"/>
        <v>1</v>
      </c>
    </row>
    <row r="15" spans="1:29" ht="69">
      <c r="A15" s="419" t="s">
        <v>2363</v>
      </c>
      <c r="B15" s="613" t="s">
        <v>2478</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3010" t="s">
        <v>2364</v>
      </c>
      <c r="Q15" s="1898" t="str">
        <f t="shared" si="6"/>
        <v>办公集聚程度</v>
      </c>
      <c r="R15" s="752" t="s">
        <v>25</v>
      </c>
      <c r="S15" s="753">
        <f t="shared" si="0"/>
        <v>100</v>
      </c>
      <c r="T15" s="752" t="s">
        <v>25</v>
      </c>
      <c r="U15" s="753">
        <f t="shared" si="1"/>
        <v>100</v>
      </c>
      <c r="V15" s="752" t="s">
        <v>25</v>
      </c>
      <c r="W15" s="753">
        <f t="shared" si="2"/>
        <v>100</v>
      </c>
      <c r="X15" s="1899"/>
      <c r="Y15" s="3030" t="s">
        <v>2364</v>
      </c>
      <c r="Z15" s="1901" t="str">
        <f t="shared" si="7"/>
        <v>办公集聚程度</v>
      </c>
      <c r="AA15" s="1902">
        <f t="shared" si="3"/>
        <v>1</v>
      </c>
      <c r="AB15" s="1902">
        <f t="shared" si="4"/>
        <v>1</v>
      </c>
      <c r="AC15" s="1902">
        <f t="shared" si="5"/>
        <v>1</v>
      </c>
    </row>
    <row r="16" spans="1:29" ht="15">
      <c r="A16" s="408"/>
      <c r="B16" s="614"/>
      <c r="C16" s="1471" t="s">
        <v>30</v>
      </c>
      <c r="D16" s="427"/>
      <c r="E16" s="1471" t="s">
        <v>30</v>
      </c>
      <c r="F16" s="427"/>
      <c r="G16" s="1471" t="s">
        <v>30</v>
      </c>
      <c r="H16" s="430"/>
      <c r="I16" s="1471" t="s">
        <v>30</v>
      </c>
      <c r="J16" s="427"/>
      <c r="K16" s="599"/>
      <c r="L16" s="1252"/>
      <c r="M16" s="1243"/>
      <c r="N16" s="1243"/>
      <c r="O16" s="1243"/>
      <c r="P16" s="3012"/>
      <c r="Q16" s="1898"/>
      <c r="R16" s="752"/>
      <c r="S16" s="753"/>
      <c r="T16" s="752"/>
      <c r="U16" s="753"/>
      <c r="V16" s="752"/>
      <c r="W16" s="753"/>
      <c r="X16" s="1899"/>
      <c r="Y16" s="3031"/>
      <c r="Z16" s="1901"/>
      <c r="AA16" s="1902">
        <v>1</v>
      </c>
      <c r="AB16" s="1902">
        <v>1</v>
      </c>
      <c r="AC16" s="1902">
        <v>1</v>
      </c>
    </row>
    <row r="17" spans="1:29" ht="82.8">
      <c r="A17" s="408"/>
      <c r="B17" s="615" t="s">
        <v>1750</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12"/>
      <c r="Q17" s="1898" t="str">
        <f>B17</f>
        <v>交通便捷度</v>
      </c>
      <c r="R17" s="752" t="s">
        <v>25</v>
      </c>
      <c r="S17" s="753">
        <f>F17</f>
        <v>100</v>
      </c>
      <c r="T17" s="752" t="s">
        <v>25</v>
      </c>
      <c r="U17" s="753">
        <f>H17</f>
        <v>100</v>
      </c>
      <c r="V17" s="752" t="s">
        <v>25</v>
      </c>
      <c r="W17" s="753">
        <f>J17</f>
        <v>100</v>
      </c>
      <c r="X17" s="1899"/>
      <c r="Y17" s="3031"/>
      <c r="Z17" s="1901" t="str">
        <f>Q17</f>
        <v>交通便捷度</v>
      </c>
      <c r="AA17" s="1902">
        <f t="shared" si="3"/>
        <v>1</v>
      </c>
      <c r="AB17" s="1902">
        <f t="shared" si="4"/>
        <v>1</v>
      </c>
      <c r="AC17" s="1902">
        <f t="shared" si="5"/>
        <v>1</v>
      </c>
    </row>
    <row r="18" spans="1:29" ht="15">
      <c r="A18" s="408"/>
      <c r="B18" s="616"/>
      <c r="C18" s="2469" t="s">
        <v>30</v>
      </c>
      <c r="D18" s="430"/>
      <c r="E18" s="2469" t="s">
        <v>30</v>
      </c>
      <c r="F18" s="430"/>
      <c r="G18" s="2469" t="s">
        <v>30</v>
      </c>
      <c r="H18" s="427"/>
      <c r="I18" s="2469" t="s">
        <v>30</v>
      </c>
      <c r="J18" s="427"/>
      <c r="K18" s="599"/>
      <c r="L18" s="1252"/>
      <c r="M18" s="1243"/>
      <c r="N18" s="1243"/>
      <c r="O18" s="1243"/>
      <c r="P18" s="3012"/>
      <c r="Q18" s="1898"/>
      <c r="R18" s="752"/>
      <c r="S18" s="753"/>
      <c r="T18" s="752"/>
      <c r="U18" s="753"/>
      <c r="V18" s="752"/>
      <c r="W18" s="753"/>
      <c r="X18" s="1899"/>
      <c r="Y18" s="3031"/>
      <c r="Z18" s="1901"/>
      <c r="AA18" s="1902">
        <v>1</v>
      </c>
      <c r="AB18" s="1902">
        <v>1</v>
      </c>
      <c r="AC18" s="1902">
        <v>1</v>
      </c>
    </row>
    <row r="19" spans="1:29" ht="41.4">
      <c r="A19" s="408"/>
      <c r="B19" s="615" t="s">
        <v>2479</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12"/>
      <c r="Q19" s="1898" t="str">
        <f>B19</f>
        <v>公共配套设施</v>
      </c>
      <c r="R19" s="752" t="s">
        <v>25</v>
      </c>
      <c r="S19" s="753">
        <f>F19</f>
        <v>100</v>
      </c>
      <c r="T19" s="752" t="s">
        <v>25</v>
      </c>
      <c r="U19" s="753">
        <f>H19</f>
        <v>100</v>
      </c>
      <c r="V19" s="752" t="s">
        <v>25</v>
      </c>
      <c r="W19" s="753">
        <f>J19</f>
        <v>100</v>
      </c>
      <c r="X19" s="1899"/>
      <c r="Y19" s="3031"/>
      <c r="Z19" s="1901" t="str">
        <f>Q19</f>
        <v>公共配套设施</v>
      </c>
      <c r="AA19" s="1902">
        <f t="shared" si="3"/>
        <v>1</v>
      </c>
      <c r="AB19" s="1902">
        <f t="shared" si="4"/>
        <v>1</v>
      </c>
      <c r="AC19" s="1902">
        <f t="shared" si="5"/>
        <v>1</v>
      </c>
    </row>
    <row r="20" spans="1:29" ht="15">
      <c r="A20" s="408"/>
      <c r="B20" s="616"/>
      <c r="C20" s="1471" t="s">
        <v>30</v>
      </c>
      <c r="D20" s="427"/>
      <c r="E20" s="1471" t="s">
        <v>30</v>
      </c>
      <c r="F20" s="427"/>
      <c r="G20" s="1471" t="s">
        <v>30</v>
      </c>
      <c r="H20" s="427"/>
      <c r="I20" s="1471" t="s">
        <v>30</v>
      </c>
      <c r="J20" s="427"/>
      <c r="K20" s="599"/>
      <c r="L20" s="1252"/>
      <c r="M20" s="1243"/>
      <c r="N20" s="1243"/>
      <c r="O20" s="1243"/>
      <c r="P20" s="3012"/>
      <c r="Q20" s="1898"/>
      <c r="R20" s="752"/>
      <c r="S20" s="753"/>
      <c r="T20" s="752"/>
      <c r="U20" s="753"/>
      <c r="V20" s="752"/>
      <c r="W20" s="753"/>
      <c r="X20" s="1899"/>
      <c r="Y20" s="3031"/>
      <c r="Z20" s="1901"/>
      <c r="AA20" s="1902">
        <v>1</v>
      </c>
      <c r="AB20" s="1902">
        <v>1</v>
      </c>
      <c r="AC20" s="1902">
        <v>1</v>
      </c>
    </row>
    <row r="21" spans="1:29" ht="27.6">
      <c r="A21" s="408"/>
      <c r="B21" s="617" t="s">
        <v>2480</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1</v>
      </c>
      <c r="L21" s="1252"/>
      <c r="M21" s="1243"/>
      <c r="N21" s="1243"/>
      <c r="O21" s="1243"/>
      <c r="P21" s="3012"/>
      <c r="Q21" s="1898" t="str">
        <f>B21</f>
        <v>基础设施水平</v>
      </c>
      <c r="R21" s="752" t="s">
        <v>25</v>
      </c>
      <c r="S21" s="753">
        <f>F21</f>
        <v>100</v>
      </c>
      <c r="T21" s="752" t="s">
        <v>25</v>
      </c>
      <c r="U21" s="753">
        <f>H21</f>
        <v>100</v>
      </c>
      <c r="V21" s="752" t="s">
        <v>25</v>
      </c>
      <c r="W21" s="753">
        <f>J21</f>
        <v>100</v>
      </c>
      <c r="X21" s="1899"/>
      <c r="Y21" s="3031"/>
      <c r="Z21" s="1901" t="str">
        <f>Q21</f>
        <v>基础设施水平</v>
      </c>
      <c r="AA21" s="1902">
        <f t="shared" ref="AA21" si="8">D21/F21</f>
        <v>1</v>
      </c>
      <c r="AB21" s="1902">
        <f t="shared" ref="AB21" si="9">D21/H21</f>
        <v>1</v>
      </c>
      <c r="AC21" s="1902">
        <f t="shared" ref="AC21" si="10">D21/J21</f>
        <v>1</v>
      </c>
    </row>
    <row r="22" spans="1:29" ht="15">
      <c r="A22" s="408"/>
      <c r="B22" s="617"/>
      <c r="C22" s="2469" t="s">
        <v>2886</v>
      </c>
      <c r="D22" s="427"/>
      <c r="E22" s="2469" t="s">
        <v>2886</v>
      </c>
      <c r="F22" s="427"/>
      <c r="G22" s="2469" t="s">
        <v>2886</v>
      </c>
      <c r="H22" s="427"/>
      <c r="I22" s="2469" t="s">
        <v>2886</v>
      </c>
      <c r="J22" s="427"/>
      <c r="K22" s="1468"/>
      <c r="L22" s="1252"/>
      <c r="M22" s="1243"/>
      <c r="N22" s="1243"/>
      <c r="O22" s="1243"/>
      <c r="P22" s="3012"/>
      <c r="Q22" s="1898"/>
      <c r="R22" s="752"/>
      <c r="S22" s="753"/>
      <c r="T22" s="752"/>
      <c r="U22" s="753"/>
      <c r="V22" s="752"/>
      <c r="W22" s="753"/>
      <c r="X22" s="1899"/>
      <c r="Y22" s="3031"/>
      <c r="Z22" s="1901"/>
      <c r="AA22" s="1902">
        <v>1</v>
      </c>
      <c r="AB22" s="1902">
        <v>1</v>
      </c>
      <c r="AC22" s="1902">
        <v>1</v>
      </c>
    </row>
    <row r="23" spans="1:29" ht="55.2">
      <c r="A23" s="408"/>
      <c r="B23" s="615" t="s">
        <v>2481</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12"/>
      <c r="Q23" s="1898" t="str">
        <f>B23</f>
        <v>环境质量</v>
      </c>
      <c r="R23" s="752" t="s">
        <v>25</v>
      </c>
      <c r="S23" s="753">
        <f>F23</f>
        <v>100</v>
      </c>
      <c r="T23" s="752" t="s">
        <v>25</v>
      </c>
      <c r="U23" s="753">
        <f>H23</f>
        <v>100</v>
      </c>
      <c r="V23" s="752" t="s">
        <v>25</v>
      </c>
      <c r="W23" s="753">
        <f>J23</f>
        <v>100</v>
      </c>
      <c r="X23" s="1899"/>
      <c r="Y23" s="3031"/>
      <c r="Z23" s="1901" t="str">
        <f>Q23</f>
        <v>环境质量</v>
      </c>
      <c r="AA23" s="1902">
        <f t="shared" si="3"/>
        <v>1</v>
      </c>
      <c r="AB23" s="1902">
        <f t="shared" si="4"/>
        <v>1</v>
      </c>
      <c r="AC23" s="1902">
        <f t="shared" si="5"/>
        <v>1</v>
      </c>
    </row>
    <row r="24" spans="1:29" ht="15">
      <c r="A24" s="408"/>
      <c r="B24" s="617"/>
      <c r="C24" s="1471" t="s">
        <v>31</v>
      </c>
      <c r="D24" s="427"/>
      <c r="E24" s="1471" t="s">
        <v>31</v>
      </c>
      <c r="F24" s="427"/>
      <c r="G24" s="1471" t="s">
        <v>31</v>
      </c>
      <c r="H24" s="427"/>
      <c r="I24" s="1471" t="s">
        <v>31</v>
      </c>
      <c r="J24" s="427"/>
      <c r="K24" s="599"/>
      <c r="L24" s="1252"/>
      <c r="M24" s="1243"/>
      <c r="N24" s="1243"/>
      <c r="O24" s="1243"/>
      <c r="P24" s="3012"/>
      <c r="Q24" s="1898"/>
      <c r="R24" s="752"/>
      <c r="S24" s="753"/>
      <c r="T24" s="752"/>
      <c r="U24" s="753"/>
      <c r="V24" s="752"/>
      <c r="W24" s="753"/>
      <c r="X24" s="1899"/>
      <c r="Y24" s="3031"/>
      <c r="Z24" s="1901"/>
      <c r="AA24" s="1902">
        <v>1</v>
      </c>
      <c r="AB24" s="1902">
        <v>1</v>
      </c>
      <c r="AC24" s="1902">
        <v>1</v>
      </c>
    </row>
    <row r="25" spans="1:29" ht="28.8">
      <c r="A25" s="383"/>
      <c r="B25" s="615" t="s">
        <v>2482</v>
      </c>
      <c r="C25" s="2742" t="s">
        <v>2883</v>
      </c>
      <c r="D25" s="415">
        <v>100</v>
      </c>
      <c r="E25" s="2742" t="s">
        <v>2883</v>
      </c>
      <c r="F25" s="415">
        <f>SUMIF(87:87,E26,88:88)-SUMIF(87:87,C26,88:88)+100</f>
        <v>100</v>
      </c>
      <c r="G25" s="2742" t="s">
        <v>2883</v>
      </c>
      <c r="H25" s="415">
        <f>SUMIF(87:87,G26,88:88)-SUMIF(87:87,C26,88:88)+100</f>
        <v>100</v>
      </c>
      <c r="I25" s="2742" t="s">
        <v>2883</v>
      </c>
      <c r="J25" s="415">
        <f>SUMIF(87:87,I26,88:88)-SUMIF(87:87,C26,88:88)+100</f>
        <v>100</v>
      </c>
      <c r="K25" s="598">
        <v>1</v>
      </c>
      <c r="L25" s="1252"/>
      <c r="M25" s="1243"/>
      <c r="N25" s="1243"/>
      <c r="O25" s="1243"/>
      <c r="P25" s="3012"/>
      <c r="Q25" s="1898" t="str">
        <f>B25</f>
        <v>毗邻道路的类型与等级</v>
      </c>
      <c r="R25" s="752" t="s">
        <v>25</v>
      </c>
      <c r="S25" s="753">
        <f>F25</f>
        <v>100</v>
      </c>
      <c r="T25" s="752" t="s">
        <v>25</v>
      </c>
      <c r="U25" s="753">
        <f>H25</f>
        <v>100</v>
      </c>
      <c r="V25" s="752" t="s">
        <v>25</v>
      </c>
      <c r="W25" s="753">
        <f>J25</f>
        <v>100</v>
      </c>
      <c r="X25" s="1899"/>
      <c r="Y25" s="3031"/>
      <c r="Z25" s="1901" t="str">
        <f>Q25</f>
        <v>毗邻道路的类型与等级</v>
      </c>
      <c r="AA25" s="1902">
        <f t="shared" si="3"/>
        <v>1</v>
      </c>
      <c r="AB25" s="1902">
        <f t="shared" si="4"/>
        <v>1</v>
      </c>
      <c r="AC25" s="1902">
        <f t="shared" si="5"/>
        <v>1</v>
      </c>
    </row>
    <row r="26" spans="1:29" ht="15">
      <c r="A26" s="383"/>
      <c r="B26" s="616"/>
      <c r="C26" s="618" t="s">
        <v>2884</v>
      </c>
      <c r="D26" s="415"/>
      <c r="E26" s="618" t="s">
        <v>2884</v>
      </c>
      <c r="F26" s="415"/>
      <c r="G26" s="618" t="s">
        <v>2884</v>
      </c>
      <c r="H26" s="415"/>
      <c r="I26" s="618" t="s">
        <v>2884</v>
      </c>
      <c r="J26" s="415"/>
      <c r="K26" s="599"/>
      <c r="L26" s="1252"/>
      <c r="M26" s="1243"/>
      <c r="N26" s="1243"/>
      <c r="O26" s="1243"/>
      <c r="P26" s="3012"/>
      <c r="Q26" s="1898"/>
      <c r="R26" s="752"/>
      <c r="S26" s="753"/>
      <c r="T26" s="752"/>
      <c r="U26" s="753"/>
      <c r="V26" s="752"/>
      <c r="W26" s="753"/>
      <c r="X26" s="1899"/>
      <c r="Y26" s="3031"/>
      <c r="Z26" s="1901"/>
      <c r="AA26" s="1902">
        <v>1</v>
      </c>
      <c r="AB26" s="1902">
        <v>1</v>
      </c>
      <c r="AC26" s="1902">
        <v>1</v>
      </c>
    </row>
    <row r="27" spans="1:29" ht="15">
      <c r="A27" s="408"/>
      <c r="B27" s="616" t="s">
        <v>2455</v>
      </c>
      <c r="C27" s="618" t="s">
        <v>2885</v>
      </c>
      <c r="D27" s="415">
        <v>100</v>
      </c>
      <c r="E27" s="600" t="s">
        <v>2888</v>
      </c>
      <c r="F27" s="415">
        <f>SUMIF(89:89,E27,90:90)-SUMIF(89:89,C27,90:90)+100</f>
        <v>102</v>
      </c>
      <c r="G27" s="618" t="s">
        <v>2888</v>
      </c>
      <c r="H27" s="415">
        <f>SUMIF(89:89,G27,90:90)-SUMIF(89:89,C27,90:90)+100</f>
        <v>102</v>
      </c>
      <c r="I27" s="600" t="s">
        <v>2887</v>
      </c>
      <c r="J27" s="415">
        <f>SUMIF(89:89,I27,90:90)-SUMIF(89:89,C27,90:90)+100</f>
        <v>98</v>
      </c>
      <c r="K27" s="596">
        <v>2</v>
      </c>
      <c r="L27" s="1252"/>
      <c r="M27" s="1243"/>
      <c r="N27" s="1243"/>
      <c r="O27" s="1243"/>
      <c r="P27" s="3012"/>
      <c r="Q27" s="1898" t="str">
        <f t="shared" ref="Q27:Q47" si="11">B27</f>
        <v>楼层</v>
      </c>
      <c r="R27" s="752" t="s">
        <v>25</v>
      </c>
      <c r="S27" s="753">
        <f>F27</f>
        <v>102</v>
      </c>
      <c r="T27" s="752" t="s">
        <v>25</v>
      </c>
      <c r="U27" s="753">
        <f>H27</f>
        <v>102</v>
      </c>
      <c r="V27" s="752" t="s">
        <v>25</v>
      </c>
      <c r="W27" s="753">
        <f>J27</f>
        <v>98</v>
      </c>
      <c r="X27" s="1899"/>
      <c r="Y27" s="3031"/>
      <c r="Z27" s="1901" t="str">
        <f>Q27</f>
        <v>楼层</v>
      </c>
      <c r="AA27" s="1902">
        <f t="shared" si="3"/>
        <v>0.98039215686274506</v>
      </c>
      <c r="AB27" s="1902">
        <f t="shared" si="4"/>
        <v>0.98039215686274506</v>
      </c>
      <c r="AC27" s="1902">
        <f t="shared" si="5"/>
        <v>1.0204081632653061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v>2</v>
      </c>
      <c r="L28" s="1244"/>
      <c r="M28" s="1245"/>
      <c r="N28" s="1245"/>
      <c r="O28" s="1245"/>
      <c r="P28" s="3012"/>
      <c r="Q28" s="1886" t="str">
        <f t="shared" si="11"/>
        <v>朝向</v>
      </c>
      <c r="R28" s="748" t="s">
        <v>25</v>
      </c>
      <c r="S28" s="749">
        <f>F28</f>
        <v>100</v>
      </c>
      <c r="T28" s="748" t="s">
        <v>25</v>
      </c>
      <c r="U28" s="749">
        <f>H28</f>
        <v>100</v>
      </c>
      <c r="V28" s="748" t="s">
        <v>25</v>
      </c>
      <c r="W28" s="749">
        <f>J28</f>
        <v>100</v>
      </c>
      <c r="X28" s="750"/>
      <c r="Y28" s="3031"/>
      <c r="Z28" s="23" t="str">
        <f>Q28</f>
        <v>朝向</v>
      </c>
      <c r="AA28" s="1902">
        <f>D28/F28</f>
        <v>1</v>
      </c>
      <c r="AB28" s="1902">
        <f>D28/H28</f>
        <v>1</v>
      </c>
      <c r="AC28" s="1902">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12"/>
      <c r="Q29" s="1898">
        <f t="shared" si="11"/>
        <v>111</v>
      </c>
      <c r="R29" s="752" t="s">
        <v>25</v>
      </c>
      <c r="S29" s="753">
        <f t="shared" ref="S29:S47" si="12">F29</f>
        <v>100</v>
      </c>
      <c r="T29" s="752" t="s">
        <v>25</v>
      </c>
      <c r="U29" s="753">
        <f t="shared" ref="U29:U47" si="13">H29</f>
        <v>100</v>
      </c>
      <c r="V29" s="752" t="s">
        <v>25</v>
      </c>
      <c r="W29" s="753">
        <f t="shared" ref="W29:W47" si="14">J29</f>
        <v>100</v>
      </c>
      <c r="X29" s="1899"/>
      <c r="Y29" s="3031"/>
      <c r="Z29" s="1901">
        <f t="shared" ref="Z29:Z47" si="15">Q29</f>
        <v>111</v>
      </c>
      <c r="AA29" s="1902">
        <f t="shared" si="3"/>
        <v>1</v>
      </c>
      <c r="AB29" s="1902">
        <f t="shared" si="4"/>
        <v>1</v>
      </c>
      <c r="AC29" s="1902">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12"/>
      <c r="Q30" s="1898">
        <f t="shared" si="11"/>
        <v>111</v>
      </c>
      <c r="R30" s="752" t="s">
        <v>25</v>
      </c>
      <c r="S30" s="753">
        <f t="shared" si="12"/>
        <v>100</v>
      </c>
      <c r="T30" s="752" t="s">
        <v>25</v>
      </c>
      <c r="U30" s="753">
        <f t="shared" si="13"/>
        <v>100</v>
      </c>
      <c r="V30" s="752" t="s">
        <v>25</v>
      </c>
      <c r="W30" s="753">
        <f t="shared" si="14"/>
        <v>100</v>
      </c>
      <c r="X30" s="1899"/>
      <c r="Y30" s="3031"/>
      <c r="Z30" s="1901">
        <f t="shared" si="15"/>
        <v>111</v>
      </c>
      <c r="AA30" s="1902">
        <f t="shared" si="3"/>
        <v>1</v>
      </c>
      <c r="AB30" s="1902">
        <f t="shared" si="4"/>
        <v>1</v>
      </c>
      <c r="AC30" s="1902">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12"/>
      <c r="Q31" s="1898">
        <f t="shared" si="11"/>
        <v>111</v>
      </c>
      <c r="R31" s="752" t="s">
        <v>25</v>
      </c>
      <c r="S31" s="753">
        <f t="shared" si="12"/>
        <v>100</v>
      </c>
      <c r="T31" s="752" t="s">
        <v>25</v>
      </c>
      <c r="U31" s="753">
        <f t="shared" si="13"/>
        <v>100</v>
      </c>
      <c r="V31" s="752" t="s">
        <v>25</v>
      </c>
      <c r="W31" s="753">
        <f t="shared" si="14"/>
        <v>100</v>
      </c>
      <c r="X31" s="1899"/>
      <c r="Y31" s="3031"/>
      <c r="Z31" s="1901">
        <f t="shared" si="15"/>
        <v>111</v>
      </c>
      <c r="AA31" s="1902">
        <f t="shared" si="3"/>
        <v>1</v>
      </c>
      <c r="AB31" s="1902">
        <f t="shared" si="4"/>
        <v>1</v>
      </c>
      <c r="AC31" s="1902">
        <f t="shared" si="5"/>
        <v>1</v>
      </c>
    </row>
    <row r="32" spans="1:29" ht="15.6"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12"/>
      <c r="Q32" s="1898">
        <f t="shared" si="11"/>
        <v>111</v>
      </c>
      <c r="R32" s="752" t="s">
        <v>25</v>
      </c>
      <c r="S32" s="753">
        <f t="shared" si="12"/>
        <v>100</v>
      </c>
      <c r="T32" s="752" t="s">
        <v>25</v>
      </c>
      <c r="U32" s="753">
        <f t="shared" si="13"/>
        <v>100</v>
      </c>
      <c r="V32" s="752" t="s">
        <v>25</v>
      </c>
      <c r="W32" s="753">
        <f t="shared" si="14"/>
        <v>100</v>
      </c>
      <c r="X32" s="1899"/>
      <c r="Y32" s="3031"/>
      <c r="Z32" s="1901">
        <f t="shared" si="15"/>
        <v>111</v>
      </c>
      <c r="AA32" s="1902">
        <f t="shared" si="3"/>
        <v>1</v>
      </c>
      <c r="AB32" s="1902">
        <f t="shared" si="4"/>
        <v>1</v>
      </c>
      <c r="AC32" s="1902">
        <f t="shared" si="5"/>
        <v>1</v>
      </c>
    </row>
    <row r="33" spans="1:29" ht="15">
      <c r="A33" s="419" t="s">
        <v>2368</v>
      </c>
      <c r="B33" s="28" t="s">
        <v>2484</v>
      </c>
      <c r="C33" s="2473" t="s">
        <v>2875</v>
      </c>
      <c r="D33" s="448">
        <v>100</v>
      </c>
      <c r="E33" s="2473" t="s">
        <v>2875</v>
      </c>
      <c r="F33" s="442">
        <f>SUMIF(101:101,E33,102:102)-SUMIF(101:101,C33,102:102)+100</f>
        <v>100</v>
      </c>
      <c r="G33" s="2473" t="s">
        <v>2875</v>
      </c>
      <c r="H33" s="415">
        <f>SUMIF(101:101,G33,102:102)-SUMIF(101:101,C33,102:102)+100</f>
        <v>100</v>
      </c>
      <c r="I33" s="2473" t="s">
        <v>2875</v>
      </c>
      <c r="J33" s="448">
        <f>SUMIF(101:101,I33,102:102)-SUMIF(101:101,C33,102:102)+100</f>
        <v>100</v>
      </c>
      <c r="K33" s="596">
        <v>2</v>
      </c>
      <c r="L33" s="1252"/>
      <c r="M33" s="1243"/>
      <c r="N33" s="1243"/>
      <c r="O33" s="1243"/>
      <c r="P33" s="3055" t="s">
        <v>2370</v>
      </c>
      <c r="Q33" s="1898" t="str">
        <f t="shared" si="11"/>
        <v>建筑类型</v>
      </c>
      <c r="R33" s="752" t="s">
        <v>25</v>
      </c>
      <c r="S33" s="753">
        <f t="shared" si="12"/>
        <v>100</v>
      </c>
      <c r="T33" s="752" t="s">
        <v>25</v>
      </c>
      <c r="U33" s="753">
        <f t="shared" si="13"/>
        <v>100</v>
      </c>
      <c r="V33" s="752" t="s">
        <v>25</v>
      </c>
      <c r="W33" s="753">
        <f t="shared" si="14"/>
        <v>100</v>
      </c>
      <c r="X33" s="1899"/>
      <c r="Y33" s="3035" t="s">
        <v>2370</v>
      </c>
      <c r="Z33" s="1901" t="str">
        <f t="shared" si="15"/>
        <v>建筑类型</v>
      </c>
      <c r="AA33" s="1902">
        <f t="shared" si="3"/>
        <v>1</v>
      </c>
      <c r="AB33" s="1902">
        <f t="shared" si="4"/>
        <v>1</v>
      </c>
      <c r="AC33" s="1902">
        <f t="shared" si="5"/>
        <v>1</v>
      </c>
    </row>
    <row r="34" spans="1:29" s="452" customFormat="1" ht="15">
      <c r="A34" s="449"/>
      <c r="B34" s="402" t="s">
        <v>2371</v>
      </c>
      <c r="C34" s="450">
        <f>D3</f>
        <v>158.38</v>
      </c>
      <c r="D34" s="52">
        <v>100</v>
      </c>
      <c r="E34" s="450">
        <v>157</v>
      </c>
      <c r="F34" s="405">
        <f>LOOKUP(E34,104:104,105:105)-LOOKUP(C34,104:104,105:105)+100</f>
        <v>100</v>
      </c>
      <c r="G34" s="450">
        <v>520</v>
      </c>
      <c r="H34" s="52">
        <f>LOOKUP(G34,104:104,105:105)-LOOKUP(C34,104:104,105:105)+100</f>
        <v>100</v>
      </c>
      <c r="I34" s="450">
        <v>385</v>
      </c>
      <c r="J34" s="52">
        <f>LOOKUP(I34,104:104,105:105)-LOOKUP(C34,104:104,105:105)+100</f>
        <v>102</v>
      </c>
      <c r="K34" s="597"/>
      <c r="L34" s="1250"/>
      <c r="M34" s="1253"/>
      <c r="N34" s="1253"/>
      <c r="O34" s="1253"/>
      <c r="P34" s="3056"/>
      <c r="Q34" s="754" t="str">
        <f t="shared" si="11"/>
        <v>项目建筑规模</v>
      </c>
      <c r="R34" s="755" t="s">
        <v>25</v>
      </c>
      <c r="S34" s="756">
        <f t="shared" si="12"/>
        <v>100</v>
      </c>
      <c r="T34" s="755" t="s">
        <v>25</v>
      </c>
      <c r="U34" s="756">
        <f t="shared" si="13"/>
        <v>100</v>
      </c>
      <c r="V34" s="755" t="s">
        <v>25</v>
      </c>
      <c r="W34" s="756">
        <f t="shared" si="14"/>
        <v>102</v>
      </c>
      <c r="X34" s="757"/>
      <c r="Y34" s="3035"/>
      <c r="Z34" s="758" t="str">
        <f t="shared" si="15"/>
        <v>项目建筑规模</v>
      </c>
      <c r="AA34" s="1902">
        <f t="shared" si="3"/>
        <v>1</v>
      </c>
      <c r="AB34" s="1902">
        <f t="shared" si="4"/>
        <v>1</v>
      </c>
      <c r="AC34" s="1902">
        <f t="shared" si="5"/>
        <v>0.98039215686274506</v>
      </c>
    </row>
    <row r="35" spans="1:29" ht="15">
      <c r="A35" s="453"/>
      <c r="B35" s="402" t="s">
        <v>2372</v>
      </c>
      <c r="C35" s="441" t="s">
        <v>2876</v>
      </c>
      <c r="D35" s="415">
        <v>100</v>
      </c>
      <c r="E35" s="441" t="s">
        <v>2876</v>
      </c>
      <c r="F35" s="442">
        <f>SUMIF(106:106,E35,107:107)-SUMIF(106:106,C35,107:107)+100</f>
        <v>100</v>
      </c>
      <c r="G35" s="441" t="s">
        <v>2876</v>
      </c>
      <c r="H35" s="415">
        <f>SUMIF(106:106,G35,107:107)-SUMIF(106:106,C35,107:107)+100</f>
        <v>100</v>
      </c>
      <c r="I35" s="441" t="s">
        <v>2876</v>
      </c>
      <c r="J35" s="415">
        <f>SUMIF(106:106,I35,107:107)-SUMIF(106:106,C35,107:107)+100</f>
        <v>100</v>
      </c>
      <c r="K35" s="596">
        <v>1</v>
      </c>
      <c r="L35" s="1252"/>
      <c r="M35" s="1243"/>
      <c r="N35" s="1243"/>
      <c r="O35" s="1243"/>
      <c r="P35" s="3056"/>
      <c r="Q35" s="1898" t="str">
        <f t="shared" si="11"/>
        <v>建筑结构</v>
      </c>
      <c r="R35" s="752" t="s">
        <v>25</v>
      </c>
      <c r="S35" s="753">
        <f t="shared" si="12"/>
        <v>100</v>
      </c>
      <c r="T35" s="752" t="s">
        <v>25</v>
      </c>
      <c r="U35" s="753">
        <f t="shared" si="13"/>
        <v>100</v>
      </c>
      <c r="V35" s="752" t="s">
        <v>25</v>
      </c>
      <c r="W35" s="753">
        <f t="shared" si="14"/>
        <v>100</v>
      </c>
      <c r="X35" s="1899"/>
      <c r="Y35" s="3035"/>
      <c r="Z35" s="1901" t="str">
        <f t="shared" si="15"/>
        <v>建筑结构</v>
      </c>
      <c r="AA35" s="1902">
        <f t="shared" si="3"/>
        <v>1</v>
      </c>
      <c r="AB35" s="1902">
        <f t="shared" si="4"/>
        <v>1</v>
      </c>
      <c r="AC35" s="1902">
        <f t="shared" si="5"/>
        <v>1</v>
      </c>
    </row>
    <row r="36" spans="1:29" ht="15">
      <c r="A36" s="453"/>
      <c r="B36" s="402" t="s">
        <v>2457</v>
      </c>
      <c r="C36" s="441" t="s">
        <v>2877</v>
      </c>
      <c r="D36" s="415">
        <v>100</v>
      </c>
      <c r="E36" s="441" t="s">
        <v>2877</v>
      </c>
      <c r="F36" s="442">
        <f>SUMIF(108:108,E36,109:109)-SUMIF(108:108,C36,109:109)+100</f>
        <v>100</v>
      </c>
      <c r="G36" s="441" t="s">
        <v>2877</v>
      </c>
      <c r="H36" s="415">
        <f>SUMIF(108:108,G36,109:109)-SUMIF(108:108,C36,109:109)+100</f>
        <v>100</v>
      </c>
      <c r="I36" s="441" t="s">
        <v>2877</v>
      </c>
      <c r="J36" s="415">
        <f>SUMIF(108:108,I36,109:109)-SUMIF(108:108,C36,109:109)+100</f>
        <v>100</v>
      </c>
      <c r="K36" s="596">
        <v>2</v>
      </c>
      <c r="L36" s="1252"/>
      <c r="M36" s="1243"/>
      <c r="N36" s="1243"/>
      <c r="O36" s="1243"/>
      <c r="P36" s="3056"/>
      <c r="Q36" s="1898" t="str">
        <f t="shared" si="11"/>
        <v>公共部分装修</v>
      </c>
      <c r="R36" s="752" t="s">
        <v>25</v>
      </c>
      <c r="S36" s="753">
        <f t="shared" si="12"/>
        <v>100</v>
      </c>
      <c r="T36" s="752" t="s">
        <v>25</v>
      </c>
      <c r="U36" s="753">
        <f t="shared" si="13"/>
        <v>100</v>
      </c>
      <c r="V36" s="752" t="s">
        <v>25</v>
      </c>
      <c r="W36" s="753">
        <f t="shared" si="14"/>
        <v>100</v>
      </c>
      <c r="X36" s="1899"/>
      <c r="Y36" s="3035"/>
      <c r="Z36" s="1901" t="str">
        <f t="shared" si="15"/>
        <v>公共部分装修</v>
      </c>
      <c r="AA36" s="1902">
        <f t="shared" si="3"/>
        <v>1</v>
      </c>
      <c r="AB36" s="1902">
        <f t="shared" si="4"/>
        <v>1</v>
      </c>
      <c r="AC36" s="1902">
        <f t="shared" si="5"/>
        <v>1</v>
      </c>
    </row>
    <row r="37" spans="1:29" ht="15">
      <c r="A37" s="453"/>
      <c r="B37" s="402" t="s">
        <v>2458</v>
      </c>
      <c r="C37" s="455">
        <f>'数据-取费表'!E20</f>
        <v>0.9</v>
      </c>
      <c r="D37" s="415">
        <v>100</v>
      </c>
      <c r="E37" s="455">
        <f>C37</f>
        <v>0.9</v>
      </c>
      <c r="F37" s="442">
        <f>LOOKUP(E37,111:111,112:112)-LOOKUP(C37,111:111,112:112)+100</f>
        <v>100</v>
      </c>
      <c r="G37" s="455">
        <f>C37</f>
        <v>0.9</v>
      </c>
      <c r="H37" s="442">
        <f>LOOKUP(G37,111:111,112:112)-LOOKUP(C37,111:111,112:112)+100</f>
        <v>100</v>
      </c>
      <c r="I37" s="455">
        <f>C37</f>
        <v>0.9</v>
      </c>
      <c r="J37" s="415">
        <f>LOOKUP(I37,111:111,112:112)-LOOKUP(C37,111:111,112:112)+100</f>
        <v>100</v>
      </c>
      <c r="K37" s="596">
        <v>1</v>
      </c>
      <c r="L37" s="1252"/>
      <c r="M37" s="1243"/>
      <c r="N37" s="1243"/>
      <c r="O37" s="1243"/>
      <c r="P37" s="3056"/>
      <c r="Q37" s="1898" t="str">
        <f t="shared" si="11"/>
        <v>成新度</v>
      </c>
      <c r="R37" s="752" t="s">
        <v>25</v>
      </c>
      <c r="S37" s="753">
        <f t="shared" si="12"/>
        <v>100</v>
      </c>
      <c r="T37" s="752" t="s">
        <v>25</v>
      </c>
      <c r="U37" s="753">
        <f t="shared" si="13"/>
        <v>100</v>
      </c>
      <c r="V37" s="752" t="s">
        <v>25</v>
      </c>
      <c r="W37" s="753">
        <f t="shared" si="14"/>
        <v>100</v>
      </c>
      <c r="X37" s="1899"/>
      <c r="Y37" s="3035"/>
      <c r="Z37" s="1901" t="str">
        <f t="shared" si="15"/>
        <v>成新度</v>
      </c>
      <c r="AA37" s="1902">
        <f t="shared" si="3"/>
        <v>1</v>
      </c>
      <c r="AB37" s="1902">
        <f t="shared" si="4"/>
        <v>1</v>
      </c>
      <c r="AC37" s="1902">
        <f t="shared" si="5"/>
        <v>1</v>
      </c>
    </row>
    <row r="38" spans="1:29" s="35" customFormat="1" ht="15">
      <c r="A38" s="454"/>
      <c r="B38" s="402" t="s">
        <v>2485</v>
      </c>
      <c r="C38" s="441" t="s">
        <v>2878</v>
      </c>
      <c r="D38" s="52">
        <v>100</v>
      </c>
      <c r="E38" s="441" t="s">
        <v>2878</v>
      </c>
      <c r="F38" s="442">
        <f>SUMIF(113:113,E38,114:114)-SUMIF(113:113,C38,114:114)+100</f>
        <v>100</v>
      </c>
      <c r="G38" s="441" t="s">
        <v>2878</v>
      </c>
      <c r="H38" s="415">
        <f>SUMIF(113:113,G38,114:114)-SUMIF(113:113,C38,114:114)+100</f>
        <v>100</v>
      </c>
      <c r="I38" s="441" t="s">
        <v>2878</v>
      </c>
      <c r="J38" s="415">
        <f>SUMIF(113:113,I38,114:114)-SUMIF(113:113,C38,114:114)+100</f>
        <v>100</v>
      </c>
      <c r="K38" s="596">
        <v>2</v>
      </c>
      <c r="L38" s="1244"/>
      <c r="M38" s="1245"/>
      <c r="N38" s="1245"/>
      <c r="O38" s="1245"/>
      <c r="P38" s="3056"/>
      <c r="Q38" s="1886" t="str">
        <f t="shared" si="11"/>
        <v>写字楼等级</v>
      </c>
      <c r="R38" s="748" t="s">
        <v>25</v>
      </c>
      <c r="S38" s="749">
        <f t="shared" si="12"/>
        <v>100</v>
      </c>
      <c r="T38" s="748" t="s">
        <v>25</v>
      </c>
      <c r="U38" s="749">
        <f t="shared" si="13"/>
        <v>100</v>
      </c>
      <c r="V38" s="748" t="s">
        <v>25</v>
      </c>
      <c r="W38" s="749">
        <f t="shared" si="14"/>
        <v>100</v>
      </c>
      <c r="X38" s="750"/>
      <c r="Y38" s="3035"/>
      <c r="Z38" s="23" t="str">
        <f t="shared" si="15"/>
        <v>写字楼等级</v>
      </c>
      <c r="AA38" s="751">
        <f t="shared" si="3"/>
        <v>1</v>
      </c>
      <c r="AB38" s="751">
        <f t="shared" si="4"/>
        <v>1</v>
      </c>
      <c r="AC38" s="751">
        <f t="shared" si="5"/>
        <v>1</v>
      </c>
    </row>
    <row r="39" spans="1:29" ht="15">
      <c r="A39" s="453"/>
      <c r="B39" s="402" t="s">
        <v>2486</v>
      </c>
      <c r="C39" s="441" t="s">
        <v>2879</v>
      </c>
      <c r="D39" s="415">
        <v>100</v>
      </c>
      <c r="E39" s="441" t="s">
        <v>2879</v>
      </c>
      <c r="F39" s="442">
        <f>SUMIF(115:115,E39,116:116)-SUMIF(115:115,C39,116:116)+100</f>
        <v>100</v>
      </c>
      <c r="G39" s="441" t="s">
        <v>2879</v>
      </c>
      <c r="H39" s="415">
        <f>SUMIF(115:115,G39,116:116)-SUMIF(115:115,C39,116:116)+100</f>
        <v>100</v>
      </c>
      <c r="I39" s="441" t="s">
        <v>2879</v>
      </c>
      <c r="J39" s="415">
        <f>SUMIF(115:115,I39,116:116)-SUMIF(115:115,C39,116:116)+100</f>
        <v>100</v>
      </c>
      <c r="K39" s="596">
        <v>2</v>
      </c>
      <c r="L39" s="1252"/>
      <c r="M39" s="1243"/>
      <c r="N39" s="1243"/>
      <c r="O39" s="1243"/>
      <c r="P39" s="3056" t="s">
        <v>2370</v>
      </c>
      <c r="Q39" s="1898" t="str">
        <f t="shared" si="11"/>
        <v>物业管理</v>
      </c>
      <c r="R39" s="752" t="s">
        <v>25</v>
      </c>
      <c r="S39" s="753">
        <f t="shared" si="12"/>
        <v>100</v>
      </c>
      <c r="T39" s="752" t="s">
        <v>25</v>
      </c>
      <c r="U39" s="753">
        <f t="shared" si="13"/>
        <v>100</v>
      </c>
      <c r="V39" s="752" t="s">
        <v>25</v>
      </c>
      <c r="W39" s="753">
        <f t="shared" si="14"/>
        <v>100</v>
      </c>
      <c r="X39" s="1899"/>
      <c r="Y39" s="3035" t="s">
        <v>2370</v>
      </c>
      <c r="Z39" s="1901" t="str">
        <f t="shared" si="15"/>
        <v>物业管理</v>
      </c>
      <c r="AA39" s="1902">
        <f t="shared" si="3"/>
        <v>1</v>
      </c>
      <c r="AB39" s="1902">
        <f t="shared" si="4"/>
        <v>1</v>
      </c>
      <c r="AC39" s="1902">
        <f t="shared" si="5"/>
        <v>1</v>
      </c>
    </row>
    <row r="40" spans="1:29" ht="15">
      <c r="A40" s="453"/>
      <c r="B40" s="402" t="s">
        <v>2459</v>
      </c>
      <c r="C40" s="441" t="s">
        <v>2880</v>
      </c>
      <c r="D40" s="415">
        <v>100</v>
      </c>
      <c r="E40" s="441" t="s">
        <v>2880</v>
      </c>
      <c r="F40" s="442">
        <f>SUMIF(117:117,E40,118:118)-SUMIF(117:117,C40,118:118)+100</f>
        <v>100</v>
      </c>
      <c r="G40" s="441" t="s">
        <v>2880</v>
      </c>
      <c r="H40" s="415">
        <f>SUMIF(117:117,G40,118:118)-SUMIF(117:117,C40,118:118)+100</f>
        <v>100</v>
      </c>
      <c r="I40" s="441" t="s">
        <v>2880</v>
      </c>
      <c r="J40" s="415">
        <f>SUMIF(117:117,I40,118:118)-SUMIF(117:117,C40,118:118)+100</f>
        <v>100</v>
      </c>
      <c r="K40" s="596">
        <v>1</v>
      </c>
      <c r="L40" s="1252"/>
      <c r="M40" s="1243"/>
      <c r="N40" s="1243"/>
      <c r="O40" s="1243"/>
      <c r="P40" s="3056"/>
      <c r="Q40" s="1898" t="str">
        <f t="shared" si="11"/>
        <v>市政基础设施</v>
      </c>
      <c r="R40" s="752" t="s">
        <v>25</v>
      </c>
      <c r="S40" s="753">
        <f t="shared" si="12"/>
        <v>100</v>
      </c>
      <c r="T40" s="752" t="s">
        <v>25</v>
      </c>
      <c r="U40" s="753">
        <f t="shared" si="13"/>
        <v>100</v>
      </c>
      <c r="V40" s="752" t="s">
        <v>25</v>
      </c>
      <c r="W40" s="753">
        <f t="shared" si="14"/>
        <v>100</v>
      </c>
      <c r="X40" s="1899"/>
      <c r="Y40" s="3035"/>
      <c r="Z40" s="1901" t="str">
        <f t="shared" si="15"/>
        <v>市政基础设施</v>
      </c>
      <c r="AA40" s="1902">
        <f t="shared" si="3"/>
        <v>1</v>
      </c>
      <c r="AB40" s="1902">
        <f t="shared" si="4"/>
        <v>1</v>
      </c>
      <c r="AC40" s="1902">
        <f t="shared" si="5"/>
        <v>1</v>
      </c>
    </row>
    <row r="41" spans="1:29" ht="15">
      <c r="A41" s="453"/>
      <c r="B41" s="402" t="s">
        <v>2461</v>
      </c>
      <c r="C41" s="600" t="s">
        <v>2881</v>
      </c>
      <c r="D41" s="415">
        <v>100</v>
      </c>
      <c r="E41" s="600" t="s">
        <v>2881</v>
      </c>
      <c r="F41" s="442">
        <f>SUMIF(119:119,E41,120:120)-SUMIF(119:119,C41,120:120)+100</f>
        <v>100</v>
      </c>
      <c r="G41" s="600" t="s">
        <v>2881</v>
      </c>
      <c r="H41" s="415">
        <f>SUMIF(119:119,G41,120:120)-SUMIF(119:119,C41,120:120)+100</f>
        <v>100</v>
      </c>
      <c r="I41" s="600" t="s">
        <v>2881</v>
      </c>
      <c r="J41" s="415">
        <f>SUMIF(119:119,I41,120:120)-SUMIF(119:119,C41,120:120)+100</f>
        <v>100</v>
      </c>
      <c r="K41" s="596">
        <v>2</v>
      </c>
      <c r="L41" s="1252"/>
      <c r="M41" s="1243"/>
      <c r="N41" s="1243"/>
      <c r="O41" s="1243"/>
      <c r="P41" s="3056"/>
      <c r="Q41" s="1898" t="str">
        <f t="shared" si="11"/>
        <v>层高</v>
      </c>
      <c r="R41" s="752" t="s">
        <v>25</v>
      </c>
      <c r="S41" s="753">
        <f t="shared" si="12"/>
        <v>100</v>
      </c>
      <c r="T41" s="752" t="s">
        <v>25</v>
      </c>
      <c r="U41" s="753">
        <f t="shared" si="13"/>
        <v>100</v>
      </c>
      <c r="V41" s="752" t="s">
        <v>25</v>
      </c>
      <c r="W41" s="753">
        <f t="shared" si="14"/>
        <v>100</v>
      </c>
      <c r="X41" s="1899"/>
      <c r="Y41" s="3035"/>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6"/>
      <c r="Q42" s="754" t="str">
        <f t="shared" si="11"/>
        <v>单套建筑面积</v>
      </c>
      <c r="R42" s="755" t="s">
        <v>25</v>
      </c>
      <c r="S42" s="756">
        <f t="shared" si="12"/>
        <v>100</v>
      </c>
      <c r="T42" s="755" t="s">
        <v>25</v>
      </c>
      <c r="U42" s="756">
        <f t="shared" si="13"/>
        <v>100</v>
      </c>
      <c r="V42" s="755" t="s">
        <v>25</v>
      </c>
      <c r="W42" s="756">
        <f t="shared" si="14"/>
        <v>100</v>
      </c>
      <c r="X42" s="757"/>
      <c r="Y42" s="3035"/>
      <c r="Z42" s="758" t="str">
        <f t="shared" si="15"/>
        <v>单套建筑面积</v>
      </c>
      <c r="AA42" s="1902">
        <f t="shared" si="3"/>
        <v>1</v>
      </c>
      <c r="AB42" s="1902">
        <f t="shared" si="4"/>
        <v>1</v>
      </c>
      <c r="AC42" s="1902">
        <f t="shared" si="5"/>
        <v>1</v>
      </c>
    </row>
    <row r="43" spans="1:29" ht="15">
      <c r="A43" s="453"/>
      <c r="B43" s="402" t="s">
        <v>2464</v>
      </c>
      <c r="C43" s="441" t="s">
        <v>2882</v>
      </c>
      <c r="D43" s="415">
        <v>100</v>
      </c>
      <c r="E43" s="441" t="s">
        <v>2882</v>
      </c>
      <c r="F43" s="442">
        <f>SUMIF(123:123,E43,124:124)-SUMIF(123:123,C43,124:124)+100</f>
        <v>100</v>
      </c>
      <c r="G43" s="441" t="s">
        <v>2882</v>
      </c>
      <c r="H43" s="415">
        <f>SUMIF(123:123,G43,124:124)-SUMIF(123:123,C43,124:124)+100</f>
        <v>100</v>
      </c>
      <c r="I43" s="441" t="s">
        <v>2882</v>
      </c>
      <c r="J43" s="415">
        <f>SUMIF(123:123,I43,124:124)-SUMIF(123:123,C43,124:124)+100</f>
        <v>100</v>
      </c>
      <c r="K43" s="596">
        <v>2</v>
      </c>
      <c r="L43" s="1252"/>
      <c r="M43" s="1243"/>
      <c r="N43" s="1243"/>
      <c r="O43" s="1243"/>
      <c r="P43" s="3056"/>
      <c r="Q43" s="1898" t="str">
        <f t="shared" si="11"/>
        <v>内部装修</v>
      </c>
      <c r="R43" s="752" t="s">
        <v>25</v>
      </c>
      <c r="S43" s="753">
        <f t="shared" si="12"/>
        <v>100</v>
      </c>
      <c r="T43" s="752" t="s">
        <v>25</v>
      </c>
      <c r="U43" s="753">
        <f t="shared" si="13"/>
        <v>100</v>
      </c>
      <c r="V43" s="752" t="s">
        <v>25</v>
      </c>
      <c r="W43" s="753">
        <f t="shared" si="14"/>
        <v>100</v>
      </c>
      <c r="X43" s="1899"/>
      <c r="Y43" s="3035"/>
      <c r="Z43" s="1901" t="str">
        <f t="shared" si="15"/>
        <v>内部装修</v>
      </c>
      <c r="AA43" s="1902">
        <f t="shared" si="3"/>
        <v>1</v>
      </c>
      <c r="AB43" s="1902">
        <f t="shared" si="4"/>
        <v>1</v>
      </c>
      <c r="AC43" s="1902">
        <f t="shared" si="5"/>
        <v>1</v>
      </c>
    </row>
    <row r="44" spans="1:29" ht="28.8">
      <c r="A44" s="453"/>
      <c r="B44" s="402" t="s">
        <v>2381</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v>1</v>
      </c>
      <c r="L44" s="1252"/>
      <c r="M44" s="1243"/>
      <c r="N44" s="1243"/>
      <c r="O44" s="1243"/>
      <c r="P44" s="3056"/>
      <c r="Q44" s="1898" t="str">
        <f t="shared" si="11"/>
        <v>内部装修维护情况</v>
      </c>
      <c r="R44" s="752" t="s">
        <v>25</v>
      </c>
      <c r="S44" s="753">
        <f t="shared" si="12"/>
        <v>100</v>
      </c>
      <c r="T44" s="752" t="s">
        <v>25</v>
      </c>
      <c r="U44" s="753">
        <f t="shared" si="13"/>
        <v>100</v>
      </c>
      <c r="V44" s="752" t="s">
        <v>25</v>
      </c>
      <c r="W44" s="753">
        <f t="shared" si="14"/>
        <v>100</v>
      </c>
      <c r="X44" s="1899"/>
      <c r="Y44" s="3035"/>
      <c r="Z44" s="1901" t="str">
        <f t="shared" si="15"/>
        <v>内部装修维护情况</v>
      </c>
      <c r="AA44" s="1902">
        <f t="shared" si="3"/>
        <v>1</v>
      </c>
      <c r="AB44" s="1902">
        <f t="shared" si="4"/>
        <v>1</v>
      </c>
      <c r="AC44" s="1902">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6"/>
      <c r="Q45" s="1886">
        <f t="shared" si="11"/>
        <v>111</v>
      </c>
      <c r="R45" s="748" t="s">
        <v>25</v>
      </c>
      <c r="S45" s="749">
        <f t="shared" si="12"/>
        <v>100</v>
      </c>
      <c r="T45" s="748" t="s">
        <v>25</v>
      </c>
      <c r="U45" s="749">
        <f t="shared" si="13"/>
        <v>100</v>
      </c>
      <c r="V45" s="748" t="s">
        <v>25</v>
      </c>
      <c r="W45" s="749">
        <f t="shared" si="14"/>
        <v>100</v>
      </c>
      <c r="X45" s="750"/>
      <c r="Y45" s="3035"/>
      <c r="Z45" s="23">
        <f t="shared" si="15"/>
        <v>111</v>
      </c>
      <c r="AA45" s="751">
        <f t="shared" si="3"/>
        <v>1</v>
      </c>
      <c r="AB45" s="751">
        <f t="shared" si="4"/>
        <v>1</v>
      </c>
      <c r="AC45" s="751">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6"/>
      <c r="Q46" s="1898">
        <f t="shared" si="11"/>
        <v>111</v>
      </c>
      <c r="R46" s="752" t="s">
        <v>25</v>
      </c>
      <c r="S46" s="753">
        <f t="shared" si="12"/>
        <v>100</v>
      </c>
      <c r="T46" s="752" t="s">
        <v>25</v>
      </c>
      <c r="U46" s="753">
        <f t="shared" si="13"/>
        <v>100</v>
      </c>
      <c r="V46" s="752" t="s">
        <v>25</v>
      </c>
      <c r="W46" s="753">
        <f t="shared" si="14"/>
        <v>100</v>
      </c>
      <c r="X46" s="1899"/>
      <c r="Y46" s="3035"/>
      <c r="Z46" s="1901">
        <f t="shared" si="15"/>
        <v>111</v>
      </c>
      <c r="AA46" s="1902">
        <f t="shared" si="3"/>
        <v>1</v>
      </c>
      <c r="AB46" s="1902">
        <f t="shared" si="4"/>
        <v>1</v>
      </c>
      <c r="AC46" s="1902">
        <f t="shared" si="5"/>
        <v>1</v>
      </c>
    </row>
    <row r="47" spans="1:29" ht="15.6"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7"/>
      <c r="Q47" s="1898">
        <f t="shared" si="11"/>
        <v>111</v>
      </c>
      <c r="R47" s="752" t="s">
        <v>25</v>
      </c>
      <c r="S47" s="753">
        <f t="shared" si="12"/>
        <v>100</v>
      </c>
      <c r="T47" s="752" t="s">
        <v>25</v>
      </c>
      <c r="U47" s="753">
        <f t="shared" si="13"/>
        <v>100</v>
      </c>
      <c r="V47" s="752" t="s">
        <v>25</v>
      </c>
      <c r="W47" s="753">
        <f t="shared" si="14"/>
        <v>100</v>
      </c>
      <c r="X47" s="1899"/>
      <c r="Y47" s="3036"/>
      <c r="Z47" s="1901">
        <f t="shared" si="15"/>
        <v>111</v>
      </c>
      <c r="AA47" s="1902">
        <f t="shared" si="3"/>
        <v>1</v>
      </c>
      <c r="AB47" s="1902">
        <f t="shared" si="4"/>
        <v>1</v>
      </c>
      <c r="AC47" s="1902">
        <f t="shared" si="5"/>
        <v>1</v>
      </c>
    </row>
    <row r="48" spans="1:29" ht="14.4">
      <c r="A48" s="460" t="s">
        <v>2382</v>
      </c>
      <c r="B48" s="461"/>
      <c r="C48" s="1501" t="s">
        <v>1</v>
      </c>
      <c r="D48" s="1502"/>
      <c r="E48" s="1503">
        <v>38025</v>
      </c>
      <c r="F48" s="1504"/>
      <c r="G48" s="1505">
        <v>38000</v>
      </c>
      <c r="H48" s="1506"/>
      <c r="I48" s="1503">
        <v>36000</v>
      </c>
      <c r="J48" s="1506"/>
      <c r="K48" s="761"/>
      <c r="L48" s="1255"/>
      <c r="M48" s="1243"/>
      <c r="N48" s="1243"/>
      <c r="O48" s="1243"/>
      <c r="P48" s="3048" t="str">
        <f>A48</f>
        <v>成交单价（元/平方米）</v>
      </c>
      <c r="Q48" s="3041"/>
      <c r="R48" s="3042">
        <f>E48</f>
        <v>38025</v>
      </c>
      <c r="S48" s="3042"/>
      <c r="T48" s="3042">
        <f>G48</f>
        <v>38000</v>
      </c>
      <c r="U48" s="3042"/>
      <c r="V48" s="3042">
        <f>I48</f>
        <v>36000</v>
      </c>
      <c r="W48" s="3042"/>
      <c r="X48" s="737"/>
      <c r="Y48" s="759"/>
      <c r="Z48" s="737"/>
      <c r="AA48" s="737"/>
      <c r="AB48" s="737"/>
      <c r="AC48" s="737"/>
    </row>
    <row r="49" spans="1:29" ht="15" thickBot="1">
      <c r="A49" s="467" t="s">
        <v>2465</v>
      </c>
      <c r="B49" s="468"/>
      <c r="C49" s="1507">
        <f>R50</f>
        <v>36849</v>
      </c>
      <c r="D49" s="1508"/>
      <c r="E49" s="1509">
        <f>R49</f>
        <v>37279</v>
      </c>
      <c r="F49" s="1509"/>
      <c r="G49" s="1507">
        <f>T49</f>
        <v>37255</v>
      </c>
      <c r="H49" s="1508"/>
      <c r="I49" s="1509">
        <f>V49</f>
        <v>36014</v>
      </c>
      <c r="J49" s="1508"/>
      <c r="K49" s="762"/>
      <c r="L49" s="1255"/>
      <c r="M49" s="1243"/>
      <c r="N49" s="1243"/>
      <c r="O49" s="1243"/>
      <c r="P49" s="3048" t="str">
        <f>A49</f>
        <v>比较价值（元/平方米）</v>
      </c>
      <c r="Q49" s="3041"/>
      <c r="R49" s="3042">
        <f>IF(E1="售价",ROUND(PRODUCT(R48,AA7:AA47),0),ROUND(PRODUCT(R48,AA7:AA47),1))</f>
        <v>37279</v>
      </c>
      <c r="S49" s="3042"/>
      <c r="T49" s="3042">
        <f>IF(E1="售价",ROUND(PRODUCT(T48,AB7:AB47),0),ROUND(PRODUCT(T48,AB7:AB47),1))</f>
        <v>37255</v>
      </c>
      <c r="U49" s="3042"/>
      <c r="V49" s="3042">
        <f>IF(E1="售价",ROUND(PRODUCT(V48,AC7:AC47),0),ROUND(PRODUCT(V48,AC7:AC47),1))</f>
        <v>36014</v>
      </c>
      <c r="W49" s="3042"/>
      <c r="X49" s="737"/>
      <c r="Y49" s="737"/>
      <c r="Z49" s="737"/>
      <c r="AA49" s="737"/>
      <c r="AB49" s="737"/>
      <c r="AC49" s="737"/>
    </row>
    <row r="50" spans="1:29" ht="15" thickBot="1">
      <c r="A50" s="473" t="s">
        <v>2488</v>
      </c>
      <c r="B50" s="474"/>
      <c r="C50" s="1511">
        <f>R50</f>
        <v>36849</v>
      </c>
      <c r="D50" s="1511"/>
      <c r="E50" s="1511"/>
      <c r="F50" s="1511"/>
      <c r="G50" s="1511"/>
      <c r="H50" s="1511"/>
      <c r="I50" s="1511"/>
      <c r="J50" s="1511"/>
      <c r="K50" s="763"/>
      <c r="L50" s="1255"/>
      <c r="M50" s="1243"/>
      <c r="N50" s="1243"/>
      <c r="O50" s="1243"/>
      <c r="P50" s="3058" t="str">
        <f>A50</f>
        <v>估价对象XX用房的比较价值（楼面单价，元/平方米）</v>
      </c>
      <c r="Q50" s="3048"/>
      <c r="R50" s="3049">
        <f>IF(E1="售价",ROUND(AVERAGE(R49:V49),0),ROUND(AVERAGE(R49:V49),1))</f>
        <v>36849</v>
      </c>
      <c r="S50" s="3049"/>
      <c r="T50" s="3049"/>
      <c r="U50" s="3049"/>
      <c r="V50" s="3049"/>
      <c r="W50" s="3049"/>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f>IF(E48&lt;E49,E49/E48-1,E48/E49-1)</f>
        <v>2.0011266396630756E-2</v>
      </c>
      <c r="F53" s="481" t="str">
        <f>IF(OR(E53&gt;=0.3,E53&lt;=-0.3),"超过30%","")</f>
        <v/>
      </c>
      <c r="G53" s="480">
        <f>IF(G48&lt;G49,G49/G48-1,G48/G49-1)</f>
        <v>1.9997315796537407E-2</v>
      </c>
      <c r="H53" s="481" t="str">
        <f>IF(OR(G53&gt;=0.3,G53&lt;=-0.3),"超过30%","")</f>
        <v/>
      </c>
      <c r="I53" s="480">
        <f>IF(I48&lt;I49,I49/I48-1,I48/I49-1)</f>
        <v>3.8888888888899409E-4</v>
      </c>
      <c r="J53" s="481" t="str">
        <f>IF(OR(I53&gt;=0.3,I53&lt;=-0.3),"超过30%","")</f>
        <v/>
      </c>
      <c r="K53" s="1261"/>
      <c r="L53" s="1257"/>
      <c r="M53" s="1256"/>
      <c r="N53" s="1256"/>
      <c r="O53" s="1256"/>
    </row>
    <row r="54" spans="1:29" ht="13.5" customHeight="1">
      <c r="A54" s="1256"/>
      <c r="B54" s="1256"/>
      <c r="C54" s="478" t="s">
        <v>2468</v>
      </c>
      <c r="D54" s="482"/>
      <c r="E54" s="480">
        <f>IF(E49&lt;G49,G49/E49-1,E49/G49-1)</f>
        <v>6.4420883102944693E-4</v>
      </c>
      <c r="F54" s="481" t="str">
        <f>IF(OR(E54&gt;=0.2,E54&lt;=-0.2),"超过20%","")</f>
        <v/>
      </c>
      <c r="G54" s="480">
        <f>IF(G49&lt;I49,I49/G49-1,G49/I49-1)</f>
        <v>3.445882156938973E-2</v>
      </c>
      <c r="H54" s="481" t="str">
        <f>IF(OR(G54&gt;=0.2,G54&lt;=-0.2),"超过20%","")</f>
        <v/>
      </c>
      <c r="I54" s="480">
        <f>IF(I49&lt;E49,E49/I49-1,I49/E49-1)</f>
        <v>3.5125229077580977E-2</v>
      </c>
      <c r="J54" s="481" t="str">
        <f>IF(OR(I54&gt;=0.2,I54&lt;=-0.2),"超过20%","")</f>
        <v/>
      </c>
      <c r="K54" s="1261"/>
      <c r="L54" s="1257"/>
      <c r="M54" s="1256"/>
      <c r="N54" s="1256"/>
      <c r="O54" s="1256"/>
    </row>
    <row r="55" spans="1:29" s="483" customFormat="1" ht="13.5" customHeight="1">
      <c r="A55" s="1258"/>
      <c r="B55" s="1258"/>
      <c r="C55" s="478" t="s">
        <v>2469</v>
      </c>
      <c r="D55" s="482"/>
      <c r="E55" s="480">
        <f>IF(E48&lt;G48,G48/E48-1,E48/G48-1)</f>
        <v>6.5789473684207955E-4</v>
      </c>
      <c r="F55" s="481" t="str">
        <f>IF(OR(E55&gt;=0.3,E55&lt;=-0.3),"超过30%","")</f>
        <v/>
      </c>
      <c r="G55" s="480">
        <f>IF(G48&lt;I48,I48/G48-1,G48/I48-1)</f>
        <v>5.555555555555558E-2</v>
      </c>
      <c r="H55" s="481" t="str">
        <f>IF(OR(G55&gt;=0.3,G55&lt;=-0.3),"超过30%","")</f>
        <v/>
      </c>
      <c r="I55" s="480">
        <f>IF(I48&lt;E48,E48/I48-1,I48/E48-1)</f>
        <v>5.6249999999999911E-2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2.2" thickBot="1">
      <c r="A58" s="741" t="s">
        <v>2470</v>
      </c>
      <c r="B58" s="737"/>
      <c r="C58" s="742"/>
      <c r="D58" s="742"/>
      <c r="E58" s="742"/>
      <c r="F58" s="743"/>
      <c r="G58" s="743"/>
      <c r="H58" s="742"/>
      <c r="I58" s="742"/>
      <c r="J58" s="742"/>
      <c r="K58" s="744"/>
      <c r="L58" s="745"/>
      <c r="M58" s="742"/>
      <c r="N58" s="742"/>
      <c r="O58" s="742"/>
      <c r="P58" s="484"/>
      <c r="Q58" s="485"/>
    </row>
    <row r="59" spans="1:29" s="489" customFormat="1" ht="14.4">
      <c r="A59" s="486" t="s">
        <v>2352</v>
      </c>
      <c r="B59" s="487"/>
      <c r="C59" s="1677" t="str">
        <f>YEAR(C7)&amp;"-"&amp;MONTH(C7)</f>
        <v>2018-8</v>
      </c>
      <c r="D59" s="1678">
        <f>EDATE(C59,-1)</f>
        <v>43282</v>
      </c>
      <c r="E59" s="1678">
        <f t="shared" ref="E59:O59" si="16">EDATE(D59,-1)</f>
        <v>43252</v>
      </c>
      <c r="F59" s="1678">
        <f t="shared" si="16"/>
        <v>43221</v>
      </c>
      <c r="G59" s="1678">
        <f t="shared" si="16"/>
        <v>43191</v>
      </c>
      <c r="H59" s="1678">
        <f t="shared" si="16"/>
        <v>43160</v>
      </c>
      <c r="I59" s="1678">
        <f t="shared" si="16"/>
        <v>43132</v>
      </c>
      <c r="J59" s="1678">
        <f t="shared" si="16"/>
        <v>43101</v>
      </c>
      <c r="K59" s="1678">
        <f t="shared" si="16"/>
        <v>43070</v>
      </c>
      <c r="L59" s="1678">
        <f t="shared" si="16"/>
        <v>43040</v>
      </c>
      <c r="M59" s="1678">
        <f t="shared" si="16"/>
        <v>43009</v>
      </c>
      <c r="N59" s="1678">
        <f t="shared" si="16"/>
        <v>42979</v>
      </c>
      <c r="O59" s="1678">
        <f t="shared" si="16"/>
        <v>42948</v>
      </c>
      <c r="P59" s="488"/>
    </row>
    <row r="60" spans="1:29" s="35" customFormat="1">
      <c r="A60" s="490"/>
      <c r="B60" s="491"/>
      <c r="C60" s="623">
        <v>100</v>
      </c>
      <c r="D60" s="493">
        <v>100</v>
      </c>
      <c r="E60" s="493">
        <v>99.5</v>
      </c>
      <c r="F60" s="493">
        <v>99.5</v>
      </c>
      <c r="G60" s="493">
        <v>99.5</v>
      </c>
      <c r="H60" s="493">
        <v>99</v>
      </c>
      <c r="I60" s="493">
        <v>99</v>
      </c>
      <c r="J60" s="493">
        <v>99</v>
      </c>
      <c r="K60" s="493"/>
      <c r="L60" s="493"/>
      <c r="M60" s="494"/>
      <c r="N60" s="493"/>
      <c r="O60" s="495"/>
      <c r="P60" s="485"/>
    </row>
    <row r="61" spans="1:29" s="35" customFormat="1" ht="15" thickBot="1">
      <c r="A61" s="496" t="s">
        <v>2390</v>
      </c>
      <c r="B61" s="497"/>
      <c r="C61" s="498"/>
      <c r="D61" s="499"/>
      <c r="E61" s="499"/>
      <c r="F61" s="499"/>
      <c r="G61" s="499"/>
      <c r="H61" s="499"/>
      <c r="I61" s="499"/>
      <c r="J61" s="499"/>
      <c r="K61" s="499"/>
      <c r="L61" s="499"/>
      <c r="M61" s="500"/>
      <c r="N61" s="499"/>
      <c r="O61" s="501"/>
      <c r="P61" s="485"/>
      <c r="Q61" s="485"/>
    </row>
    <row r="62" spans="1:29" s="35" customFormat="1" ht="14.4">
      <c r="A62" s="502" t="s">
        <v>2354</v>
      </c>
      <c r="B62" s="491"/>
      <c r="C62" s="503" t="s">
        <v>2355</v>
      </c>
      <c r="D62" s="504"/>
      <c r="E62" s="504"/>
      <c r="F62" s="504"/>
      <c r="G62" s="504"/>
      <c r="H62" s="504"/>
      <c r="I62" s="504"/>
      <c r="J62" s="504"/>
      <c r="K62" s="504"/>
      <c r="L62" s="505"/>
      <c r="M62" s="506"/>
      <c r="N62" s="1265"/>
      <c r="O62" s="1265"/>
      <c r="P62" s="507"/>
      <c r="Q62" s="485"/>
    </row>
    <row r="63" spans="1:29" s="35" customFormat="1" ht="14.4" thickBot="1">
      <c r="A63" s="502"/>
      <c r="B63" s="491"/>
      <c r="C63" s="492">
        <v>100</v>
      </c>
      <c r="D63" s="493"/>
      <c r="E63" s="493"/>
      <c r="F63" s="493"/>
      <c r="G63" s="493"/>
      <c r="H63" s="493"/>
      <c r="I63" s="493"/>
      <c r="J63" s="493"/>
      <c r="K63" s="493"/>
      <c r="L63" s="493"/>
      <c r="M63" s="495"/>
      <c r="N63" s="1265"/>
      <c r="O63" s="1265"/>
      <c r="P63" s="485"/>
      <c r="Q63" s="485"/>
    </row>
    <row r="64" spans="1:29" ht="14.4">
      <c r="A64" s="508" t="s">
        <v>2393</v>
      </c>
      <c r="B64" s="509" t="s">
        <v>2358</v>
      </c>
      <c r="C64" s="510" t="str">
        <f>C9</f>
        <v>办公</v>
      </c>
      <c r="D64" s="511"/>
      <c r="E64" s="511"/>
      <c r="F64" s="511"/>
      <c r="G64" s="511"/>
      <c r="H64" s="511"/>
      <c r="I64" s="511"/>
      <c r="J64" s="511"/>
      <c r="K64" s="512"/>
      <c r="L64" s="513"/>
      <c r="M64" s="514"/>
      <c r="N64" s="1266"/>
      <c r="O64" s="1266"/>
      <c r="P64" s="22"/>
      <c r="Q64" s="485"/>
    </row>
    <row r="65" spans="1:17" ht="14.4" thickBot="1">
      <c r="A65" s="516"/>
      <c r="B65" s="517"/>
      <c r="C65" s="518">
        <v>100</v>
      </c>
      <c r="D65" s="518"/>
      <c r="E65" s="518"/>
      <c r="F65" s="518"/>
      <c r="G65" s="518"/>
      <c r="H65" s="518"/>
      <c r="I65" s="518"/>
      <c r="J65" s="518"/>
      <c r="K65" s="518"/>
      <c r="L65" s="518"/>
      <c r="M65" s="519"/>
      <c r="N65" s="1267"/>
      <c r="O65" s="1267"/>
      <c r="P65" s="22"/>
      <c r="Q65" s="485"/>
    </row>
    <row r="66" spans="1:17" ht="29.4" thickTop="1">
      <c r="A66" s="516"/>
      <c r="B66" s="521" t="s">
        <v>2361</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4.4"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 thickTop="1">
      <c r="A68" s="516"/>
      <c r="B68" s="529" t="s">
        <v>2362</v>
      </c>
      <c r="C68" s="530" t="str">
        <f>C69&amp;"（含）"&amp;"-"&amp;D69</f>
        <v>0（含）-2</v>
      </c>
      <c r="D68" s="530" t="str">
        <f t="shared" ref="D68:L68" si="17">D69&amp;"（含）"&amp;"-"&amp;E69</f>
        <v>2（含）-3</v>
      </c>
      <c r="E68" s="530" t="str">
        <f t="shared" si="17"/>
        <v>3（含）-4</v>
      </c>
      <c r="F68" s="530" t="str">
        <f t="shared" si="17"/>
        <v>4（含）-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c r="A69" s="516"/>
      <c r="B69" s="531"/>
      <c r="C69" s="532">
        <v>0</v>
      </c>
      <c r="D69" s="532">
        <v>2</v>
      </c>
      <c r="E69" s="532">
        <v>3</v>
      </c>
      <c r="F69" s="532">
        <v>4</v>
      </c>
      <c r="G69" s="532"/>
      <c r="H69" s="532"/>
      <c r="I69" s="532"/>
      <c r="J69" s="532"/>
      <c r="K69" s="533"/>
      <c r="L69" s="534"/>
      <c r="M69" s="535"/>
      <c r="N69" s="1266"/>
      <c r="O69" s="1266"/>
      <c r="P69" s="22"/>
      <c r="Q69" s="485"/>
    </row>
    <row r="70" spans="1:17" ht="14.4"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4.4" thickTop="1">
      <c r="A71" s="536"/>
      <c r="B71" s="521">
        <f>B12</f>
        <v>111</v>
      </c>
      <c r="C71" s="537"/>
      <c r="D71" s="537"/>
      <c r="E71" s="537"/>
      <c r="F71" s="537"/>
      <c r="G71" s="537"/>
      <c r="H71" s="538"/>
      <c r="I71" s="538"/>
      <c r="J71" s="538"/>
      <c r="K71" s="538"/>
      <c r="L71" s="539"/>
      <c r="M71" s="540"/>
      <c r="N71" s="1268"/>
      <c r="O71" s="1268"/>
      <c r="P71" s="542"/>
      <c r="Q71" s="543"/>
    </row>
    <row r="72" spans="1:17" s="452" customFormat="1" ht="14.4" thickBot="1">
      <c r="A72" s="536"/>
      <c r="B72" s="526"/>
      <c r="C72" s="544"/>
      <c r="D72" s="518"/>
      <c r="E72" s="518"/>
      <c r="F72" s="518"/>
      <c r="G72" s="518"/>
      <c r="H72" s="518"/>
      <c r="I72" s="518"/>
      <c r="J72" s="518"/>
      <c r="K72" s="518"/>
      <c r="L72" s="518"/>
      <c r="M72" s="519"/>
      <c r="N72" s="1267"/>
      <c r="O72" s="1267"/>
      <c r="P72" s="542"/>
      <c r="Q72" s="543"/>
    </row>
    <row r="73" spans="1:17" s="452" customFormat="1" ht="14.4" thickTop="1">
      <c r="A73" s="536"/>
      <c r="B73" s="521">
        <f>B13</f>
        <v>111</v>
      </c>
      <c r="C73" s="537"/>
      <c r="D73" s="537"/>
      <c r="E73" s="537"/>
      <c r="F73" s="537"/>
      <c r="G73" s="537"/>
      <c r="H73" s="538"/>
      <c r="I73" s="538"/>
      <c r="J73" s="538"/>
      <c r="K73" s="538"/>
      <c r="L73" s="539"/>
      <c r="M73" s="540"/>
      <c r="N73" s="1268"/>
      <c r="O73" s="1268"/>
      <c r="P73" s="451"/>
      <c r="Q73" s="545"/>
    </row>
    <row r="74" spans="1:17" s="452" customFormat="1" ht="14.4" thickBot="1">
      <c r="A74" s="536"/>
      <c r="B74" s="526"/>
      <c r="C74" s="544"/>
      <c r="D74" s="544"/>
      <c r="E74" s="544"/>
      <c r="F74" s="544"/>
      <c r="G74" s="544"/>
      <c r="H74" s="546"/>
      <c r="I74" s="546"/>
      <c r="J74" s="546"/>
      <c r="K74" s="546"/>
      <c r="L74" s="546"/>
      <c r="M74" s="547"/>
      <c r="N74" s="1268"/>
      <c r="O74" s="1268"/>
      <c r="P74" s="542"/>
      <c r="Q74" s="543"/>
    </row>
    <row r="75" spans="1:17" s="452" customFormat="1" ht="14.4" thickTop="1">
      <c r="A75" s="536"/>
      <c r="B75" s="529">
        <f>B14</f>
        <v>111</v>
      </c>
      <c r="C75" s="504"/>
      <c r="D75" s="504"/>
      <c r="E75" s="504"/>
      <c r="F75" s="504"/>
      <c r="G75" s="504"/>
      <c r="H75" s="548"/>
      <c r="I75" s="548"/>
      <c r="J75" s="548"/>
      <c r="K75" s="548"/>
      <c r="L75" s="549"/>
      <c r="M75" s="550"/>
      <c r="N75" s="1268"/>
      <c r="O75" s="1268"/>
      <c r="P75" s="551"/>
      <c r="Q75" s="543"/>
    </row>
    <row r="76" spans="1:17" s="452" customFormat="1" ht="14.4" thickBot="1">
      <c r="A76" s="552"/>
      <c r="B76" s="553"/>
      <c r="C76" s="554"/>
      <c r="D76" s="554"/>
      <c r="E76" s="554"/>
      <c r="F76" s="554"/>
      <c r="G76" s="554"/>
      <c r="H76" s="555"/>
      <c r="I76" s="555"/>
      <c r="J76" s="555"/>
      <c r="K76" s="555"/>
      <c r="L76" s="555"/>
      <c r="M76" s="556"/>
      <c r="N76" s="1268"/>
      <c r="O76" s="1268"/>
      <c r="P76" s="542"/>
      <c r="Q76" s="543"/>
    </row>
    <row r="77" spans="1:17" ht="14.4">
      <c r="A77" s="508" t="s">
        <v>2363</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4.4"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4.4"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4.4"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 thickTop="1">
      <c r="A83" s="516"/>
      <c r="B83" s="529" t="s">
        <v>2451</v>
      </c>
      <c r="C83" s="522" t="s">
        <v>2409</v>
      </c>
      <c r="D83" s="522" t="s">
        <v>2410</v>
      </c>
      <c r="E83" s="522" t="s">
        <v>2411</v>
      </c>
      <c r="F83" s="522" t="s">
        <v>2412</v>
      </c>
      <c r="G83" s="522" t="s">
        <v>2413</v>
      </c>
      <c r="H83" s="522"/>
      <c r="I83" s="522"/>
      <c r="J83" s="522"/>
      <c r="K83" s="522"/>
      <c r="L83" s="522"/>
      <c r="M83" s="1466"/>
      <c r="N83" s="1267"/>
      <c r="O83" s="1267"/>
      <c r="P83" s="22"/>
      <c r="Q83" s="485"/>
    </row>
    <row r="84" spans="1:17" ht="14.4"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4.4"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9.4" thickTop="1">
      <c r="A87" s="563"/>
      <c r="B87" s="521" t="s">
        <v>2491</v>
      </c>
      <c r="C87" s="2738" t="s">
        <v>2841</v>
      </c>
      <c r="D87" s="2738" t="s">
        <v>2842</v>
      </c>
      <c r="E87" s="2738" t="s">
        <v>2843</v>
      </c>
      <c r="F87" s="2738" t="s">
        <v>2844</v>
      </c>
      <c r="G87" s="537"/>
      <c r="H87" s="537"/>
      <c r="I87" s="537"/>
      <c r="J87" s="537"/>
      <c r="K87" s="537"/>
      <c r="L87" s="564"/>
      <c r="M87" s="565"/>
      <c r="N87" s="1265"/>
      <c r="O87" s="1265"/>
      <c r="P87" s="22"/>
      <c r="Q87" s="485"/>
    </row>
    <row r="88" spans="1:17" s="35" customFormat="1" ht="14.4"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 thickTop="1">
      <c r="A89" s="563"/>
      <c r="B89" s="521" t="str">
        <f>B27</f>
        <v>楼层</v>
      </c>
      <c r="C89" s="2738" t="s">
        <v>2845</v>
      </c>
      <c r="D89" s="2738" t="s">
        <v>2846</v>
      </c>
      <c r="E89" s="2738" t="s">
        <v>2847</v>
      </c>
      <c r="F89" s="2431"/>
      <c r="G89" s="537"/>
      <c r="H89" s="537"/>
      <c r="I89" s="537"/>
      <c r="J89" s="537"/>
      <c r="K89" s="537"/>
      <c r="L89" s="537"/>
      <c r="M89" s="565"/>
      <c r="N89" s="1265"/>
      <c r="O89" s="1265"/>
      <c r="P89" s="22"/>
      <c r="Q89" s="485"/>
    </row>
    <row r="90" spans="1:17" s="35" customFormat="1" ht="14.4"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4.4"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4.4" thickBot="1">
      <c r="A92" s="536"/>
      <c r="B92" s="526"/>
      <c r="C92" s="566">
        <v>100</v>
      </c>
      <c r="D92" s="527">
        <f t="shared" ref="D92:M92" si="21">C92-$K28</f>
        <v>98</v>
      </c>
      <c r="E92" s="527">
        <f t="shared" si="21"/>
        <v>96</v>
      </c>
      <c r="F92" s="527">
        <f t="shared" si="21"/>
        <v>94</v>
      </c>
      <c r="G92" s="527">
        <f t="shared" si="21"/>
        <v>92</v>
      </c>
      <c r="H92" s="527">
        <f t="shared" si="21"/>
        <v>90</v>
      </c>
      <c r="I92" s="527">
        <f t="shared" si="21"/>
        <v>88</v>
      </c>
      <c r="J92" s="527">
        <f t="shared" si="21"/>
        <v>86</v>
      </c>
      <c r="K92" s="527">
        <f t="shared" si="21"/>
        <v>84</v>
      </c>
      <c r="L92" s="527">
        <f t="shared" si="21"/>
        <v>82</v>
      </c>
      <c r="M92" s="527">
        <f t="shared" si="21"/>
        <v>80</v>
      </c>
      <c r="N92" s="1268"/>
      <c r="O92" s="1268"/>
      <c r="P92" s="542"/>
      <c r="Q92" s="543"/>
    </row>
    <row r="93" spans="1:17" ht="14.4" thickTop="1">
      <c r="A93" s="516"/>
      <c r="B93" s="521">
        <f>B29</f>
        <v>111</v>
      </c>
      <c r="C93" s="537"/>
      <c r="D93" s="537"/>
      <c r="E93" s="537"/>
      <c r="F93" s="537"/>
      <c r="G93" s="537"/>
      <c r="H93" s="537"/>
      <c r="I93" s="537"/>
      <c r="J93" s="537"/>
      <c r="K93" s="537"/>
      <c r="L93" s="564"/>
      <c r="M93" s="565"/>
      <c r="N93" s="1266"/>
      <c r="O93" s="1266"/>
      <c r="P93" s="22"/>
      <c r="Q93" s="485"/>
    </row>
    <row r="94" spans="1:17" ht="14.4" thickBot="1">
      <c r="A94" s="516"/>
      <c r="B94" s="526"/>
      <c r="C94" s="544"/>
      <c r="D94" s="518"/>
      <c r="E94" s="518"/>
      <c r="F94" s="518"/>
      <c r="G94" s="518"/>
      <c r="H94" s="518"/>
      <c r="I94" s="518"/>
      <c r="J94" s="518"/>
      <c r="K94" s="518"/>
      <c r="L94" s="518"/>
      <c r="M94" s="519"/>
      <c r="N94" s="1267"/>
      <c r="O94" s="1267"/>
      <c r="P94" s="22"/>
      <c r="Q94" s="485"/>
    </row>
    <row r="95" spans="1:17" ht="14.4" thickTop="1">
      <c r="A95" s="516"/>
      <c r="B95" s="521">
        <f>B30</f>
        <v>111</v>
      </c>
      <c r="C95" s="537"/>
      <c r="D95" s="537"/>
      <c r="E95" s="537"/>
      <c r="F95" s="537"/>
      <c r="G95" s="567"/>
      <c r="H95" s="567"/>
      <c r="I95" s="567"/>
      <c r="J95" s="567"/>
      <c r="K95" s="568"/>
      <c r="L95" s="569"/>
      <c r="M95" s="570"/>
      <c r="N95" s="1266"/>
      <c r="O95" s="1266"/>
      <c r="P95" s="22"/>
      <c r="Q95" s="485"/>
    </row>
    <row r="96" spans="1:17" ht="14.4" thickBot="1">
      <c r="A96" s="516"/>
      <c r="B96" s="526"/>
      <c r="C96" s="544"/>
      <c r="D96" s="544"/>
      <c r="E96" s="544"/>
      <c r="F96" s="544"/>
      <c r="G96" s="518"/>
      <c r="H96" s="518"/>
      <c r="I96" s="518"/>
      <c r="J96" s="518"/>
      <c r="K96" s="518"/>
      <c r="L96" s="518"/>
      <c r="M96" s="519"/>
      <c r="N96" s="1267"/>
      <c r="O96" s="1267"/>
      <c r="P96" s="22"/>
      <c r="Q96" s="485"/>
    </row>
    <row r="97" spans="1:17" ht="14.4" thickTop="1">
      <c r="A97" s="516"/>
      <c r="B97" s="521">
        <f>B31</f>
        <v>111</v>
      </c>
      <c r="C97" s="537"/>
      <c r="D97" s="537"/>
      <c r="E97" s="537"/>
      <c r="F97" s="537"/>
      <c r="G97" s="567"/>
      <c r="H97" s="567"/>
      <c r="I97" s="567"/>
      <c r="J97" s="567"/>
      <c r="K97" s="568"/>
      <c r="L97" s="569"/>
      <c r="M97" s="570"/>
      <c r="N97" s="1266"/>
      <c r="O97" s="1266"/>
      <c r="P97" s="22"/>
      <c r="Q97" s="485"/>
    </row>
    <row r="98" spans="1:17" ht="14.4" thickBot="1">
      <c r="A98" s="516"/>
      <c r="B98" s="526"/>
      <c r="C98" s="544"/>
      <c r="D98" s="518"/>
      <c r="E98" s="518"/>
      <c r="F98" s="518"/>
      <c r="G98" s="518"/>
      <c r="H98" s="518"/>
      <c r="I98" s="518"/>
      <c r="J98" s="518"/>
      <c r="K98" s="518"/>
      <c r="L98" s="518"/>
      <c r="M98" s="519"/>
      <c r="N98" s="1267"/>
      <c r="O98" s="1267"/>
      <c r="P98" s="22"/>
      <c r="Q98" s="485"/>
    </row>
    <row r="99" spans="1:17" ht="14.4" thickTop="1">
      <c r="A99" s="516"/>
      <c r="B99" s="529">
        <f>B32</f>
        <v>111</v>
      </c>
      <c r="C99" s="504"/>
      <c r="D99" s="504"/>
      <c r="E99" s="504"/>
      <c r="F99" s="504"/>
      <c r="G99" s="571"/>
      <c r="H99" s="571"/>
      <c r="I99" s="571"/>
      <c r="J99" s="571"/>
      <c r="K99" s="572"/>
      <c r="L99" s="573"/>
      <c r="M99" s="574"/>
      <c r="N99" s="1266"/>
      <c r="O99" s="1266"/>
      <c r="P99" s="22"/>
      <c r="Q99" s="485"/>
    </row>
    <row r="100" spans="1:17" ht="14.4" thickBot="1">
      <c r="A100" s="2432"/>
      <c r="B100" s="553"/>
      <c r="C100" s="554"/>
      <c r="D100" s="554"/>
      <c r="E100" s="554"/>
      <c r="F100" s="554"/>
      <c r="G100" s="575"/>
      <c r="H100" s="575"/>
      <c r="I100" s="575"/>
      <c r="J100" s="575"/>
      <c r="K100" s="575"/>
      <c r="L100" s="575"/>
      <c r="M100" s="576"/>
      <c r="N100" s="1267"/>
      <c r="O100" s="1267"/>
      <c r="P100" s="22"/>
      <c r="Q100" s="485"/>
    </row>
    <row r="101" spans="1:17" ht="14.4">
      <c r="A101" s="508" t="s">
        <v>2368</v>
      </c>
      <c r="B101" s="509" t="s">
        <v>2417</v>
      </c>
      <c r="C101" s="2739" t="s">
        <v>2848</v>
      </c>
      <c r="D101" s="511"/>
      <c r="E101" s="511"/>
      <c r="F101" s="511"/>
      <c r="G101" s="511"/>
      <c r="H101" s="511"/>
      <c r="I101" s="511"/>
      <c r="J101" s="511"/>
      <c r="K101" s="512"/>
      <c r="L101" s="513"/>
      <c r="M101" s="514"/>
      <c r="N101" s="1266"/>
      <c r="O101" s="1266"/>
      <c r="P101" s="22"/>
      <c r="Q101" s="485"/>
    </row>
    <row r="102" spans="1:17" ht="14.4"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7"/>
      <c r="O102" s="1267"/>
      <c r="P102" s="22"/>
      <c r="Q102" s="485"/>
    </row>
    <row r="103" spans="1:17" ht="28.2" thickTop="1">
      <c r="A103" s="516"/>
      <c r="B103" s="521" t="s">
        <v>2418</v>
      </c>
      <c r="C103" s="562" t="str">
        <f>C104&amp;"(含)"&amp;"-"&amp;D104</f>
        <v>0(含)-150</v>
      </c>
      <c r="D103" s="562" t="str">
        <f t="shared" ref="D103:L103" si="23">D104&amp;"(含)"&amp;"-"&amp;E104</f>
        <v>150(含)-300</v>
      </c>
      <c r="E103" s="562" t="str">
        <f t="shared" si="23"/>
        <v>300(含)-500</v>
      </c>
      <c r="F103" s="562" t="str">
        <f t="shared" si="23"/>
        <v>500(含)-800</v>
      </c>
      <c r="G103" s="562" t="str">
        <f t="shared" si="23"/>
        <v>800(含)-1000</v>
      </c>
      <c r="H103" s="562" t="str">
        <f t="shared" si="23"/>
        <v>1000(含)-1200</v>
      </c>
      <c r="I103" s="562" t="str">
        <f t="shared" si="23"/>
        <v>1200(含)-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150</v>
      </c>
      <c r="E104" s="579">
        <v>300</v>
      </c>
      <c r="F104" s="579">
        <v>500</v>
      </c>
      <c r="G104" s="579">
        <v>800</v>
      </c>
      <c r="H104" s="579">
        <v>1000</v>
      </c>
      <c r="I104" s="579">
        <v>1200</v>
      </c>
      <c r="J104" s="580"/>
      <c r="K104" s="580"/>
      <c r="L104" s="581"/>
      <c r="M104" s="582"/>
      <c r="N104" s="1268"/>
      <c r="O104" s="1268"/>
      <c r="P104" s="542"/>
      <c r="Q104" s="543"/>
    </row>
    <row r="105" spans="1:17" s="452" customFormat="1" ht="14.4" thickBot="1">
      <c r="A105" s="536"/>
      <c r="B105" s="526"/>
      <c r="C105" s="544">
        <v>96</v>
      </c>
      <c r="D105" s="518">
        <v>98</v>
      </c>
      <c r="E105" s="2740">
        <v>100</v>
      </c>
      <c r="F105" s="518">
        <v>98</v>
      </c>
      <c r="G105" s="518">
        <v>96</v>
      </c>
      <c r="H105" s="518">
        <v>94</v>
      </c>
      <c r="I105" s="518">
        <v>92</v>
      </c>
      <c r="J105" s="518"/>
      <c r="K105" s="518"/>
      <c r="L105" s="518"/>
      <c r="M105" s="519"/>
      <c r="N105" s="1267"/>
      <c r="O105" s="1267"/>
      <c r="P105" s="542"/>
      <c r="Q105" s="543"/>
    </row>
    <row r="106" spans="1:17" ht="15" thickTop="1">
      <c r="A106" s="583"/>
      <c r="B106" s="521" t="s">
        <v>2419</v>
      </c>
      <c r="C106" s="2738" t="s">
        <v>2849</v>
      </c>
      <c r="D106" s="2738" t="s">
        <v>2850</v>
      </c>
      <c r="E106" s="2741" t="s">
        <v>2851</v>
      </c>
      <c r="F106" s="567"/>
      <c r="G106" s="567"/>
      <c r="H106" s="567"/>
      <c r="I106" s="567"/>
      <c r="J106" s="567"/>
      <c r="K106" s="568"/>
      <c r="L106" s="569"/>
      <c r="M106" s="570"/>
      <c r="N106" s="1266"/>
      <c r="O106" s="1266"/>
      <c r="P106" s="22"/>
      <c r="Q106" s="485"/>
    </row>
    <row r="107" spans="1:17" ht="14.4"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7"/>
      <c r="O107" s="1267"/>
      <c r="P107" s="22"/>
      <c r="Q107" s="485"/>
    </row>
    <row r="108" spans="1:17" ht="15" thickTop="1">
      <c r="A108" s="583"/>
      <c r="B108" s="521" t="s">
        <v>2421</v>
      </c>
      <c r="C108" s="2738" t="s">
        <v>2852</v>
      </c>
      <c r="D108" s="2738" t="s">
        <v>2853</v>
      </c>
      <c r="E108" s="2738" t="s">
        <v>2854</v>
      </c>
      <c r="F108" s="2741" t="s">
        <v>2855</v>
      </c>
      <c r="G108" s="567"/>
      <c r="H108" s="567"/>
      <c r="I108" s="567"/>
      <c r="J108" s="567"/>
      <c r="K108" s="568"/>
      <c r="L108" s="569"/>
      <c r="M108" s="570"/>
      <c r="N108" s="1266"/>
      <c r="O108" s="1266"/>
      <c r="P108" s="22"/>
      <c r="Q108" s="485"/>
    </row>
    <row r="109" spans="1:17" ht="14.4"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4.4"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2492</v>
      </c>
      <c r="C113" s="2738" t="s">
        <v>2856</v>
      </c>
      <c r="D113" s="2738" t="s">
        <v>2857</v>
      </c>
      <c r="E113" s="2738" t="s">
        <v>2858</v>
      </c>
      <c r="F113" s="537"/>
      <c r="G113" s="537"/>
      <c r="H113" s="567"/>
      <c r="I113" s="567"/>
      <c r="J113" s="567"/>
      <c r="K113" s="568"/>
      <c r="L113" s="569"/>
      <c r="M113" s="570"/>
      <c r="N113" s="1268"/>
      <c r="O113" s="1268"/>
      <c r="P113" s="542"/>
      <c r="Q113" s="543"/>
    </row>
    <row r="114" spans="1:17" s="452" customFormat="1" ht="14.4" thickBot="1">
      <c r="A114" s="536"/>
      <c r="B114" s="526"/>
      <c r="C114" s="527">
        <v>100</v>
      </c>
      <c r="D114" s="527">
        <f>C114-$K38</f>
        <v>98</v>
      </c>
      <c r="E114" s="527">
        <f t="shared" ref="E114:M114" si="27">D114-$K38</f>
        <v>96</v>
      </c>
      <c r="F114" s="527">
        <f t="shared" si="27"/>
        <v>94</v>
      </c>
      <c r="G114" s="527">
        <f t="shared" si="27"/>
        <v>92</v>
      </c>
      <c r="H114" s="527">
        <f t="shared" si="27"/>
        <v>90</v>
      </c>
      <c r="I114" s="527">
        <f t="shared" si="27"/>
        <v>88</v>
      </c>
      <c r="J114" s="527">
        <f t="shared" si="27"/>
        <v>86</v>
      </c>
      <c r="K114" s="527">
        <f t="shared" si="27"/>
        <v>84</v>
      </c>
      <c r="L114" s="527">
        <f t="shared" si="27"/>
        <v>82</v>
      </c>
      <c r="M114" s="527">
        <f t="shared" si="27"/>
        <v>80</v>
      </c>
      <c r="N114" s="1268"/>
      <c r="O114" s="1268"/>
      <c r="P114" s="542"/>
      <c r="Q114" s="543"/>
    </row>
    <row r="115" spans="1:17" ht="15" thickTop="1">
      <c r="A115" s="583"/>
      <c r="B115" s="521" t="s">
        <v>2423</v>
      </c>
      <c r="C115" s="2738" t="s">
        <v>2859</v>
      </c>
      <c r="D115" s="2738" t="s">
        <v>2860</v>
      </c>
      <c r="E115" s="2741" t="s">
        <v>2861</v>
      </c>
      <c r="F115" s="567"/>
      <c r="G115" s="567"/>
      <c r="H115" s="567"/>
      <c r="I115" s="567"/>
      <c r="J115" s="567"/>
      <c r="K115" s="568"/>
      <c r="L115" s="569"/>
      <c r="M115" s="570"/>
      <c r="N115" s="1266"/>
      <c r="O115" s="1266"/>
      <c r="P115" s="22"/>
      <c r="Q115" s="485"/>
    </row>
    <row r="116" spans="1:17" ht="14.4"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2424</v>
      </c>
      <c r="C117" s="2738" t="s">
        <v>2862</v>
      </c>
      <c r="D117" s="537"/>
      <c r="E117" s="537"/>
      <c r="F117" s="537"/>
      <c r="G117" s="537"/>
      <c r="H117" s="567"/>
      <c r="I117" s="567"/>
      <c r="J117" s="567"/>
      <c r="K117" s="568"/>
      <c r="L117" s="569"/>
      <c r="M117" s="570"/>
      <c r="N117" s="1266"/>
      <c r="O117" s="1266"/>
      <c r="P117" s="22"/>
      <c r="Q117" s="485"/>
    </row>
    <row r="118" spans="1:17" ht="14.4"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2493</v>
      </c>
      <c r="C119" s="2741" t="s">
        <v>2863</v>
      </c>
      <c r="D119" s="2741" t="s">
        <v>2864</v>
      </c>
      <c r="E119" s="567"/>
      <c r="F119" s="567"/>
      <c r="G119" s="567"/>
      <c r="H119" s="567"/>
      <c r="I119" s="567"/>
      <c r="J119" s="567"/>
      <c r="K119" s="567"/>
      <c r="L119" s="2474"/>
      <c r="M119" s="2475"/>
      <c r="N119" s="1267"/>
      <c r="O119" s="1267"/>
      <c r="P119" s="621"/>
      <c r="Q119" s="622"/>
    </row>
    <row r="120" spans="1:17" ht="14.4"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7"/>
      <c r="O120" s="1267"/>
      <c r="P120" s="22"/>
      <c r="Q120" s="485"/>
    </row>
    <row r="121" spans="1:17" s="452" customFormat="1" ht="15" thickTop="1">
      <c r="A121" s="577"/>
      <c r="B121" s="521" t="s">
        <v>2475</v>
      </c>
      <c r="C121" s="537" t="s">
        <v>2865</v>
      </c>
      <c r="D121" s="537" t="s">
        <v>2866</v>
      </c>
      <c r="E121" s="537" t="s">
        <v>2867</v>
      </c>
      <c r="F121" s="567" t="s">
        <v>2868</v>
      </c>
      <c r="G121" s="538" t="s">
        <v>2869</v>
      </c>
      <c r="H121" s="538" t="s">
        <v>2870</v>
      </c>
      <c r="I121" s="538"/>
      <c r="J121" s="538"/>
      <c r="K121" s="538"/>
      <c r="L121" s="539"/>
      <c r="M121" s="540"/>
      <c r="N121" s="1268"/>
      <c r="O121" s="1268"/>
      <c r="P121" s="542"/>
      <c r="Q121" s="543"/>
    </row>
    <row r="122" spans="1:17" s="452" customFormat="1" ht="14.4" thickBot="1">
      <c r="A122" s="536"/>
      <c r="B122" s="517"/>
      <c r="C122" s="544">
        <v>100</v>
      </c>
      <c r="D122" s="544">
        <v>98</v>
      </c>
      <c r="E122" s="544">
        <v>96</v>
      </c>
      <c r="F122" s="544">
        <v>94</v>
      </c>
      <c r="G122" s="544">
        <v>92</v>
      </c>
      <c r="H122" s="544">
        <v>90</v>
      </c>
      <c r="I122" s="544"/>
      <c r="J122" s="544"/>
      <c r="K122" s="544"/>
      <c r="L122" s="544"/>
      <c r="M122" s="544"/>
      <c r="N122" s="1268"/>
      <c r="O122" s="1268"/>
      <c r="P122" s="542"/>
      <c r="Q122" s="543"/>
    </row>
    <row r="123" spans="1:17" ht="15" thickTop="1">
      <c r="A123" s="583"/>
      <c r="B123" s="521" t="s">
        <v>2426</v>
      </c>
      <c r="C123" s="2738" t="s">
        <v>2871</v>
      </c>
      <c r="D123" s="2738" t="s">
        <v>2872</v>
      </c>
      <c r="E123" s="2738" t="s">
        <v>2873</v>
      </c>
      <c r="F123" s="2741" t="s">
        <v>2874</v>
      </c>
      <c r="G123" s="567"/>
      <c r="H123" s="567"/>
      <c r="I123" s="567"/>
      <c r="J123" s="567"/>
      <c r="K123" s="568"/>
      <c r="L123" s="569"/>
      <c r="M123" s="570"/>
      <c r="N123" s="1266"/>
      <c r="O123" s="1266"/>
      <c r="P123" s="22"/>
      <c r="Q123" s="485"/>
    </row>
    <row r="124" spans="1:17" ht="14.4"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29.4"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4.4"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4.4"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4.4" thickBot="1">
      <c r="A128" s="536"/>
      <c r="B128" s="526"/>
      <c r="C128" s="544"/>
      <c r="D128" s="518"/>
      <c r="E128" s="518"/>
      <c r="F128" s="518"/>
      <c r="G128" s="544"/>
      <c r="H128" s="546"/>
      <c r="I128" s="546"/>
      <c r="J128" s="546"/>
      <c r="K128" s="546"/>
      <c r="L128" s="546"/>
      <c r="M128" s="547"/>
      <c r="N128" s="1268"/>
      <c r="O128" s="1268"/>
      <c r="P128" s="542"/>
      <c r="Q128" s="543"/>
    </row>
    <row r="129" spans="1:17" ht="14.4" thickTop="1">
      <c r="A129" s="583"/>
      <c r="B129" s="521">
        <f>B46</f>
        <v>111</v>
      </c>
      <c r="C129" s="537"/>
      <c r="D129" s="537"/>
      <c r="E129" s="537"/>
      <c r="F129" s="537"/>
      <c r="G129" s="567"/>
      <c r="H129" s="567"/>
      <c r="I129" s="567"/>
      <c r="J129" s="567"/>
      <c r="K129" s="568"/>
      <c r="L129" s="569"/>
      <c r="M129" s="570"/>
      <c r="N129" s="1266"/>
      <c r="O129" s="1266"/>
      <c r="P129" s="22"/>
      <c r="Q129" s="485"/>
    </row>
    <row r="130" spans="1:17" ht="14.4" thickBot="1">
      <c r="A130" s="516"/>
      <c r="B130" s="526"/>
      <c r="C130" s="544"/>
      <c r="D130" s="544"/>
      <c r="E130" s="544"/>
      <c r="F130" s="544"/>
      <c r="G130" s="518"/>
      <c r="H130" s="518"/>
      <c r="I130" s="518"/>
      <c r="J130" s="518"/>
      <c r="K130" s="518"/>
      <c r="L130" s="518"/>
      <c r="M130" s="519"/>
      <c r="N130" s="1267"/>
      <c r="O130" s="1267"/>
      <c r="P130" s="22"/>
      <c r="Q130" s="485"/>
    </row>
    <row r="131" spans="1:17" ht="14.4" thickTop="1">
      <c r="A131" s="583"/>
      <c r="B131" s="529">
        <f>B47</f>
        <v>111</v>
      </c>
      <c r="C131" s="504"/>
      <c r="D131" s="504"/>
      <c r="E131" s="504"/>
      <c r="F131" s="504"/>
      <c r="G131" s="571"/>
      <c r="H131" s="571"/>
      <c r="I131" s="571"/>
      <c r="J131" s="571"/>
      <c r="K131" s="504"/>
      <c r="L131" s="505"/>
      <c r="M131" s="574"/>
      <c r="N131" s="1266"/>
      <c r="O131" s="1266"/>
      <c r="P131" s="22"/>
      <c r="Q131" s="485"/>
    </row>
    <row r="132" spans="1:17" ht="14.4"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C16" workbookViewId="0"/>
  </sheetViews>
  <sheetFormatPr defaultRowHeight="14.4"/>
  <sheetData/>
  <phoneticPr fontId="146"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97" sqref="J97"/>
    </sheetView>
  </sheetViews>
  <sheetFormatPr defaultRowHeight="14.4"/>
  <sheetData/>
  <phoneticPr fontId="146" type="noConversion"/>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2335</v>
      </c>
      <c r="B1" s="1733" t="s">
        <v>2494</v>
      </c>
      <c r="C1" s="1725"/>
      <c r="D1" s="1738"/>
      <c r="E1" s="2382"/>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IF(D2="——",IF(C2="元",ROUND(C43*D3,0),ROUND(C43*D3/10000,0)),IF(C2="元",ROUND(C43*D3,0),ROUND(C43*D3/10000,0))-E2)</f>
        <v>#DIV/0!</v>
      </c>
      <c r="C2" s="163" t="str">
        <f>'数据-取费表'!B3</f>
        <v>万元</v>
      </c>
      <c r="D2" s="2384"/>
      <c r="E2" s="2477" t="e">
        <f ca="1">SUMIF(INDIRECT("'"&amp;G2&amp;"'"&amp;"!A:A"),"承租人权益价值",INDIRECT("'"&amp;G2&amp;"'"&amp;"!c:c"))</f>
        <v>#REF!</v>
      </c>
      <c r="F2" s="2385" t="str">
        <f>C2</f>
        <v>万元</v>
      </c>
      <c r="G2" s="2386"/>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2009</v>
      </c>
      <c r="B3" s="593" t="e">
        <f ca="1">ROUND(IF(D2="——",C43,IF(C2="万元",B2*10000/D3,B2/D3)),0)</f>
        <v>#DIV/0!</v>
      </c>
      <c r="C3" s="379" t="s">
        <v>2338</v>
      </c>
      <c r="D3" s="378">
        <f>IF(C1="仅计算典型户型",'数据-取费表'!E5,'数据-取费表'!B5)</f>
        <v>424.6</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4.4">
      <c r="A4" s="380" t="s">
        <v>2339</v>
      </c>
      <c r="B4" s="381"/>
      <c r="C4" s="3005" t="s">
        <v>2340</v>
      </c>
      <c r="D4" s="3006"/>
      <c r="E4" s="3007" t="s">
        <v>2341</v>
      </c>
      <c r="F4" s="3008"/>
      <c r="G4" s="3005" t="s">
        <v>2342</v>
      </c>
      <c r="H4" s="3006"/>
      <c r="I4" s="3005" t="s">
        <v>2343</v>
      </c>
      <c r="J4" s="3006"/>
      <c r="K4" s="594" t="s">
        <v>2344</v>
      </c>
      <c r="L4" s="1242"/>
      <c r="M4" s="1243"/>
      <c r="N4" s="1243"/>
      <c r="O4" s="1243"/>
      <c r="P4" s="3009" t="s">
        <v>2345</v>
      </c>
      <c r="Q4" s="3010"/>
      <c r="R4" s="3015" t="s">
        <v>2341</v>
      </c>
      <c r="S4" s="3016"/>
      <c r="T4" s="3015" t="s">
        <v>2342</v>
      </c>
      <c r="U4" s="3016"/>
      <c r="V4" s="3021" t="s">
        <v>2343</v>
      </c>
      <c r="W4" s="3021"/>
      <c r="X4" s="1899"/>
      <c r="Y4" s="3015" t="s">
        <v>2345</v>
      </c>
      <c r="Z4" s="3016"/>
      <c r="AA4" s="3002" t="s">
        <v>2341</v>
      </c>
      <c r="AB4" s="3003" t="s">
        <v>2342</v>
      </c>
      <c r="AC4" s="3002" t="s">
        <v>2343</v>
      </c>
    </row>
    <row r="5" spans="1:29">
      <c r="A5" s="383"/>
      <c r="B5" s="384"/>
      <c r="C5" s="3024" t="s">
        <v>2346</v>
      </c>
      <c r="D5" s="3025"/>
      <c r="E5" s="3022" t="s">
        <v>2347</v>
      </c>
      <c r="F5" s="3023"/>
      <c r="G5" s="3024" t="s">
        <v>2348</v>
      </c>
      <c r="H5" s="3025"/>
      <c r="I5" s="3024" t="s">
        <v>2349</v>
      </c>
      <c r="J5" s="3025"/>
      <c r="K5" s="594"/>
      <c r="L5" s="1242"/>
      <c r="M5" s="1243"/>
      <c r="N5" s="1243"/>
      <c r="O5" s="1243"/>
      <c r="P5" s="3011"/>
      <c r="Q5" s="3012"/>
      <c r="R5" s="3017"/>
      <c r="S5" s="3018"/>
      <c r="T5" s="3017"/>
      <c r="U5" s="3018"/>
      <c r="V5" s="3021"/>
      <c r="W5" s="3021"/>
      <c r="X5" s="1899"/>
      <c r="Y5" s="3017"/>
      <c r="Z5" s="3018"/>
      <c r="AA5" s="3003"/>
      <c r="AB5" s="3003"/>
      <c r="AC5" s="3003"/>
    </row>
    <row r="6" spans="1:29" ht="15" thickBot="1">
      <c r="A6" s="385"/>
      <c r="B6" s="386"/>
      <c r="C6" s="3026" t="s">
        <v>2350</v>
      </c>
      <c r="D6" s="3027"/>
      <c r="E6" s="3028" t="s">
        <v>2350</v>
      </c>
      <c r="F6" s="3029"/>
      <c r="G6" s="3026" t="s">
        <v>2350</v>
      </c>
      <c r="H6" s="3027"/>
      <c r="I6" s="3026" t="s">
        <v>2350</v>
      </c>
      <c r="J6" s="3027"/>
      <c r="K6" s="594" t="s">
        <v>2351</v>
      </c>
      <c r="L6" s="1242"/>
      <c r="M6" s="1243"/>
      <c r="N6" s="1243"/>
      <c r="O6" s="1243"/>
      <c r="P6" s="3013"/>
      <c r="Q6" s="3014"/>
      <c r="R6" s="3017"/>
      <c r="S6" s="3018"/>
      <c r="T6" s="3019"/>
      <c r="U6" s="3020"/>
      <c r="V6" s="3021"/>
      <c r="W6" s="3021"/>
      <c r="X6" s="1899"/>
      <c r="Y6" s="3019"/>
      <c r="Z6" s="3020"/>
      <c r="AA6" s="3004"/>
      <c r="AB6" s="3004"/>
      <c r="AC6" s="3004"/>
    </row>
    <row r="7" spans="1:29" s="35" customFormat="1" ht="15" thickBot="1">
      <c r="A7" s="387" t="s">
        <v>2352</v>
      </c>
      <c r="B7" s="388"/>
      <c r="C7" s="389">
        <f>'数据-取费表'!B2</f>
        <v>43328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7" t="s">
        <v>2353</v>
      </c>
      <c r="Q7" s="3039"/>
      <c r="R7" s="748" t="s">
        <v>25</v>
      </c>
      <c r="S7" s="749">
        <f t="shared" ref="S7:S15" si="0">F7</f>
        <v>0</v>
      </c>
      <c r="T7" s="748" t="s">
        <v>25</v>
      </c>
      <c r="U7" s="749">
        <f t="shared" ref="U7:U15" si="1">H7</f>
        <v>0</v>
      </c>
      <c r="V7" s="748" t="s">
        <v>25</v>
      </c>
      <c r="W7" s="749">
        <f t="shared" ref="W7:W15" si="2">J7</f>
        <v>0</v>
      </c>
      <c r="X7" s="750"/>
      <c r="Y7" s="3037" t="s">
        <v>2353</v>
      </c>
      <c r="Z7" s="3038"/>
      <c r="AA7" s="751" t="e">
        <f>D7/F7</f>
        <v>#DIV/0!</v>
      </c>
      <c r="AB7" s="751" t="e">
        <f>D7/H7</f>
        <v>#DIV/0!</v>
      </c>
      <c r="AC7" s="751" t="e">
        <f>D7/J7</f>
        <v>#DIV/0!</v>
      </c>
    </row>
    <row r="8" spans="1:29" s="35" customFormat="1" ht="1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7" t="s">
        <v>2356</v>
      </c>
      <c r="Q8" s="3038"/>
      <c r="R8" s="748" t="s">
        <v>25</v>
      </c>
      <c r="S8" s="749">
        <f t="shared" si="0"/>
        <v>100</v>
      </c>
      <c r="T8" s="748" t="s">
        <v>25</v>
      </c>
      <c r="U8" s="749">
        <f t="shared" si="1"/>
        <v>100</v>
      </c>
      <c r="V8" s="748" t="s">
        <v>25</v>
      </c>
      <c r="W8" s="749">
        <f t="shared" si="2"/>
        <v>100</v>
      </c>
      <c r="X8" s="750"/>
      <c r="Y8" s="3037" t="s">
        <v>2356</v>
      </c>
      <c r="Z8" s="3038"/>
      <c r="AA8" s="751">
        <f t="shared" ref="AA8:AA40" si="3">D8/F8</f>
        <v>1</v>
      </c>
      <c r="AB8" s="751">
        <f t="shared" ref="AB8:AB40" si="4">D8/H8</f>
        <v>1</v>
      </c>
      <c r="AC8" s="751">
        <f t="shared" ref="AC8:AC40" si="5">D8/J8</f>
        <v>1</v>
      </c>
    </row>
    <row r="9" spans="1:29" s="35" customFormat="1" ht="14.4">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41" t="s">
        <v>2359</v>
      </c>
      <c r="Q9" s="1886" t="str">
        <f t="shared" ref="Q9:Q15" si="6">B9</f>
        <v>用途</v>
      </c>
      <c r="R9" s="748" t="s">
        <v>25</v>
      </c>
      <c r="S9" s="749">
        <f t="shared" si="0"/>
        <v>100</v>
      </c>
      <c r="T9" s="748" t="s">
        <v>25</v>
      </c>
      <c r="U9" s="749">
        <f t="shared" si="1"/>
        <v>100</v>
      </c>
      <c r="V9" s="748" t="s">
        <v>25</v>
      </c>
      <c r="W9" s="749">
        <f t="shared" si="2"/>
        <v>100</v>
      </c>
      <c r="X9" s="750"/>
      <c r="Y9" s="2853" t="s">
        <v>2360</v>
      </c>
      <c r="Z9" s="23" t="str">
        <f t="shared" ref="Z9:Z15" si="7">Q9</f>
        <v>用途</v>
      </c>
      <c r="AA9" s="751">
        <f t="shared" si="3"/>
        <v>1</v>
      </c>
      <c r="AB9" s="751">
        <f t="shared" si="4"/>
        <v>1</v>
      </c>
      <c r="AC9" s="751">
        <f t="shared" si="5"/>
        <v>1</v>
      </c>
    </row>
    <row r="10" spans="1:29" s="407" customFormat="1" ht="28.8">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41"/>
      <c r="Q10" s="1886"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41"/>
      <c r="Q11" s="1886" t="str">
        <f t="shared" si="6"/>
        <v>容积率</v>
      </c>
      <c r="R11" s="748" t="s">
        <v>25</v>
      </c>
      <c r="S11" s="749" t="e">
        <f t="shared" si="0"/>
        <v>#N/A</v>
      </c>
      <c r="T11" s="748" t="s">
        <v>25</v>
      </c>
      <c r="U11" s="749" t="e">
        <f t="shared" si="1"/>
        <v>#N/A</v>
      </c>
      <c r="V11" s="748" t="s">
        <v>25</v>
      </c>
      <c r="W11" s="749" t="e">
        <f t="shared" si="2"/>
        <v>#N/A</v>
      </c>
      <c r="X11" s="750"/>
      <c r="Y11" s="2853"/>
      <c r="Z11" s="23" t="str">
        <f t="shared" si="7"/>
        <v>容积率</v>
      </c>
      <c r="AA11" s="751" t="e">
        <f t="shared" si="3"/>
        <v>#N/A</v>
      </c>
      <c r="AB11" s="751" t="e">
        <f t="shared" si="4"/>
        <v>#N/A</v>
      </c>
      <c r="AC11" s="751"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41"/>
      <c r="Q12" s="1886">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41"/>
      <c r="Q13" s="1886">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15.6"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41"/>
      <c r="Q14" s="1886">
        <f t="shared" si="6"/>
        <v>111</v>
      </c>
      <c r="R14" s="748" t="s">
        <v>25</v>
      </c>
      <c r="S14" s="749">
        <f t="shared" si="0"/>
        <v>100</v>
      </c>
      <c r="T14" s="748" t="s">
        <v>25</v>
      </c>
      <c r="U14" s="749">
        <f t="shared" si="1"/>
        <v>100</v>
      </c>
      <c r="V14" s="748" t="s">
        <v>25</v>
      </c>
      <c r="W14" s="749">
        <f t="shared" si="2"/>
        <v>100</v>
      </c>
      <c r="X14" s="750"/>
      <c r="Y14" s="2853"/>
      <c r="Z14" s="23">
        <f t="shared" si="7"/>
        <v>111</v>
      </c>
      <c r="AA14" s="751">
        <f t="shared" si="3"/>
        <v>1</v>
      </c>
      <c r="AB14" s="751">
        <f t="shared" si="4"/>
        <v>1</v>
      </c>
      <c r="AC14" s="751">
        <f t="shared" si="5"/>
        <v>1</v>
      </c>
    </row>
    <row r="15" spans="1:29" ht="69">
      <c r="A15" s="419" t="s">
        <v>2363</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30" t="s">
        <v>2364</v>
      </c>
      <c r="Q15" s="1898" t="str">
        <f t="shared" si="6"/>
        <v>产业集聚程度</v>
      </c>
      <c r="R15" s="752" t="s">
        <v>25</v>
      </c>
      <c r="S15" s="753">
        <f t="shared" si="0"/>
        <v>100</v>
      </c>
      <c r="T15" s="752" t="s">
        <v>25</v>
      </c>
      <c r="U15" s="753">
        <f t="shared" si="1"/>
        <v>100</v>
      </c>
      <c r="V15" s="752" t="s">
        <v>25</v>
      </c>
      <c r="W15" s="753">
        <f t="shared" si="2"/>
        <v>100</v>
      </c>
      <c r="X15" s="1899"/>
      <c r="Y15" s="3030"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31"/>
      <c r="Q16" s="1898"/>
      <c r="R16" s="752"/>
      <c r="S16" s="753"/>
      <c r="T16" s="752"/>
      <c r="U16" s="753"/>
      <c r="V16" s="752"/>
      <c r="W16" s="753"/>
      <c r="X16" s="1899"/>
      <c r="Y16" s="3031"/>
      <c r="Z16" s="1901"/>
      <c r="AA16" s="1902">
        <v>1</v>
      </c>
      <c r="AB16" s="1902">
        <v>1</v>
      </c>
      <c r="AC16" s="1902">
        <v>1</v>
      </c>
    </row>
    <row r="17" spans="1:29" ht="96.6">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31"/>
      <c r="Q17" s="1898" t="str">
        <f>B17</f>
        <v>交通便捷度</v>
      </c>
      <c r="R17" s="752" t="s">
        <v>25</v>
      </c>
      <c r="S17" s="753">
        <f>F17</f>
        <v>100</v>
      </c>
      <c r="T17" s="752" t="s">
        <v>25</v>
      </c>
      <c r="U17" s="753">
        <f>H17</f>
        <v>100</v>
      </c>
      <c r="V17" s="752" t="s">
        <v>25</v>
      </c>
      <c r="W17" s="753">
        <f>J17</f>
        <v>100</v>
      </c>
      <c r="X17" s="1899"/>
      <c r="Y17" s="3031"/>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51"/>
      <c r="P18" s="3031"/>
      <c r="Q18" s="1898"/>
      <c r="R18" s="752"/>
      <c r="S18" s="753"/>
      <c r="T18" s="752"/>
      <c r="U18" s="753"/>
      <c r="V18" s="752"/>
      <c r="W18" s="753"/>
      <c r="X18" s="1899"/>
      <c r="Y18" s="3031"/>
      <c r="Z18" s="1901"/>
      <c r="AA18" s="1902">
        <v>1</v>
      </c>
      <c r="AB18" s="1902">
        <v>1</v>
      </c>
      <c r="AC18" s="1902">
        <v>1</v>
      </c>
    </row>
    <row r="19" spans="1:29" ht="41.4">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31"/>
      <c r="Q19" s="1898" t="str">
        <f>B19</f>
        <v>公共配套设施</v>
      </c>
      <c r="R19" s="752" t="s">
        <v>25</v>
      </c>
      <c r="S19" s="753">
        <f>F19</f>
        <v>100</v>
      </c>
      <c r="T19" s="752" t="s">
        <v>25</v>
      </c>
      <c r="U19" s="753">
        <f>H19</f>
        <v>100</v>
      </c>
      <c r="V19" s="752" t="s">
        <v>25</v>
      </c>
      <c r="W19" s="753">
        <f>J19</f>
        <v>100</v>
      </c>
      <c r="X19" s="1899"/>
      <c r="Y19" s="3031"/>
      <c r="Z19" s="1901" t="str">
        <f>Q19</f>
        <v>公共配套设施</v>
      </c>
      <c r="AA19" s="1902">
        <f t="shared" si="3"/>
        <v>1</v>
      </c>
      <c r="AB19" s="1902">
        <f t="shared" si="4"/>
        <v>1</v>
      </c>
      <c r="AC19" s="1902">
        <f t="shared" si="5"/>
        <v>1</v>
      </c>
    </row>
    <row r="20" spans="1:29" ht="15">
      <c r="A20" s="408"/>
      <c r="B20" s="616"/>
      <c r="C20" s="426"/>
      <c r="D20" s="427"/>
      <c r="E20" s="428"/>
      <c r="F20" s="429"/>
      <c r="G20" s="2404"/>
      <c r="H20" s="427"/>
      <c r="I20" s="428"/>
      <c r="J20" s="427"/>
      <c r="K20" s="599"/>
      <c r="L20" s="1252"/>
      <c r="M20" s="1243"/>
      <c r="N20" s="1243"/>
      <c r="O20" s="1251"/>
      <c r="P20" s="3031"/>
      <c r="Q20" s="1898"/>
      <c r="R20" s="752"/>
      <c r="S20" s="753"/>
      <c r="T20" s="752"/>
      <c r="U20" s="753"/>
      <c r="V20" s="752"/>
      <c r="W20" s="753"/>
      <c r="X20" s="1899"/>
      <c r="Y20" s="3031"/>
      <c r="Z20" s="1901"/>
      <c r="AA20" s="1902">
        <v>1</v>
      </c>
      <c r="AB20" s="1902">
        <v>1</v>
      </c>
      <c r="AC20" s="1902">
        <v>1</v>
      </c>
    </row>
    <row r="21" spans="1:29" ht="41.4">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31"/>
      <c r="Q21" s="1898" t="str">
        <f>B21</f>
        <v>基础设施水平</v>
      </c>
      <c r="R21" s="752" t="s">
        <v>25</v>
      </c>
      <c r="S21" s="753">
        <f>F21</f>
        <v>100</v>
      </c>
      <c r="T21" s="752" t="s">
        <v>25</v>
      </c>
      <c r="U21" s="753">
        <f>H21</f>
        <v>100</v>
      </c>
      <c r="V21" s="752" t="s">
        <v>25</v>
      </c>
      <c r="W21" s="753">
        <f>J21</f>
        <v>100</v>
      </c>
      <c r="X21" s="1899"/>
      <c r="Y21" s="3031"/>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51"/>
      <c r="P22" s="3031"/>
      <c r="Q22" s="1898"/>
      <c r="R22" s="752"/>
      <c r="S22" s="753"/>
      <c r="T22" s="752"/>
      <c r="U22" s="753"/>
      <c r="V22" s="752"/>
      <c r="W22" s="753"/>
      <c r="X22" s="1899"/>
      <c r="Y22" s="3031"/>
      <c r="Z22" s="1901"/>
      <c r="AA22" s="1902">
        <v>1</v>
      </c>
      <c r="AB22" s="1902">
        <v>1</v>
      </c>
      <c r="AC22" s="1902">
        <v>1</v>
      </c>
    </row>
    <row r="23" spans="1:29" ht="82.8">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31"/>
      <c r="Q23" s="1898" t="str">
        <f>B23</f>
        <v>环境质量</v>
      </c>
      <c r="R23" s="752" t="s">
        <v>25</v>
      </c>
      <c r="S23" s="753">
        <f>F23</f>
        <v>100</v>
      </c>
      <c r="T23" s="752" t="s">
        <v>25</v>
      </c>
      <c r="U23" s="753">
        <f>H23</f>
        <v>100</v>
      </c>
      <c r="V23" s="752" t="s">
        <v>25</v>
      </c>
      <c r="W23" s="753">
        <f>J23</f>
        <v>100</v>
      </c>
      <c r="X23" s="1899"/>
      <c r="Y23" s="3031"/>
      <c r="Z23" s="1901" t="str">
        <f>Q23</f>
        <v>环境质量</v>
      </c>
      <c r="AA23" s="1902">
        <f t="shared" si="3"/>
        <v>1</v>
      </c>
      <c r="AB23" s="1902">
        <f t="shared" si="4"/>
        <v>1</v>
      </c>
      <c r="AC23" s="1902">
        <f t="shared" si="5"/>
        <v>1</v>
      </c>
    </row>
    <row r="24" spans="1:29" ht="15">
      <c r="A24" s="408"/>
      <c r="B24" s="2408"/>
      <c r="C24" s="426"/>
      <c r="D24" s="427"/>
      <c r="E24" s="428"/>
      <c r="F24" s="429"/>
      <c r="G24" s="2404"/>
      <c r="H24" s="427"/>
      <c r="I24" s="428"/>
      <c r="J24" s="427"/>
      <c r="K24" s="599"/>
      <c r="L24" s="1252"/>
      <c r="M24" s="1243"/>
      <c r="N24" s="1243"/>
      <c r="O24" s="1251"/>
      <c r="P24" s="3031"/>
      <c r="Q24" s="1898"/>
      <c r="R24" s="752"/>
      <c r="S24" s="753"/>
      <c r="T24" s="752"/>
      <c r="U24" s="753"/>
      <c r="V24" s="752"/>
      <c r="W24" s="753"/>
      <c r="X24" s="1899"/>
      <c r="Y24" s="3031"/>
      <c r="Z24" s="1901"/>
      <c r="AA24" s="1902">
        <v>1</v>
      </c>
      <c r="AB24" s="1902">
        <v>1</v>
      </c>
      <c r="AC24" s="1902">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31"/>
      <c r="Q25" s="1898">
        <f>B25</f>
        <v>111</v>
      </c>
      <c r="R25" s="752" t="s">
        <v>25</v>
      </c>
      <c r="S25" s="753">
        <f>F25</f>
        <v>100</v>
      </c>
      <c r="T25" s="752" t="s">
        <v>25</v>
      </c>
      <c r="U25" s="753">
        <f>H25</f>
        <v>100</v>
      </c>
      <c r="V25" s="752" t="s">
        <v>25</v>
      </c>
      <c r="W25" s="753">
        <f>J25</f>
        <v>100</v>
      </c>
      <c r="X25" s="1899"/>
      <c r="Y25" s="3031"/>
      <c r="Z25" s="1901">
        <f>Q25</f>
        <v>111</v>
      </c>
      <c r="AA25" s="1902">
        <f t="shared" si="3"/>
        <v>1</v>
      </c>
      <c r="AB25" s="1902">
        <f t="shared" si="4"/>
        <v>1</v>
      </c>
      <c r="AC25" s="1902">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31"/>
      <c r="Q26" s="1898">
        <f t="shared" ref="Q26:Q40" si="11">B26</f>
        <v>111</v>
      </c>
      <c r="R26" s="752" t="s">
        <v>25</v>
      </c>
      <c r="S26" s="753">
        <f>F26</f>
        <v>100</v>
      </c>
      <c r="T26" s="752" t="s">
        <v>25</v>
      </c>
      <c r="U26" s="753">
        <f>H26</f>
        <v>100</v>
      </c>
      <c r="V26" s="752" t="s">
        <v>25</v>
      </c>
      <c r="W26" s="753">
        <f>J26</f>
        <v>100</v>
      </c>
      <c r="X26" s="1899"/>
      <c r="Y26" s="3031"/>
      <c r="Z26" s="1901">
        <f>Q26</f>
        <v>111</v>
      </c>
      <c r="AA26" s="1902">
        <f t="shared" si="3"/>
        <v>1</v>
      </c>
      <c r="AB26" s="1902">
        <f t="shared" si="4"/>
        <v>1</v>
      </c>
      <c r="AC26" s="1902">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31"/>
      <c r="Q27" s="1886">
        <f t="shared" si="11"/>
        <v>111</v>
      </c>
      <c r="R27" s="748" t="s">
        <v>25</v>
      </c>
      <c r="S27" s="749">
        <f>F27</f>
        <v>100</v>
      </c>
      <c r="T27" s="748" t="s">
        <v>25</v>
      </c>
      <c r="U27" s="749">
        <f>H27</f>
        <v>100</v>
      </c>
      <c r="V27" s="748" t="s">
        <v>25</v>
      </c>
      <c r="W27" s="749">
        <f>J27</f>
        <v>100</v>
      </c>
      <c r="X27" s="750"/>
      <c r="Y27" s="3031"/>
      <c r="Z27" s="23">
        <f>Q27</f>
        <v>111</v>
      </c>
      <c r="AA27" s="1902">
        <f>D27/F27</f>
        <v>1</v>
      </c>
      <c r="AB27" s="1902">
        <f>D27/H27</f>
        <v>1</v>
      </c>
      <c r="AC27" s="1902">
        <f>D27/J27</f>
        <v>1</v>
      </c>
    </row>
    <row r="28" spans="1:29" ht="15.6"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31"/>
      <c r="Q28" s="1898">
        <f t="shared" si="11"/>
        <v>111</v>
      </c>
      <c r="R28" s="752" t="s">
        <v>25</v>
      </c>
      <c r="S28" s="753">
        <f t="shared" ref="S28:S40" si="12">F28</f>
        <v>100</v>
      </c>
      <c r="T28" s="752" t="s">
        <v>25</v>
      </c>
      <c r="U28" s="753">
        <f t="shared" ref="U28:U40" si="13">H28</f>
        <v>100</v>
      </c>
      <c r="V28" s="752" t="s">
        <v>25</v>
      </c>
      <c r="W28" s="753">
        <f t="shared" ref="W28:W40" si="14">J28</f>
        <v>100</v>
      </c>
      <c r="X28" s="1899"/>
      <c r="Y28" s="3031"/>
      <c r="Z28" s="1901">
        <f t="shared" ref="Z28:Z40" si="15">Q28</f>
        <v>111</v>
      </c>
      <c r="AA28" s="1902">
        <f t="shared" si="3"/>
        <v>1</v>
      </c>
      <c r="AB28" s="1902">
        <f t="shared" si="4"/>
        <v>1</v>
      </c>
      <c r="AC28" s="1902">
        <f t="shared" si="5"/>
        <v>1</v>
      </c>
    </row>
    <row r="29" spans="1:29" ht="30">
      <c r="A29" s="447" t="s">
        <v>2368</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059" t="s">
        <v>2370</v>
      </c>
      <c r="Q29" s="1898" t="str">
        <f t="shared" si="11"/>
        <v>建筑类型</v>
      </c>
      <c r="R29" s="752" t="s">
        <v>25</v>
      </c>
      <c r="S29" s="753">
        <f t="shared" si="12"/>
        <v>100</v>
      </c>
      <c r="T29" s="752" t="s">
        <v>25</v>
      </c>
      <c r="U29" s="753">
        <f t="shared" si="13"/>
        <v>100</v>
      </c>
      <c r="V29" s="752" t="s">
        <v>25</v>
      </c>
      <c r="W29" s="753">
        <f t="shared" si="14"/>
        <v>100</v>
      </c>
      <c r="X29" s="1899"/>
      <c r="Y29" s="3035"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35"/>
      <c r="Q30" s="754" t="str">
        <f t="shared" si="11"/>
        <v>项目建筑规模</v>
      </c>
      <c r="R30" s="755" t="s">
        <v>25</v>
      </c>
      <c r="S30" s="756" t="e">
        <f t="shared" si="12"/>
        <v>#N/A</v>
      </c>
      <c r="T30" s="755" t="s">
        <v>25</v>
      </c>
      <c r="U30" s="756" t="e">
        <f t="shared" si="13"/>
        <v>#N/A</v>
      </c>
      <c r="V30" s="755" t="s">
        <v>25</v>
      </c>
      <c r="W30" s="756" t="e">
        <f t="shared" si="14"/>
        <v>#N/A</v>
      </c>
      <c r="X30" s="757"/>
      <c r="Y30" s="3035"/>
      <c r="Z30" s="758"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35"/>
      <c r="Q31" s="1898" t="str">
        <f t="shared" si="11"/>
        <v>建筑结构</v>
      </c>
      <c r="R31" s="752" t="s">
        <v>25</v>
      </c>
      <c r="S31" s="753">
        <f t="shared" si="12"/>
        <v>100</v>
      </c>
      <c r="T31" s="752" t="s">
        <v>25</v>
      </c>
      <c r="U31" s="753">
        <f t="shared" si="13"/>
        <v>100</v>
      </c>
      <c r="V31" s="752" t="s">
        <v>25</v>
      </c>
      <c r="W31" s="753">
        <f t="shared" si="14"/>
        <v>100</v>
      </c>
      <c r="X31" s="1899"/>
      <c r="Y31" s="3035"/>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35"/>
      <c r="Q32" s="1898" t="str">
        <f t="shared" si="11"/>
        <v>公共部分装修</v>
      </c>
      <c r="R32" s="752" t="s">
        <v>25</v>
      </c>
      <c r="S32" s="753">
        <f t="shared" si="12"/>
        <v>100</v>
      </c>
      <c r="T32" s="752" t="s">
        <v>25</v>
      </c>
      <c r="U32" s="753">
        <f t="shared" si="13"/>
        <v>100</v>
      </c>
      <c r="V32" s="752" t="s">
        <v>25</v>
      </c>
      <c r="W32" s="753">
        <f t="shared" si="14"/>
        <v>100</v>
      </c>
      <c r="X32" s="1899"/>
      <c r="Y32" s="3035"/>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35"/>
      <c r="Q33" s="1898" t="str">
        <f t="shared" si="11"/>
        <v>成新度</v>
      </c>
      <c r="R33" s="752" t="s">
        <v>25</v>
      </c>
      <c r="S33" s="753" t="e">
        <f t="shared" si="12"/>
        <v>#N/A</v>
      </c>
      <c r="T33" s="752" t="s">
        <v>25</v>
      </c>
      <c r="U33" s="753" t="e">
        <f t="shared" si="13"/>
        <v>#N/A</v>
      </c>
      <c r="V33" s="752" t="s">
        <v>25</v>
      </c>
      <c r="W33" s="753" t="e">
        <f t="shared" si="14"/>
        <v>#N/A</v>
      </c>
      <c r="X33" s="1899"/>
      <c r="Y33" s="3035"/>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35"/>
      <c r="Q34" s="1886" t="str">
        <f t="shared" si="11"/>
        <v>物业管理</v>
      </c>
      <c r="R34" s="748" t="s">
        <v>25</v>
      </c>
      <c r="S34" s="749">
        <f t="shared" si="12"/>
        <v>100</v>
      </c>
      <c r="T34" s="748" t="s">
        <v>25</v>
      </c>
      <c r="U34" s="749">
        <f t="shared" si="13"/>
        <v>100</v>
      </c>
      <c r="V34" s="748" t="s">
        <v>25</v>
      </c>
      <c r="W34" s="749">
        <f t="shared" si="14"/>
        <v>100</v>
      </c>
      <c r="X34" s="750"/>
      <c r="Y34" s="3035"/>
      <c r="Z34" s="23" t="str">
        <f t="shared" si="15"/>
        <v>物业管理</v>
      </c>
      <c r="AA34" s="751">
        <f t="shared" si="3"/>
        <v>1</v>
      </c>
      <c r="AB34" s="751">
        <f t="shared" si="4"/>
        <v>1</v>
      </c>
      <c r="AC34" s="751">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35" t="s">
        <v>2370</v>
      </c>
      <c r="Q35" s="1898" t="str">
        <f t="shared" si="11"/>
        <v>市政基础设施</v>
      </c>
      <c r="R35" s="752" t="s">
        <v>25</v>
      </c>
      <c r="S35" s="753">
        <f t="shared" si="12"/>
        <v>100</v>
      </c>
      <c r="T35" s="752" t="s">
        <v>25</v>
      </c>
      <c r="U35" s="753">
        <f t="shared" si="13"/>
        <v>100</v>
      </c>
      <c r="V35" s="752" t="s">
        <v>25</v>
      </c>
      <c r="W35" s="753">
        <f t="shared" si="14"/>
        <v>100</v>
      </c>
      <c r="X35" s="1899"/>
      <c r="Y35" s="3035"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35"/>
      <c r="Q36" s="1898" t="str">
        <f t="shared" si="11"/>
        <v>内部装修</v>
      </c>
      <c r="R36" s="752" t="s">
        <v>25</v>
      </c>
      <c r="S36" s="753">
        <f t="shared" si="12"/>
        <v>100</v>
      </c>
      <c r="T36" s="752" t="s">
        <v>25</v>
      </c>
      <c r="U36" s="753">
        <f t="shared" si="13"/>
        <v>100</v>
      </c>
      <c r="V36" s="752" t="s">
        <v>25</v>
      </c>
      <c r="W36" s="753">
        <f t="shared" si="14"/>
        <v>100</v>
      </c>
      <c r="X36" s="1899"/>
      <c r="Y36" s="3035"/>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35"/>
      <c r="Q37" s="1898" t="str">
        <f t="shared" si="11"/>
        <v>内部装修状况</v>
      </c>
      <c r="R37" s="752" t="s">
        <v>25</v>
      </c>
      <c r="S37" s="753">
        <f t="shared" si="12"/>
        <v>0</v>
      </c>
      <c r="T37" s="752" t="s">
        <v>25</v>
      </c>
      <c r="U37" s="753">
        <f t="shared" si="13"/>
        <v>0</v>
      </c>
      <c r="V37" s="752" t="s">
        <v>25</v>
      </c>
      <c r="W37" s="753">
        <f t="shared" si="14"/>
        <v>0</v>
      </c>
      <c r="X37" s="1899"/>
      <c r="Y37" s="3035"/>
      <c r="Z37" s="1901" t="str">
        <f t="shared" si="15"/>
        <v>内部装修状况</v>
      </c>
      <c r="AA37" s="1902" t="e">
        <f t="shared" si="3"/>
        <v>#DIV/0!</v>
      </c>
      <c r="AB37" s="1902" t="e">
        <f t="shared" si="4"/>
        <v>#DIV/0!</v>
      </c>
      <c r="AC37" s="1902"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35"/>
      <c r="Q38" s="754">
        <f t="shared" si="11"/>
        <v>111</v>
      </c>
      <c r="R38" s="755" t="s">
        <v>25</v>
      </c>
      <c r="S38" s="756">
        <f t="shared" si="12"/>
        <v>100</v>
      </c>
      <c r="T38" s="755" t="s">
        <v>25</v>
      </c>
      <c r="U38" s="756">
        <f t="shared" si="13"/>
        <v>100</v>
      </c>
      <c r="V38" s="755" t="s">
        <v>25</v>
      </c>
      <c r="W38" s="756">
        <f t="shared" si="14"/>
        <v>100</v>
      </c>
      <c r="X38" s="757"/>
      <c r="Y38" s="3035"/>
      <c r="Z38" s="758">
        <f t="shared" si="15"/>
        <v>111</v>
      </c>
      <c r="AA38" s="1902">
        <f t="shared" si="3"/>
        <v>1</v>
      </c>
      <c r="AB38" s="1902">
        <f t="shared" si="4"/>
        <v>1</v>
      </c>
      <c r="AC38" s="1902">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35"/>
      <c r="Q39" s="1898">
        <f t="shared" si="11"/>
        <v>111</v>
      </c>
      <c r="R39" s="752" t="s">
        <v>25</v>
      </c>
      <c r="S39" s="753">
        <f t="shared" si="12"/>
        <v>100</v>
      </c>
      <c r="T39" s="752" t="s">
        <v>25</v>
      </c>
      <c r="U39" s="753">
        <f t="shared" si="13"/>
        <v>100</v>
      </c>
      <c r="V39" s="752" t="s">
        <v>25</v>
      </c>
      <c r="W39" s="753">
        <f t="shared" si="14"/>
        <v>100</v>
      </c>
      <c r="X39" s="1899"/>
      <c r="Y39" s="3035"/>
      <c r="Z39" s="1901">
        <f t="shared" si="15"/>
        <v>111</v>
      </c>
      <c r="AA39" s="1902">
        <f t="shared" si="3"/>
        <v>1</v>
      </c>
      <c r="AB39" s="1902">
        <f t="shared" si="4"/>
        <v>1</v>
      </c>
      <c r="AC39" s="1902">
        <f t="shared" si="5"/>
        <v>1</v>
      </c>
    </row>
    <row r="40" spans="1:29" ht="15.6"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36"/>
      <c r="Q40" s="1898">
        <f t="shared" si="11"/>
        <v>111</v>
      </c>
      <c r="R40" s="752" t="s">
        <v>25</v>
      </c>
      <c r="S40" s="753">
        <f t="shared" si="12"/>
        <v>100</v>
      </c>
      <c r="T40" s="752" t="s">
        <v>25</v>
      </c>
      <c r="U40" s="753">
        <f t="shared" si="13"/>
        <v>100</v>
      </c>
      <c r="V40" s="752" t="s">
        <v>25</v>
      </c>
      <c r="W40" s="753">
        <f t="shared" si="14"/>
        <v>100</v>
      </c>
      <c r="X40" s="1899"/>
      <c r="Y40" s="3036"/>
      <c r="Z40" s="1901">
        <f t="shared" si="15"/>
        <v>111</v>
      </c>
      <c r="AA40" s="1902">
        <f t="shared" si="3"/>
        <v>1</v>
      </c>
      <c r="AB40" s="1902">
        <f t="shared" si="4"/>
        <v>1</v>
      </c>
      <c r="AC40" s="1902">
        <f t="shared" si="5"/>
        <v>1</v>
      </c>
    </row>
    <row r="41" spans="1:29" ht="14.4">
      <c r="A41" s="460" t="s">
        <v>2382</v>
      </c>
      <c r="B41" s="461"/>
      <c r="C41" s="1501" t="s">
        <v>1</v>
      </c>
      <c r="D41" s="1502"/>
      <c r="E41" s="1503"/>
      <c r="F41" s="1504"/>
      <c r="G41" s="1505"/>
      <c r="H41" s="1506"/>
      <c r="I41" s="1503"/>
      <c r="J41" s="1506"/>
      <c r="K41" s="761"/>
      <c r="L41" s="1255"/>
      <c r="M41" s="1256"/>
      <c r="N41" s="1243"/>
      <c r="O41" s="1256"/>
      <c r="P41" s="3041" t="str">
        <f>A41</f>
        <v>成交单价（元/平方米）</v>
      </c>
      <c r="Q41" s="3041"/>
      <c r="R41" s="3042">
        <f>E41</f>
        <v>0</v>
      </c>
      <c r="S41" s="3042"/>
      <c r="T41" s="3042">
        <f>G41</f>
        <v>0</v>
      </c>
      <c r="U41" s="3042"/>
      <c r="V41" s="3042">
        <f>I41</f>
        <v>0</v>
      </c>
      <c r="W41" s="3042"/>
      <c r="X41" s="737"/>
      <c r="Y41" s="759"/>
      <c r="Z41" s="737"/>
      <c r="AA41" s="737"/>
      <c r="AB41" s="737"/>
      <c r="AC41" s="737"/>
    </row>
    <row r="42" spans="1:29" ht="15" thickBot="1">
      <c r="A42" s="467" t="s">
        <v>2465</v>
      </c>
      <c r="B42" s="468"/>
      <c r="C42" s="1507" t="e">
        <f>R43</f>
        <v>#DIV/0!</v>
      </c>
      <c r="D42" s="1508"/>
      <c r="E42" s="1509" t="e">
        <f>R42</f>
        <v>#DIV/0!</v>
      </c>
      <c r="F42" s="1509"/>
      <c r="G42" s="1507" t="e">
        <f>T42</f>
        <v>#DIV/0!</v>
      </c>
      <c r="H42" s="1508"/>
      <c r="I42" s="1509" t="e">
        <f>V42</f>
        <v>#DIV/0!</v>
      </c>
      <c r="J42" s="1508"/>
      <c r="K42" s="762"/>
      <c r="L42" s="1255"/>
      <c r="M42" s="1256"/>
      <c r="N42" s="1243"/>
      <c r="O42" s="1256"/>
      <c r="P42" s="3041" t="str">
        <f>A42</f>
        <v>比较价值（元/平方米）</v>
      </c>
      <c r="Q42" s="3041"/>
      <c r="R42" s="3042" t="e">
        <f>IF(E1="售价",ROUND(PRODUCT(R41,AA7:AA40),0),ROUND(PRODUCT(R41,AA7:AA40),1))</f>
        <v>#DIV/0!</v>
      </c>
      <c r="S42" s="3042"/>
      <c r="T42" s="3042" t="e">
        <f>IF(E1="售价",ROUND(PRODUCT(T41,AB7:AB40),0),ROUND(PRODUCT(T41,AB7:AB40),1))</f>
        <v>#DIV/0!</v>
      </c>
      <c r="U42" s="3042"/>
      <c r="V42" s="3042" t="e">
        <f>IF(E1="售价",ROUND(PRODUCT(V41,AC7:AC40),0),ROUND(PRODUCT(V41,AC7:AC40),1))</f>
        <v>#DIV/0!</v>
      </c>
      <c r="W42" s="3042"/>
      <c r="X42" s="737"/>
      <c r="Y42" s="737"/>
      <c r="Z42" s="737"/>
      <c r="AA42" s="737"/>
      <c r="AB42" s="737"/>
      <c r="AC42" s="737"/>
    </row>
    <row r="43" spans="1:29" ht="15" thickBot="1">
      <c r="A43" s="473" t="s">
        <v>2488</v>
      </c>
      <c r="B43" s="474"/>
      <c r="C43" s="1511" t="e">
        <f>R43</f>
        <v>#DIV/0!</v>
      </c>
      <c r="D43" s="1511"/>
      <c r="E43" s="1511"/>
      <c r="F43" s="1511"/>
      <c r="G43" s="1511"/>
      <c r="H43" s="1511"/>
      <c r="I43" s="1511"/>
      <c r="J43" s="1511"/>
      <c r="K43" s="763"/>
      <c r="L43" s="1255"/>
      <c r="M43" s="1256"/>
      <c r="N43" s="1256"/>
      <c r="O43" s="1256"/>
      <c r="P43" s="3047" t="str">
        <f>A43</f>
        <v>估价对象XX用房的比较价值（楼面单价，元/平方米）</v>
      </c>
      <c r="Q43" s="3048"/>
      <c r="R43" s="3049" t="e">
        <f>IF(E1="售价",ROUND(AVERAGE(R42:V42),0),ROUND(AVERAGE(R42:V42),1))</f>
        <v>#DIV/0!</v>
      </c>
      <c r="S43" s="3049"/>
      <c r="T43" s="3049"/>
      <c r="U43" s="3049"/>
      <c r="V43" s="3049"/>
      <c r="W43" s="3049"/>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2.2" thickBot="1">
      <c r="A51" s="741" t="s">
        <v>2470</v>
      </c>
      <c r="B51" s="737"/>
      <c r="C51" s="742"/>
      <c r="D51" s="742"/>
      <c r="E51" s="742"/>
      <c r="F51" s="743"/>
      <c r="G51" s="743"/>
      <c r="H51" s="742"/>
      <c r="I51" s="742"/>
      <c r="J51" s="742"/>
      <c r="K51" s="744"/>
      <c r="L51" s="745"/>
      <c r="M51" s="742"/>
      <c r="N51" s="742"/>
      <c r="O51" s="742"/>
      <c r="P51" s="484"/>
      <c r="Q51" s="485"/>
    </row>
    <row r="52" spans="1:17" s="489" customFormat="1" ht="14.4">
      <c r="A52" s="486" t="s">
        <v>2352</v>
      </c>
      <c r="B52" s="487"/>
      <c r="C52" s="1677" t="str">
        <f>YEAR(C7)&amp;"-"&amp;MONTH(C7)</f>
        <v>2018-8</v>
      </c>
      <c r="D52" s="1678">
        <f>EDATE(C52,-1)</f>
        <v>43282</v>
      </c>
      <c r="E52" s="1679">
        <f t="shared" ref="E52:O52" si="16">EDATE(D52,-1)</f>
        <v>43252</v>
      </c>
      <c r="F52" s="1679">
        <f t="shared" si="16"/>
        <v>43221</v>
      </c>
      <c r="G52" s="1679">
        <f t="shared" si="16"/>
        <v>43191</v>
      </c>
      <c r="H52" s="1679">
        <f t="shared" si="16"/>
        <v>43160</v>
      </c>
      <c r="I52" s="1679">
        <f t="shared" si="16"/>
        <v>43132</v>
      </c>
      <c r="J52" s="1679">
        <f t="shared" si="16"/>
        <v>43101</v>
      </c>
      <c r="K52" s="1679">
        <f t="shared" si="16"/>
        <v>43070</v>
      </c>
      <c r="L52" s="1679">
        <f t="shared" si="16"/>
        <v>43040</v>
      </c>
      <c r="M52" s="1679">
        <f t="shared" si="16"/>
        <v>43009</v>
      </c>
      <c r="N52" s="1679">
        <f t="shared" si="16"/>
        <v>42979</v>
      </c>
      <c r="O52" s="1679">
        <f t="shared" si="16"/>
        <v>42948</v>
      </c>
      <c r="P52" s="488"/>
    </row>
    <row r="53" spans="1:17" s="35" customFormat="1">
      <c r="A53" s="490"/>
      <c r="B53" s="491"/>
      <c r="C53" s="623">
        <v>100</v>
      </c>
      <c r="D53" s="493"/>
      <c r="E53" s="493"/>
      <c r="F53" s="493"/>
      <c r="G53" s="493"/>
      <c r="H53" s="493"/>
      <c r="I53" s="493"/>
      <c r="J53" s="493"/>
      <c r="K53" s="493"/>
      <c r="L53" s="493"/>
      <c r="M53" s="494"/>
      <c r="N53" s="493"/>
      <c r="O53" s="495"/>
      <c r="P53" s="485"/>
    </row>
    <row r="54" spans="1:17" s="35" customFormat="1" ht="15" thickBot="1">
      <c r="A54" s="496" t="s">
        <v>2390</v>
      </c>
      <c r="B54" s="497"/>
      <c r="C54" s="498"/>
      <c r="D54" s="499"/>
      <c r="E54" s="499"/>
      <c r="F54" s="499"/>
      <c r="G54" s="499"/>
      <c r="H54" s="499"/>
      <c r="I54" s="499"/>
      <c r="J54" s="499"/>
      <c r="K54" s="499"/>
      <c r="L54" s="499"/>
      <c r="M54" s="500"/>
      <c r="N54" s="499"/>
      <c r="O54" s="501"/>
      <c r="P54" s="485"/>
      <c r="Q54" s="485"/>
    </row>
    <row r="55" spans="1:17" s="35" customFormat="1" ht="14.4">
      <c r="A55" s="502" t="s">
        <v>2354</v>
      </c>
      <c r="B55" s="491"/>
      <c r="C55" s="503" t="s">
        <v>2355</v>
      </c>
      <c r="D55" s="504"/>
      <c r="E55" s="504"/>
      <c r="F55" s="504"/>
      <c r="G55" s="504"/>
      <c r="H55" s="504"/>
      <c r="I55" s="504"/>
      <c r="J55" s="504"/>
      <c r="K55" s="504"/>
      <c r="L55" s="505"/>
      <c r="M55" s="506"/>
      <c r="N55" s="1265"/>
      <c r="O55" s="1265"/>
      <c r="P55" s="507"/>
      <c r="Q55" s="485"/>
    </row>
    <row r="56" spans="1:17" s="35" customFormat="1" ht="14.4" thickBot="1">
      <c r="A56" s="502"/>
      <c r="B56" s="491"/>
      <c r="C56" s="623">
        <v>100</v>
      </c>
      <c r="D56" s="493"/>
      <c r="E56" s="493"/>
      <c r="F56" s="493"/>
      <c r="G56" s="493"/>
      <c r="H56" s="493"/>
      <c r="I56" s="493"/>
      <c r="J56" s="493"/>
      <c r="K56" s="493"/>
      <c r="L56" s="493"/>
      <c r="M56" s="495"/>
      <c r="N56" s="1265"/>
      <c r="O56" s="1265"/>
      <c r="P56" s="485"/>
      <c r="Q56" s="485"/>
    </row>
    <row r="57" spans="1:17" ht="14.4">
      <c r="A57" s="508" t="s">
        <v>2393</v>
      </c>
      <c r="B57" s="509" t="s">
        <v>2358</v>
      </c>
      <c r="C57" s="510">
        <f>C9</f>
        <v>0</v>
      </c>
      <c r="D57" s="511"/>
      <c r="E57" s="511"/>
      <c r="F57" s="511"/>
      <c r="G57" s="511"/>
      <c r="H57" s="511"/>
      <c r="I57" s="511"/>
      <c r="J57" s="511"/>
      <c r="K57" s="512"/>
      <c r="L57" s="513"/>
      <c r="M57" s="514"/>
      <c r="N57" s="1266"/>
      <c r="O57" s="1266"/>
      <c r="P57" s="22"/>
      <c r="Q57" s="485"/>
    </row>
    <row r="58" spans="1:17" ht="14.4" thickBot="1">
      <c r="A58" s="516"/>
      <c r="B58" s="517"/>
      <c r="C58" s="518">
        <v>100</v>
      </c>
      <c r="D58" s="518"/>
      <c r="E58" s="518"/>
      <c r="F58" s="518"/>
      <c r="G58" s="518"/>
      <c r="H58" s="518"/>
      <c r="I58" s="518"/>
      <c r="J58" s="518"/>
      <c r="K58" s="518"/>
      <c r="L58" s="518"/>
      <c r="M58" s="519"/>
      <c r="N58" s="1267"/>
      <c r="O58" s="1267"/>
      <c r="P58" s="22"/>
      <c r="Q58" s="485"/>
    </row>
    <row r="59" spans="1:17" ht="29.4" thickTop="1">
      <c r="A59" s="516"/>
      <c r="B59" s="521" t="s">
        <v>2361</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4.4"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c r="A62" s="516"/>
      <c r="B62" s="531"/>
      <c r="C62" s="532"/>
      <c r="D62" s="532"/>
      <c r="E62" s="532"/>
      <c r="F62" s="532"/>
      <c r="G62" s="532"/>
      <c r="H62" s="532"/>
      <c r="I62" s="532"/>
      <c r="J62" s="532"/>
      <c r="K62" s="533"/>
      <c r="L62" s="534"/>
      <c r="M62" s="535"/>
      <c r="N62" s="1266"/>
      <c r="O62" s="1266"/>
      <c r="P62" s="22"/>
      <c r="Q62" s="485"/>
    </row>
    <row r="63" spans="1:17" ht="14.4"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4.4" thickTop="1">
      <c r="A64" s="536"/>
      <c r="B64" s="521">
        <f>B12</f>
        <v>111</v>
      </c>
      <c r="C64" s="537"/>
      <c r="D64" s="537"/>
      <c r="E64" s="537"/>
      <c r="F64" s="537"/>
      <c r="G64" s="537"/>
      <c r="H64" s="538"/>
      <c r="I64" s="538"/>
      <c r="J64" s="538"/>
      <c r="K64" s="538"/>
      <c r="L64" s="539"/>
      <c r="M64" s="540"/>
      <c r="N64" s="1268"/>
      <c r="O64" s="1268"/>
      <c r="P64" s="542"/>
      <c r="Q64" s="543"/>
    </row>
    <row r="65" spans="1:17" s="452" customFormat="1" ht="14.4" thickBot="1">
      <c r="A65" s="536"/>
      <c r="B65" s="526"/>
      <c r="C65" s="544"/>
      <c r="D65" s="518"/>
      <c r="E65" s="518"/>
      <c r="F65" s="518"/>
      <c r="G65" s="518"/>
      <c r="H65" s="518"/>
      <c r="I65" s="518"/>
      <c r="J65" s="518"/>
      <c r="K65" s="518"/>
      <c r="L65" s="518"/>
      <c r="M65" s="519"/>
      <c r="N65" s="1267"/>
      <c r="O65" s="1267"/>
      <c r="P65" s="542"/>
      <c r="Q65" s="543"/>
    </row>
    <row r="66" spans="1:17" s="452" customFormat="1" ht="14.4" thickTop="1">
      <c r="A66" s="536"/>
      <c r="B66" s="521">
        <f>B13</f>
        <v>111</v>
      </c>
      <c r="C66" s="537"/>
      <c r="D66" s="537"/>
      <c r="E66" s="537"/>
      <c r="F66" s="537"/>
      <c r="G66" s="537"/>
      <c r="H66" s="538"/>
      <c r="I66" s="538"/>
      <c r="J66" s="538"/>
      <c r="K66" s="538"/>
      <c r="L66" s="539"/>
      <c r="M66" s="540"/>
      <c r="N66" s="1268"/>
      <c r="O66" s="1268"/>
      <c r="P66" s="451"/>
      <c r="Q66" s="545"/>
    </row>
    <row r="67" spans="1:17" s="452" customFormat="1" ht="14.4" thickBot="1">
      <c r="A67" s="536"/>
      <c r="B67" s="526"/>
      <c r="C67" s="544"/>
      <c r="D67" s="518"/>
      <c r="E67" s="518"/>
      <c r="F67" s="518"/>
      <c r="G67" s="544"/>
      <c r="H67" s="546"/>
      <c r="I67" s="546"/>
      <c r="J67" s="546"/>
      <c r="K67" s="546"/>
      <c r="L67" s="546"/>
      <c r="M67" s="547"/>
      <c r="N67" s="1268"/>
      <c r="O67" s="1268"/>
      <c r="P67" s="542"/>
      <c r="Q67" s="543"/>
    </row>
    <row r="68" spans="1:17" s="452" customFormat="1" ht="14.4" thickTop="1">
      <c r="A68" s="536"/>
      <c r="B68" s="529">
        <f>B14</f>
        <v>111</v>
      </c>
      <c r="C68" s="504"/>
      <c r="D68" s="504"/>
      <c r="E68" s="504"/>
      <c r="F68" s="504"/>
      <c r="G68" s="504"/>
      <c r="H68" s="548"/>
      <c r="I68" s="548"/>
      <c r="J68" s="548"/>
      <c r="K68" s="548"/>
      <c r="L68" s="549"/>
      <c r="M68" s="550"/>
      <c r="N68" s="1268"/>
      <c r="O68" s="1268"/>
      <c r="P68" s="551"/>
      <c r="Q68" s="543"/>
    </row>
    <row r="69" spans="1:17" s="452" customFormat="1" ht="14.4" thickBot="1">
      <c r="A69" s="552"/>
      <c r="B69" s="553"/>
      <c r="C69" s="554"/>
      <c r="D69" s="554"/>
      <c r="E69" s="554"/>
      <c r="F69" s="554"/>
      <c r="G69" s="554"/>
      <c r="H69" s="555"/>
      <c r="I69" s="555"/>
      <c r="J69" s="555"/>
      <c r="K69" s="555"/>
      <c r="L69" s="555"/>
      <c r="M69" s="556"/>
      <c r="N69" s="1268"/>
      <c r="O69" s="1268"/>
      <c r="P69" s="542"/>
      <c r="Q69" s="543"/>
    </row>
    <row r="70" spans="1:17" ht="14.4">
      <c r="A70" s="508" t="s">
        <v>2363</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4.4"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4.4"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4.4"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 thickTop="1">
      <c r="A76" s="516"/>
      <c r="B76" s="529" t="s">
        <v>2480</v>
      </c>
      <c r="C76" s="522" t="s">
        <v>2409</v>
      </c>
      <c r="D76" s="522" t="s">
        <v>2410</v>
      </c>
      <c r="E76" s="522" t="s">
        <v>2411</v>
      </c>
      <c r="F76" s="522" t="s">
        <v>2412</v>
      </c>
      <c r="G76" s="522" t="s">
        <v>2413</v>
      </c>
      <c r="H76" s="522"/>
      <c r="I76" s="522"/>
      <c r="J76" s="522"/>
      <c r="K76" s="522"/>
      <c r="L76" s="522"/>
      <c r="M76" s="1466"/>
      <c r="N76" s="1267"/>
      <c r="O76" s="1267"/>
      <c r="P76" s="22"/>
      <c r="Q76" s="485"/>
    </row>
    <row r="77" spans="1:17" ht="14.4"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4.4"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4.4" thickTop="1">
      <c r="A80" s="563"/>
      <c r="B80" s="521">
        <f>B25</f>
        <v>111</v>
      </c>
      <c r="C80" s="537"/>
      <c r="D80" s="537"/>
      <c r="E80" s="537"/>
      <c r="F80" s="537"/>
      <c r="G80" s="537"/>
      <c r="H80" s="537"/>
      <c r="I80" s="537"/>
      <c r="J80" s="537"/>
      <c r="K80" s="537"/>
      <c r="L80" s="564"/>
      <c r="M80" s="565"/>
      <c r="N80" s="1265"/>
      <c r="O80" s="1265"/>
      <c r="P80" s="22"/>
      <c r="Q80" s="485"/>
    </row>
    <row r="81" spans="1:17" s="35" customFormat="1" ht="14.4" thickBot="1">
      <c r="A81" s="563"/>
      <c r="B81" s="526"/>
      <c r="C81" s="544"/>
      <c r="D81" s="518"/>
      <c r="E81" s="518"/>
      <c r="F81" s="518"/>
      <c r="G81" s="518"/>
      <c r="H81" s="518"/>
      <c r="I81" s="518"/>
      <c r="J81" s="518"/>
      <c r="K81" s="518"/>
      <c r="L81" s="518"/>
      <c r="M81" s="519"/>
      <c r="N81" s="1267"/>
      <c r="O81" s="1267"/>
      <c r="P81" s="22"/>
      <c r="Q81" s="485"/>
    </row>
    <row r="82" spans="1:17" s="35" customFormat="1" ht="14.4" thickTop="1">
      <c r="A82" s="563"/>
      <c r="B82" s="521">
        <f>B26</f>
        <v>111</v>
      </c>
      <c r="C82" s="537"/>
      <c r="D82" s="537"/>
      <c r="E82" s="537"/>
      <c r="F82" s="537"/>
      <c r="G82" s="537"/>
      <c r="H82" s="537"/>
      <c r="I82" s="537"/>
      <c r="J82" s="537"/>
      <c r="K82" s="537"/>
      <c r="L82" s="564"/>
      <c r="M82" s="565"/>
      <c r="N82" s="1265"/>
      <c r="O82" s="1265"/>
      <c r="P82" s="22"/>
      <c r="Q82" s="485"/>
    </row>
    <row r="83" spans="1:17" s="35" customFormat="1" ht="14.4" thickBot="1">
      <c r="A83" s="563"/>
      <c r="B83" s="526"/>
      <c r="C83" s="544"/>
      <c r="D83" s="518"/>
      <c r="E83" s="518"/>
      <c r="F83" s="518"/>
      <c r="G83" s="518"/>
      <c r="H83" s="518"/>
      <c r="I83" s="518"/>
      <c r="J83" s="518"/>
      <c r="K83" s="518"/>
      <c r="L83" s="518"/>
      <c r="M83" s="519"/>
      <c r="N83" s="1267"/>
      <c r="O83" s="1267"/>
      <c r="P83" s="22"/>
      <c r="Q83" s="485"/>
    </row>
    <row r="84" spans="1:17" s="452" customFormat="1" ht="14.4" thickTop="1">
      <c r="A84" s="536"/>
      <c r="B84" s="521">
        <f>B27</f>
        <v>111</v>
      </c>
      <c r="C84" s="537"/>
      <c r="D84" s="537"/>
      <c r="E84" s="537"/>
      <c r="F84" s="537"/>
      <c r="G84" s="537"/>
      <c r="H84" s="537"/>
      <c r="I84" s="537"/>
      <c r="J84" s="537"/>
      <c r="K84" s="537"/>
      <c r="L84" s="564"/>
      <c r="M84" s="565"/>
      <c r="N84" s="1268"/>
      <c r="O84" s="1268"/>
      <c r="P84" s="542"/>
      <c r="Q84" s="543"/>
    </row>
    <row r="85" spans="1:17" s="452" customFormat="1" ht="14.4" thickBot="1">
      <c r="A85" s="536"/>
      <c r="B85" s="526"/>
      <c r="C85" s="544"/>
      <c r="D85" s="518"/>
      <c r="E85" s="518"/>
      <c r="F85" s="518"/>
      <c r="G85" s="518"/>
      <c r="H85" s="518"/>
      <c r="I85" s="518"/>
      <c r="J85" s="518"/>
      <c r="K85" s="518"/>
      <c r="L85" s="518"/>
      <c r="M85" s="519"/>
      <c r="N85" s="1268"/>
      <c r="O85" s="1268"/>
      <c r="P85" s="542"/>
      <c r="Q85" s="543"/>
    </row>
    <row r="86" spans="1:17" ht="14.4" thickTop="1">
      <c r="A86" s="516"/>
      <c r="B86" s="529">
        <f>B28</f>
        <v>111</v>
      </c>
      <c r="C86" s="504"/>
      <c r="D86" s="504"/>
      <c r="E86" s="504"/>
      <c r="F86" s="504"/>
      <c r="G86" s="571"/>
      <c r="H86" s="571"/>
      <c r="I86" s="571"/>
      <c r="J86" s="571"/>
      <c r="K86" s="572"/>
      <c r="L86" s="573"/>
      <c r="M86" s="574"/>
      <c r="N86" s="1266"/>
      <c r="O86" s="1266"/>
      <c r="P86" s="22"/>
      <c r="Q86" s="485"/>
    </row>
    <row r="87" spans="1:17" ht="14.4" thickBot="1">
      <c r="A87" s="2432"/>
      <c r="B87" s="553"/>
      <c r="C87" s="554"/>
      <c r="D87" s="554"/>
      <c r="E87" s="554"/>
      <c r="F87" s="554"/>
      <c r="G87" s="575"/>
      <c r="H87" s="575"/>
      <c r="I87" s="575"/>
      <c r="J87" s="575"/>
      <c r="K87" s="575"/>
      <c r="L87" s="575"/>
      <c r="M87" s="576"/>
      <c r="N87" s="1267"/>
      <c r="O87" s="1267"/>
      <c r="P87" s="22"/>
      <c r="Q87" s="485"/>
    </row>
    <row r="88" spans="1:17" ht="14.4">
      <c r="A88" s="508" t="s">
        <v>2368</v>
      </c>
      <c r="B88" s="509" t="s">
        <v>2417</v>
      </c>
      <c r="C88" s="511"/>
      <c r="D88" s="511"/>
      <c r="E88" s="511"/>
      <c r="F88" s="511"/>
      <c r="G88" s="511"/>
      <c r="H88" s="511"/>
      <c r="I88" s="511"/>
      <c r="J88" s="511"/>
      <c r="K88" s="512"/>
      <c r="L88" s="513"/>
      <c r="M88" s="514"/>
      <c r="N88" s="1266"/>
      <c r="O88" s="1266"/>
      <c r="P88" s="22"/>
      <c r="Q88" s="485"/>
    </row>
    <row r="89" spans="1:17" ht="14.4"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4.4"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4.4"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4.4"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4.4"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4.4"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4.4"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4.4"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29.4"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4.4"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4.4"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4.4" thickBot="1">
      <c r="A109" s="536"/>
      <c r="B109" s="517"/>
      <c r="C109" s="544"/>
      <c r="D109" s="518"/>
      <c r="E109" s="518"/>
      <c r="F109" s="518"/>
      <c r="G109" s="544"/>
      <c r="H109" s="546"/>
      <c r="I109" s="546"/>
      <c r="J109" s="546"/>
      <c r="K109" s="546"/>
      <c r="L109" s="546"/>
      <c r="M109" s="547"/>
      <c r="N109" s="1268"/>
      <c r="O109" s="1268"/>
      <c r="P109" s="542"/>
      <c r="Q109" s="543"/>
    </row>
    <row r="110" spans="1:17" ht="14.4" thickTop="1">
      <c r="A110" s="583"/>
      <c r="B110" s="521">
        <f>B39</f>
        <v>111</v>
      </c>
      <c r="C110" s="537"/>
      <c r="D110" s="537"/>
      <c r="E110" s="537"/>
      <c r="F110" s="537"/>
      <c r="G110" s="537"/>
      <c r="H110" s="538"/>
      <c r="I110" s="538"/>
      <c r="J110" s="538"/>
      <c r="K110" s="538"/>
      <c r="L110" s="539"/>
      <c r="M110" s="540"/>
      <c r="N110" s="1266"/>
      <c r="O110" s="1266"/>
      <c r="P110" s="22"/>
      <c r="Q110" s="485"/>
    </row>
    <row r="111" spans="1:17" ht="14.4" thickBot="1">
      <c r="A111" s="516"/>
      <c r="B111" s="526"/>
      <c r="C111" s="544"/>
      <c r="D111" s="518"/>
      <c r="E111" s="518"/>
      <c r="F111" s="518"/>
      <c r="G111" s="544"/>
      <c r="H111" s="546"/>
      <c r="I111" s="546"/>
      <c r="J111" s="546"/>
      <c r="K111" s="546"/>
      <c r="L111" s="546"/>
      <c r="M111" s="547"/>
      <c r="N111" s="1267"/>
      <c r="O111" s="1267"/>
      <c r="P111" s="22"/>
      <c r="Q111" s="485"/>
    </row>
    <row r="112" spans="1:17" ht="14.4" thickTop="1">
      <c r="A112" s="583"/>
      <c r="B112" s="529">
        <f>B40</f>
        <v>111</v>
      </c>
      <c r="C112" s="504"/>
      <c r="D112" s="504"/>
      <c r="E112" s="504"/>
      <c r="F112" s="504"/>
      <c r="G112" s="571"/>
      <c r="H112" s="571"/>
      <c r="I112" s="571"/>
      <c r="J112" s="571"/>
      <c r="K112" s="504"/>
      <c r="L112" s="505"/>
      <c r="M112" s="574"/>
      <c r="N112" s="1266"/>
      <c r="O112" s="1266"/>
      <c r="P112" s="22"/>
      <c r="Q112" s="485"/>
    </row>
    <row r="113" spans="1:17" ht="14.4"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5.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2505</v>
      </c>
      <c r="B1" s="2480"/>
      <c r="C1" s="1728"/>
      <c r="D1" s="1729"/>
      <c r="E1" s="2382"/>
      <c r="F1" s="1730" t="s">
        <v>2337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IF(D2="——",IF(B37="元/平方米",IF(C2="元",ROUND(C39*D3,0),ROUND(C39*D3/10000,0)),IF(C2="元",ROUND(F3*C39,0),ROUND(F3*C39/10000,0))),IF(B37="元/平方米",IF(C2="元",ROUND(C39*D3,0),ROUND(C39*D3/10000,0)),IF(C2="元",ROUND(F3*C39,0),ROUND(F3*C39/10000,0)))-E2)</f>
        <v>#DIV/0!</v>
      </c>
      <c r="C2" s="163" t="str">
        <f>'数据-取费表'!B3</f>
        <v>万元</v>
      </c>
      <c r="D2" s="2384"/>
      <c r="E2" s="1213" t="e">
        <f ca="1">SUMIF(INDIRECT("'"&amp;G2&amp;"'"&amp;"!A:A"),"承租人权益价值",INDIRECT("'"&amp;G2&amp;"'"&amp;"!c:c"))</f>
        <v>#REF!</v>
      </c>
      <c r="F2" s="2385" t="str">
        <f>C2</f>
        <v>万元</v>
      </c>
      <c r="G2" s="2386"/>
      <c r="H2" s="980"/>
      <c r="I2" s="980"/>
      <c r="J2" s="980"/>
      <c r="K2" s="982"/>
      <c r="L2" s="1512"/>
      <c r="M2" s="746"/>
      <c r="N2" s="746"/>
      <c r="O2" s="746"/>
      <c r="P2" s="746"/>
      <c r="Q2" s="746"/>
      <c r="R2" s="746"/>
      <c r="S2" s="746"/>
      <c r="T2" s="746"/>
      <c r="U2" s="746"/>
      <c r="V2" s="746"/>
      <c r="W2" s="746"/>
      <c r="X2" s="746"/>
      <c r="Y2" s="746"/>
      <c r="Z2" s="746"/>
      <c r="AA2" s="746"/>
      <c r="AB2" s="746"/>
      <c r="AC2" s="747"/>
    </row>
    <row r="3" spans="1:29" s="377" customFormat="1" ht="28.5" customHeight="1" thickBot="1">
      <c r="A3" s="167" t="s">
        <v>2009</v>
      </c>
      <c r="B3" s="593" t="e">
        <f>IF(AND(D2="——",B37="元/平方米"),C39,ROUND(F3*C39/D3,0))</f>
        <v>#DIV/0!</v>
      </c>
      <c r="C3" s="379" t="s">
        <v>2338</v>
      </c>
      <c r="D3" s="378">
        <f>IF(C1="仅计算典型户型",'数据-取费表'!E5,'数据-取费表'!B5)</f>
        <v>424.6</v>
      </c>
      <c r="E3" s="1091" t="s">
        <v>2506</v>
      </c>
      <c r="F3" s="379">
        <f>'数据-取费表'!B41</f>
        <v>0</v>
      </c>
      <c r="G3" s="980"/>
      <c r="H3" s="980"/>
      <c r="I3" s="980"/>
      <c r="J3" s="980"/>
      <c r="K3" s="982"/>
      <c r="L3" s="1512"/>
      <c r="M3" s="746"/>
      <c r="N3" s="746"/>
      <c r="O3" s="746"/>
      <c r="P3" s="746"/>
      <c r="Q3" s="746"/>
      <c r="R3" s="746"/>
      <c r="S3" s="746"/>
      <c r="T3" s="746"/>
      <c r="U3" s="746"/>
      <c r="V3" s="746"/>
      <c r="W3" s="746"/>
      <c r="X3" s="746"/>
      <c r="Y3" s="746"/>
      <c r="Z3" s="746"/>
      <c r="AA3" s="746"/>
      <c r="AB3" s="766"/>
      <c r="AC3" s="760"/>
    </row>
    <row r="4" spans="1:29" ht="14.4">
      <c r="A4" s="380" t="s">
        <v>2339</v>
      </c>
      <c r="B4" s="381"/>
      <c r="C4" s="3005" t="s">
        <v>2340</v>
      </c>
      <c r="D4" s="3006"/>
      <c r="E4" s="3007" t="s">
        <v>2341</v>
      </c>
      <c r="F4" s="3008"/>
      <c r="G4" s="3005" t="s">
        <v>2342</v>
      </c>
      <c r="H4" s="3006"/>
      <c r="I4" s="3005" t="s">
        <v>2343</v>
      </c>
      <c r="J4" s="3006"/>
      <c r="K4" s="594" t="s">
        <v>2344</v>
      </c>
      <c r="L4" s="1513"/>
      <c r="M4" s="425"/>
      <c r="N4" s="425"/>
      <c r="O4" s="425"/>
      <c r="P4" s="3009" t="s">
        <v>2345</v>
      </c>
      <c r="Q4" s="3010"/>
      <c r="R4" s="3015" t="s">
        <v>2341</v>
      </c>
      <c r="S4" s="3016"/>
      <c r="T4" s="3015" t="s">
        <v>2342</v>
      </c>
      <c r="U4" s="3016"/>
      <c r="V4" s="3021" t="s">
        <v>2343</v>
      </c>
      <c r="W4" s="3021"/>
      <c r="X4" s="1899"/>
      <c r="Y4" s="3015" t="s">
        <v>2345</v>
      </c>
      <c r="Z4" s="3016"/>
      <c r="AA4" s="3002" t="s">
        <v>2341</v>
      </c>
      <c r="AB4" s="3003" t="s">
        <v>2342</v>
      </c>
      <c r="AC4" s="3002" t="s">
        <v>2343</v>
      </c>
    </row>
    <row r="5" spans="1:29">
      <c r="A5" s="383"/>
      <c r="B5" s="384"/>
      <c r="C5" s="3024" t="s">
        <v>2346</v>
      </c>
      <c r="D5" s="3025"/>
      <c r="E5" s="3022" t="s">
        <v>2347</v>
      </c>
      <c r="F5" s="3023"/>
      <c r="G5" s="3024" t="s">
        <v>2348</v>
      </c>
      <c r="H5" s="3025"/>
      <c r="I5" s="3024" t="s">
        <v>2349</v>
      </c>
      <c r="J5" s="3025"/>
      <c r="K5" s="594"/>
      <c r="L5" s="1513"/>
      <c r="M5" s="425"/>
      <c r="N5" s="425"/>
      <c r="O5" s="425"/>
      <c r="P5" s="3011"/>
      <c r="Q5" s="3012"/>
      <c r="R5" s="3017"/>
      <c r="S5" s="3018"/>
      <c r="T5" s="3017"/>
      <c r="U5" s="3018"/>
      <c r="V5" s="3021"/>
      <c r="W5" s="3021"/>
      <c r="X5" s="1899"/>
      <c r="Y5" s="3017"/>
      <c r="Z5" s="3018"/>
      <c r="AA5" s="3003"/>
      <c r="AB5" s="3003"/>
      <c r="AC5" s="3003"/>
    </row>
    <row r="6" spans="1:29" ht="15" thickBot="1">
      <c r="A6" s="385"/>
      <c r="B6" s="386"/>
      <c r="C6" s="3026" t="s">
        <v>2350</v>
      </c>
      <c r="D6" s="3027"/>
      <c r="E6" s="3028" t="s">
        <v>2350</v>
      </c>
      <c r="F6" s="3029"/>
      <c r="G6" s="3026" t="s">
        <v>2350</v>
      </c>
      <c r="H6" s="3027"/>
      <c r="I6" s="3026" t="s">
        <v>2350</v>
      </c>
      <c r="J6" s="3027"/>
      <c r="K6" s="594" t="s">
        <v>2351</v>
      </c>
      <c r="L6" s="1513"/>
      <c r="M6" s="425"/>
      <c r="N6" s="425"/>
      <c r="O6" s="425"/>
      <c r="P6" s="3013"/>
      <c r="Q6" s="3014"/>
      <c r="R6" s="3017"/>
      <c r="S6" s="3018"/>
      <c r="T6" s="3019"/>
      <c r="U6" s="3020"/>
      <c r="V6" s="3021"/>
      <c r="W6" s="3021"/>
      <c r="X6" s="1899"/>
      <c r="Y6" s="3019"/>
      <c r="Z6" s="3020"/>
      <c r="AA6" s="3004"/>
      <c r="AB6" s="3004"/>
      <c r="AC6" s="3004"/>
    </row>
    <row r="7" spans="1:29" s="35" customFormat="1" ht="15" thickBot="1">
      <c r="A7" s="387" t="s">
        <v>2352</v>
      </c>
      <c r="B7" s="388"/>
      <c r="C7" s="389">
        <f>'数据-取费表'!B2</f>
        <v>43328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7" t="s">
        <v>2353</v>
      </c>
      <c r="Q7" s="3039"/>
      <c r="R7" s="748" t="s">
        <v>25</v>
      </c>
      <c r="S7" s="749">
        <f t="shared" ref="S7:S14" si="0">F7</f>
        <v>0</v>
      </c>
      <c r="T7" s="748" t="s">
        <v>25</v>
      </c>
      <c r="U7" s="749">
        <f t="shared" ref="U7:U14" si="1">H7</f>
        <v>0</v>
      </c>
      <c r="V7" s="748" t="s">
        <v>25</v>
      </c>
      <c r="W7" s="749">
        <f t="shared" ref="W7:W14" si="2">J7</f>
        <v>0</v>
      </c>
      <c r="X7" s="750"/>
      <c r="Y7" s="3037" t="s">
        <v>2353</v>
      </c>
      <c r="Z7" s="3038"/>
      <c r="AA7" s="751" t="e">
        <f>D7/F7</f>
        <v>#DIV/0!</v>
      </c>
      <c r="AB7" s="751" t="e">
        <f>D7/H7</f>
        <v>#DIV/0!</v>
      </c>
      <c r="AC7" s="751" t="e">
        <f>D7/J7</f>
        <v>#DIV/0!</v>
      </c>
    </row>
    <row r="8" spans="1:29" s="35" customFormat="1" ht="1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7" t="s">
        <v>2356</v>
      </c>
      <c r="Q8" s="3038"/>
      <c r="R8" s="748" t="s">
        <v>25</v>
      </c>
      <c r="S8" s="749">
        <f t="shared" si="0"/>
        <v>0</v>
      </c>
      <c r="T8" s="748" t="s">
        <v>25</v>
      </c>
      <c r="U8" s="749">
        <f t="shared" si="1"/>
        <v>0</v>
      </c>
      <c r="V8" s="748" t="s">
        <v>25</v>
      </c>
      <c r="W8" s="749">
        <f t="shared" si="2"/>
        <v>0</v>
      </c>
      <c r="X8" s="750"/>
      <c r="Y8" s="3037" t="s">
        <v>2356</v>
      </c>
      <c r="Z8" s="3038"/>
      <c r="AA8" s="751" t="e">
        <f t="shared" ref="AA8:AA36" si="3">D8/F8</f>
        <v>#DIV/0!</v>
      </c>
      <c r="AB8" s="751" t="e">
        <f t="shared" ref="AB8:AB36" si="4">D8/H8</f>
        <v>#DIV/0!</v>
      </c>
      <c r="AC8" s="751" t="e">
        <f t="shared" ref="AC8:AC36" si="5">D8/J8</f>
        <v>#DIV/0!</v>
      </c>
    </row>
    <row r="9" spans="1:29" s="35" customFormat="1" ht="14.4">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41" t="s">
        <v>2359</v>
      </c>
      <c r="Q9" s="1886" t="str">
        <f t="shared" ref="Q9:Q14" si="6">B9</f>
        <v>用途</v>
      </c>
      <c r="R9" s="748" t="s">
        <v>25</v>
      </c>
      <c r="S9" s="749">
        <f t="shared" si="0"/>
        <v>100</v>
      </c>
      <c r="T9" s="748" t="s">
        <v>25</v>
      </c>
      <c r="U9" s="749">
        <f t="shared" si="1"/>
        <v>100</v>
      </c>
      <c r="V9" s="748" t="s">
        <v>25</v>
      </c>
      <c r="W9" s="749">
        <f t="shared" si="2"/>
        <v>100</v>
      </c>
      <c r="X9" s="750"/>
      <c r="Y9" s="2853" t="s">
        <v>2360</v>
      </c>
      <c r="Z9" s="23" t="str">
        <f t="shared" ref="Z9:Z14" si="7">Q9</f>
        <v>用途</v>
      </c>
      <c r="AA9" s="751">
        <f t="shared" si="3"/>
        <v>1</v>
      </c>
      <c r="AB9" s="751">
        <f t="shared" si="4"/>
        <v>1</v>
      </c>
      <c r="AC9" s="751">
        <f t="shared" si="5"/>
        <v>1</v>
      </c>
    </row>
    <row r="10" spans="1:29" s="407" customFormat="1" ht="28.8">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41"/>
      <c r="Q10" s="1886"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41"/>
      <c r="Q11" s="1886">
        <f t="shared" si="6"/>
        <v>111</v>
      </c>
      <c r="R11" s="748" t="s">
        <v>25</v>
      </c>
      <c r="S11" s="749">
        <f t="shared" si="0"/>
        <v>100</v>
      </c>
      <c r="T11" s="748" t="s">
        <v>25</v>
      </c>
      <c r="U11" s="749">
        <f t="shared" si="1"/>
        <v>100</v>
      </c>
      <c r="V11" s="748" t="s">
        <v>25</v>
      </c>
      <c r="W11" s="749">
        <f t="shared" si="2"/>
        <v>100</v>
      </c>
      <c r="X11" s="750"/>
      <c r="Y11" s="2853"/>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41"/>
      <c r="Q12" s="1886">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6"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41"/>
      <c r="Q13" s="1886">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96.6">
      <c r="A14" s="380" t="s">
        <v>2363</v>
      </c>
      <c r="B14" s="613" t="s">
        <v>2507</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30" t="s">
        <v>2364</v>
      </c>
      <c r="Q14" s="1898" t="str">
        <f t="shared" si="6"/>
        <v>交通便捷度</v>
      </c>
      <c r="R14" s="752" t="s">
        <v>25</v>
      </c>
      <c r="S14" s="753">
        <f t="shared" si="0"/>
        <v>100</v>
      </c>
      <c r="T14" s="752" t="s">
        <v>25</v>
      </c>
      <c r="U14" s="753">
        <f t="shared" si="1"/>
        <v>100</v>
      </c>
      <c r="V14" s="752" t="s">
        <v>25</v>
      </c>
      <c r="W14" s="753">
        <f t="shared" si="2"/>
        <v>100</v>
      </c>
      <c r="X14" s="1899"/>
      <c r="Y14" s="3030" t="s">
        <v>2364</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31"/>
      <c r="Q15" s="1898"/>
      <c r="R15" s="752"/>
      <c r="S15" s="753"/>
      <c r="T15" s="752"/>
      <c r="U15" s="753"/>
      <c r="V15" s="752"/>
      <c r="W15" s="753"/>
      <c r="X15" s="1899"/>
      <c r="Y15" s="3031"/>
      <c r="Z15" s="1901"/>
      <c r="AA15" s="1902">
        <v>1</v>
      </c>
      <c r="AB15" s="1902">
        <v>1</v>
      </c>
      <c r="AC15" s="1902">
        <v>1</v>
      </c>
    </row>
    <row r="16" spans="1:29" ht="41.4">
      <c r="A16" s="383"/>
      <c r="B16" s="615" t="s">
        <v>2479</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31"/>
      <c r="Q16" s="1898" t="str">
        <f>B16</f>
        <v>公共配套设施</v>
      </c>
      <c r="R16" s="752" t="s">
        <v>25</v>
      </c>
      <c r="S16" s="753">
        <f>F16</f>
        <v>100</v>
      </c>
      <c r="T16" s="752" t="s">
        <v>25</v>
      </c>
      <c r="U16" s="753">
        <f>H16</f>
        <v>100</v>
      </c>
      <c r="V16" s="752" t="s">
        <v>25</v>
      </c>
      <c r="W16" s="753">
        <f>J16</f>
        <v>100</v>
      </c>
      <c r="X16" s="1899"/>
      <c r="Y16" s="3031"/>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31"/>
      <c r="Q17" s="1898"/>
      <c r="R17" s="752"/>
      <c r="S17" s="753"/>
      <c r="T17" s="752"/>
      <c r="U17" s="753"/>
      <c r="V17" s="752"/>
      <c r="W17" s="753"/>
      <c r="X17" s="1899"/>
      <c r="Y17" s="3031"/>
      <c r="Z17" s="1901"/>
      <c r="AA17" s="1902">
        <v>1</v>
      </c>
      <c r="AB17" s="1902">
        <v>1</v>
      </c>
      <c r="AC17" s="1902">
        <v>1</v>
      </c>
    </row>
    <row r="18" spans="1:29" ht="41.4">
      <c r="A18" s="383"/>
      <c r="B18" s="617" t="s">
        <v>2480</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31"/>
      <c r="Q18" s="1898" t="str">
        <f>B18</f>
        <v>基础设施水平</v>
      </c>
      <c r="R18" s="752" t="s">
        <v>25</v>
      </c>
      <c r="S18" s="753">
        <f>F18</f>
        <v>100</v>
      </c>
      <c r="T18" s="752" t="s">
        <v>25</v>
      </c>
      <c r="U18" s="753">
        <f>H18</f>
        <v>100</v>
      </c>
      <c r="V18" s="752" t="s">
        <v>25</v>
      </c>
      <c r="W18" s="753">
        <f>J18</f>
        <v>100</v>
      </c>
      <c r="X18" s="1899"/>
      <c r="Y18" s="3031"/>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31"/>
      <c r="Q19" s="1898"/>
      <c r="R19" s="752"/>
      <c r="S19" s="753"/>
      <c r="T19" s="752"/>
      <c r="U19" s="753"/>
      <c r="V19" s="752"/>
      <c r="W19" s="753"/>
      <c r="X19" s="1899"/>
      <c r="Y19" s="3031"/>
      <c r="Z19" s="1901"/>
      <c r="AA19" s="1902">
        <v>1</v>
      </c>
      <c r="AB19" s="1902">
        <v>1</v>
      </c>
      <c r="AC19" s="1902">
        <v>1</v>
      </c>
    </row>
    <row r="20" spans="1:29" ht="55.2">
      <c r="A20" s="383"/>
      <c r="B20" s="615" t="s">
        <v>2508</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31"/>
      <c r="Q20" s="1898" t="str">
        <f>B20</f>
        <v>自然及人文环境</v>
      </c>
      <c r="R20" s="752" t="s">
        <v>25</v>
      </c>
      <c r="S20" s="753">
        <f>F20</f>
        <v>100</v>
      </c>
      <c r="T20" s="752" t="s">
        <v>25</v>
      </c>
      <c r="U20" s="753">
        <f>H20</f>
        <v>100</v>
      </c>
      <c r="V20" s="752" t="s">
        <v>25</v>
      </c>
      <c r="W20" s="753">
        <f>J20</f>
        <v>100</v>
      </c>
      <c r="X20" s="1899"/>
      <c r="Y20" s="3031"/>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31"/>
      <c r="Q21" s="1898"/>
      <c r="R21" s="752"/>
      <c r="S21" s="753"/>
      <c r="T21" s="752"/>
      <c r="U21" s="753"/>
      <c r="V21" s="752"/>
      <c r="W21" s="753"/>
      <c r="X21" s="1899"/>
      <c r="Y21" s="3031"/>
      <c r="Z21" s="1901"/>
      <c r="AA21" s="1902">
        <v>1</v>
      </c>
      <c r="AB21" s="1902">
        <v>1</v>
      </c>
      <c r="AC21" s="1902">
        <v>1</v>
      </c>
    </row>
    <row r="22" spans="1:29" ht="15">
      <c r="A22" s="383"/>
      <c r="B22" s="615" t="s">
        <v>2509</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31"/>
      <c r="Q22" s="1898" t="str">
        <f>B22</f>
        <v>楼层</v>
      </c>
      <c r="R22" s="752" t="s">
        <v>25</v>
      </c>
      <c r="S22" s="753">
        <f>F22</f>
        <v>100</v>
      </c>
      <c r="T22" s="752" t="s">
        <v>25</v>
      </c>
      <c r="U22" s="753">
        <f>H22</f>
        <v>100</v>
      </c>
      <c r="V22" s="752" t="s">
        <v>25</v>
      </c>
      <c r="W22" s="753">
        <f>J22</f>
        <v>100</v>
      </c>
      <c r="X22" s="1899"/>
      <c r="Y22" s="3031"/>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31"/>
      <c r="Q23" s="1898">
        <f>B23</f>
        <v>111</v>
      </c>
      <c r="R23" s="752" t="s">
        <v>25</v>
      </c>
      <c r="S23" s="753">
        <f>F23</f>
        <v>100</v>
      </c>
      <c r="T23" s="752" t="s">
        <v>25</v>
      </c>
      <c r="U23" s="753">
        <f>H23</f>
        <v>100</v>
      </c>
      <c r="V23" s="752" t="s">
        <v>25</v>
      </c>
      <c r="W23" s="753">
        <f>J23</f>
        <v>100</v>
      </c>
      <c r="X23" s="1899"/>
      <c r="Y23" s="3031"/>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31"/>
      <c r="Q24" s="1898">
        <f t="shared" ref="Q24:Q36" si="11">B24</f>
        <v>111</v>
      </c>
      <c r="R24" s="752" t="s">
        <v>25</v>
      </c>
      <c r="S24" s="753">
        <f>F24</f>
        <v>100</v>
      </c>
      <c r="T24" s="752" t="s">
        <v>25</v>
      </c>
      <c r="U24" s="753">
        <f>H24</f>
        <v>100</v>
      </c>
      <c r="V24" s="752" t="s">
        <v>25</v>
      </c>
      <c r="W24" s="753">
        <f>J24</f>
        <v>100</v>
      </c>
      <c r="X24" s="1899"/>
      <c r="Y24" s="3031"/>
      <c r="Z24" s="1901">
        <f>Q24</f>
        <v>111</v>
      </c>
      <c r="AA24" s="1902">
        <f t="shared" si="3"/>
        <v>1</v>
      </c>
      <c r="AB24" s="1902">
        <f t="shared" si="4"/>
        <v>1</v>
      </c>
      <c r="AC24" s="1902">
        <f t="shared" si="5"/>
        <v>1</v>
      </c>
    </row>
    <row r="25" spans="1:29" s="35" customFormat="1" ht="15.6"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31"/>
      <c r="Q25" s="1886">
        <f t="shared" si="11"/>
        <v>111</v>
      </c>
      <c r="R25" s="748" t="s">
        <v>25</v>
      </c>
      <c r="S25" s="749">
        <f>F25</f>
        <v>100</v>
      </c>
      <c r="T25" s="748" t="s">
        <v>25</v>
      </c>
      <c r="U25" s="749">
        <f>H25</f>
        <v>100</v>
      </c>
      <c r="V25" s="748" t="s">
        <v>25</v>
      </c>
      <c r="W25" s="749">
        <f>J25</f>
        <v>100</v>
      </c>
      <c r="X25" s="750"/>
      <c r="Y25" s="3031"/>
      <c r="Z25" s="23">
        <f>Q25</f>
        <v>111</v>
      </c>
      <c r="AA25" s="1902">
        <f>D25/F25</f>
        <v>1</v>
      </c>
      <c r="AB25" s="1902">
        <f>D25/H25</f>
        <v>1</v>
      </c>
      <c r="AC25" s="1902">
        <f>D25/J25</f>
        <v>1</v>
      </c>
    </row>
    <row r="26" spans="1:29" ht="30">
      <c r="A26" s="635" t="s">
        <v>2368</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59" t="s">
        <v>2370</v>
      </c>
      <c r="Q26" s="1898" t="str">
        <f t="shared" si="11"/>
        <v>配套类型</v>
      </c>
      <c r="R26" s="752" t="s">
        <v>25</v>
      </c>
      <c r="S26" s="753">
        <f t="shared" ref="S26:S36" si="12">F26</f>
        <v>100</v>
      </c>
      <c r="T26" s="752" t="s">
        <v>25</v>
      </c>
      <c r="U26" s="753">
        <f t="shared" ref="U26:U36" si="13">H26</f>
        <v>100</v>
      </c>
      <c r="V26" s="752" t="s">
        <v>25</v>
      </c>
      <c r="W26" s="753">
        <f t="shared" ref="W26:W36" si="14">J26</f>
        <v>100</v>
      </c>
      <c r="X26" s="1899"/>
      <c r="Y26" s="3035"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35"/>
      <c r="Q27" s="754" t="str">
        <f t="shared" si="11"/>
        <v>项目停车位配比</v>
      </c>
      <c r="R27" s="755" t="s">
        <v>25</v>
      </c>
      <c r="S27" s="756">
        <f t="shared" si="12"/>
        <v>100</v>
      </c>
      <c r="T27" s="755" t="s">
        <v>25</v>
      </c>
      <c r="U27" s="756">
        <f t="shared" si="13"/>
        <v>100</v>
      </c>
      <c r="V27" s="755" t="s">
        <v>25</v>
      </c>
      <c r="W27" s="756">
        <f t="shared" si="14"/>
        <v>100</v>
      </c>
      <c r="X27" s="757"/>
      <c r="Y27" s="3035"/>
      <c r="Z27" s="758"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35"/>
      <c r="Q28" s="1898" t="str">
        <f t="shared" si="11"/>
        <v>公共部分装修</v>
      </c>
      <c r="R28" s="752" t="s">
        <v>25</v>
      </c>
      <c r="S28" s="753">
        <f t="shared" si="12"/>
        <v>100</v>
      </c>
      <c r="T28" s="752" t="s">
        <v>25</v>
      </c>
      <c r="U28" s="753">
        <f t="shared" si="13"/>
        <v>100</v>
      </c>
      <c r="V28" s="752" t="s">
        <v>25</v>
      </c>
      <c r="W28" s="753">
        <f t="shared" si="14"/>
        <v>100</v>
      </c>
      <c r="X28" s="1899"/>
      <c r="Y28" s="3035"/>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35"/>
      <c r="Q29" s="1898" t="str">
        <f t="shared" si="11"/>
        <v>成新率</v>
      </c>
      <c r="R29" s="752" t="s">
        <v>25</v>
      </c>
      <c r="S29" s="753" t="e">
        <f t="shared" si="12"/>
        <v>#N/A</v>
      </c>
      <c r="T29" s="752" t="s">
        <v>25</v>
      </c>
      <c r="U29" s="753" t="e">
        <f t="shared" si="13"/>
        <v>#N/A</v>
      </c>
      <c r="V29" s="752" t="s">
        <v>25</v>
      </c>
      <c r="W29" s="753" t="e">
        <f t="shared" si="14"/>
        <v>#N/A</v>
      </c>
      <c r="X29" s="1899"/>
      <c r="Y29" s="3035"/>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35"/>
      <c r="Q30" s="1898" t="str">
        <f t="shared" si="11"/>
        <v>物业等级</v>
      </c>
      <c r="R30" s="752" t="s">
        <v>25</v>
      </c>
      <c r="S30" s="753">
        <f t="shared" si="12"/>
        <v>100</v>
      </c>
      <c r="T30" s="752" t="s">
        <v>25</v>
      </c>
      <c r="U30" s="753">
        <f t="shared" si="13"/>
        <v>100</v>
      </c>
      <c r="V30" s="752" t="s">
        <v>25</v>
      </c>
      <c r="W30" s="753">
        <f t="shared" si="14"/>
        <v>100</v>
      </c>
      <c r="X30" s="1899"/>
      <c r="Y30" s="3035"/>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35"/>
      <c r="Q31" s="1886" t="str">
        <f t="shared" si="11"/>
        <v>停车位面积</v>
      </c>
      <c r="R31" s="748" t="s">
        <v>25</v>
      </c>
      <c r="S31" s="749" t="e">
        <f t="shared" si="12"/>
        <v>#N/A</v>
      </c>
      <c r="T31" s="748" t="s">
        <v>25</v>
      </c>
      <c r="U31" s="749" t="e">
        <f t="shared" si="13"/>
        <v>#N/A</v>
      </c>
      <c r="V31" s="748" t="s">
        <v>25</v>
      </c>
      <c r="W31" s="749" t="e">
        <f t="shared" si="14"/>
        <v>#N/A</v>
      </c>
      <c r="X31" s="750"/>
      <c r="Y31" s="3035"/>
      <c r="Z31" s="23" t="str">
        <f t="shared" si="15"/>
        <v>停车位面积</v>
      </c>
      <c r="AA31" s="751" t="e">
        <f t="shared" si="3"/>
        <v>#N/A</v>
      </c>
      <c r="AB31" s="751" t="e">
        <f t="shared" si="4"/>
        <v>#N/A</v>
      </c>
      <c r="AC31" s="751"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35" t="s">
        <v>2370</v>
      </c>
      <c r="Q32" s="1898" t="str">
        <f t="shared" si="11"/>
        <v>车位类型</v>
      </c>
      <c r="R32" s="752" t="s">
        <v>25</v>
      </c>
      <c r="S32" s="753">
        <f t="shared" si="12"/>
        <v>100</v>
      </c>
      <c r="T32" s="752" t="s">
        <v>25</v>
      </c>
      <c r="U32" s="753">
        <f t="shared" si="13"/>
        <v>100</v>
      </c>
      <c r="V32" s="752" t="s">
        <v>25</v>
      </c>
      <c r="W32" s="753">
        <f t="shared" si="14"/>
        <v>100</v>
      </c>
      <c r="X32" s="1899"/>
      <c r="Y32" s="3035"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35"/>
      <c r="Q33" s="1898" t="str">
        <f t="shared" si="11"/>
        <v>是否直接入户</v>
      </c>
      <c r="R33" s="752" t="s">
        <v>25</v>
      </c>
      <c r="S33" s="753">
        <f t="shared" si="12"/>
        <v>100</v>
      </c>
      <c r="T33" s="752" t="s">
        <v>25</v>
      </c>
      <c r="U33" s="753">
        <f t="shared" si="13"/>
        <v>100</v>
      </c>
      <c r="V33" s="752" t="s">
        <v>25</v>
      </c>
      <c r="W33" s="753">
        <f t="shared" si="14"/>
        <v>100</v>
      </c>
      <c r="X33" s="1899"/>
      <c r="Y33" s="3035"/>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35"/>
      <c r="Q34" s="1898">
        <f t="shared" si="11"/>
        <v>111</v>
      </c>
      <c r="R34" s="752" t="s">
        <v>25</v>
      </c>
      <c r="S34" s="753">
        <f t="shared" si="12"/>
        <v>100</v>
      </c>
      <c r="T34" s="752" t="s">
        <v>25</v>
      </c>
      <c r="U34" s="753">
        <f t="shared" si="13"/>
        <v>100</v>
      </c>
      <c r="V34" s="752" t="s">
        <v>25</v>
      </c>
      <c r="W34" s="753">
        <f t="shared" si="14"/>
        <v>100</v>
      </c>
      <c r="X34" s="1899"/>
      <c r="Y34" s="3035"/>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35"/>
      <c r="Q35" s="754">
        <f t="shared" si="11"/>
        <v>111</v>
      </c>
      <c r="R35" s="755" t="s">
        <v>25</v>
      </c>
      <c r="S35" s="756">
        <f t="shared" si="12"/>
        <v>100</v>
      </c>
      <c r="T35" s="755" t="s">
        <v>25</v>
      </c>
      <c r="U35" s="756">
        <f t="shared" si="13"/>
        <v>100</v>
      </c>
      <c r="V35" s="755" t="s">
        <v>25</v>
      </c>
      <c r="W35" s="756">
        <f t="shared" si="14"/>
        <v>100</v>
      </c>
      <c r="X35" s="757"/>
      <c r="Y35" s="3035"/>
      <c r="Z35" s="758">
        <f t="shared" si="15"/>
        <v>111</v>
      </c>
      <c r="AA35" s="1902">
        <f t="shared" si="3"/>
        <v>1</v>
      </c>
      <c r="AB35" s="1902">
        <f t="shared" si="4"/>
        <v>1</v>
      </c>
      <c r="AC35" s="1902">
        <f t="shared" si="5"/>
        <v>1</v>
      </c>
    </row>
    <row r="36" spans="1:29" ht="15.6"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35"/>
      <c r="Q36" s="1898">
        <f t="shared" si="11"/>
        <v>111</v>
      </c>
      <c r="R36" s="752" t="s">
        <v>25</v>
      </c>
      <c r="S36" s="753">
        <f t="shared" si="12"/>
        <v>100</v>
      </c>
      <c r="T36" s="752" t="s">
        <v>25</v>
      </c>
      <c r="U36" s="753">
        <f t="shared" si="13"/>
        <v>100</v>
      </c>
      <c r="V36" s="752" t="s">
        <v>25</v>
      </c>
      <c r="W36" s="753">
        <f t="shared" si="14"/>
        <v>100</v>
      </c>
      <c r="X36" s="1899"/>
      <c r="Y36" s="3035"/>
      <c r="Z36" s="1901">
        <f t="shared" si="15"/>
        <v>111</v>
      </c>
      <c r="AA36" s="1902">
        <f t="shared" si="3"/>
        <v>1</v>
      </c>
      <c r="AB36" s="1902">
        <f t="shared" si="4"/>
        <v>1</v>
      </c>
      <c r="AC36" s="1902">
        <f t="shared" si="5"/>
        <v>1</v>
      </c>
    </row>
    <row r="37" spans="1:29" ht="14.4">
      <c r="A37" s="460" t="s">
        <v>2518</v>
      </c>
      <c r="B37" s="1092" t="s">
        <v>2519</v>
      </c>
      <c r="C37" s="1501" t="s">
        <v>1</v>
      </c>
      <c r="D37" s="1502"/>
      <c r="E37" s="1503"/>
      <c r="F37" s="1504"/>
      <c r="G37" s="1505"/>
      <c r="H37" s="1506"/>
      <c r="I37" s="1503"/>
      <c r="J37" s="1506"/>
      <c r="K37" s="603"/>
      <c r="L37" s="1524"/>
      <c r="M37" s="737"/>
      <c r="N37" s="425"/>
      <c r="O37" s="737"/>
      <c r="P37" s="3041" t="str">
        <f>A37</f>
        <v>成交单价</v>
      </c>
      <c r="Q37" s="3041"/>
      <c r="R37" s="3042">
        <f>E37</f>
        <v>0</v>
      </c>
      <c r="S37" s="3042"/>
      <c r="T37" s="3042">
        <f>G37</f>
        <v>0</v>
      </c>
      <c r="U37" s="3042"/>
      <c r="V37" s="3042">
        <f>I37</f>
        <v>0</v>
      </c>
      <c r="W37" s="3042"/>
      <c r="X37" s="737"/>
      <c r="Y37" s="759"/>
      <c r="Z37" s="737"/>
      <c r="AA37" s="737"/>
      <c r="AB37" s="737"/>
      <c r="AC37" s="737"/>
    </row>
    <row r="38" spans="1:29" ht="15" thickBot="1">
      <c r="A38" s="467" t="s">
        <v>2520</v>
      </c>
      <c r="B38" s="468" t="str">
        <f>B37</f>
        <v>元/平方米</v>
      </c>
      <c r="C38" s="1507" t="e">
        <f>R39</f>
        <v>#DIV/0!</v>
      </c>
      <c r="D38" s="1508"/>
      <c r="E38" s="1509" t="e">
        <f>R38</f>
        <v>#DIV/0!</v>
      </c>
      <c r="F38" s="1509"/>
      <c r="G38" s="1507" t="e">
        <f>T38</f>
        <v>#DIV/0!</v>
      </c>
      <c r="H38" s="1508"/>
      <c r="I38" s="1509" t="e">
        <f>V38</f>
        <v>#DIV/0!</v>
      </c>
      <c r="J38" s="1508"/>
      <c r="K38" s="604"/>
      <c r="L38" s="1524"/>
      <c r="M38" s="737"/>
      <c r="N38" s="737"/>
      <c r="O38" s="737"/>
      <c r="P38" s="3041" t="str">
        <f>A38</f>
        <v>比较价值</v>
      </c>
      <c r="Q38" s="3041"/>
      <c r="R38" s="3042" t="e">
        <f>IF(E1="售价",ROUND(PRODUCT(R37,AA7:AA36),0),ROUND(PRODUCT(R37,AA7:AA36),1))</f>
        <v>#DIV/0!</v>
      </c>
      <c r="S38" s="3042"/>
      <c r="T38" s="3042" t="e">
        <f>IF(E1="售价",ROUND(PRODUCT(T37,AB7:AB36),0),ROUND(PRODUCT(T37,AB7:AB36),1))</f>
        <v>#DIV/0!</v>
      </c>
      <c r="U38" s="3042"/>
      <c r="V38" s="3042" t="e">
        <f>IF(E1="售价",ROUND(PRODUCT(V37,AC7:AC36),0),ROUND(PRODUCT(V37,AC7:AC36),1))</f>
        <v>#DIV/0!</v>
      </c>
      <c r="W38" s="3042"/>
      <c r="X38" s="737"/>
      <c r="Y38" s="737"/>
      <c r="Z38" s="737"/>
      <c r="AA38" s="737"/>
      <c r="AB38" s="737"/>
      <c r="AC38" s="737"/>
    </row>
    <row r="39" spans="1:29" ht="15" thickBot="1">
      <c r="A39" s="473" t="s">
        <v>2521</v>
      </c>
      <c r="B39" s="474"/>
      <c r="C39" s="1511" t="e">
        <f>R39</f>
        <v>#DIV/0!</v>
      </c>
      <c r="D39" s="1511"/>
      <c r="E39" s="1511"/>
      <c r="F39" s="1511"/>
      <c r="G39" s="1511"/>
      <c r="H39" s="1511"/>
      <c r="I39" s="1511"/>
      <c r="J39" s="1511"/>
      <c r="K39" s="605"/>
      <c r="L39" s="1524"/>
      <c r="M39" s="737"/>
      <c r="N39" s="737"/>
      <c r="O39" s="737"/>
      <c r="P39" s="3047" t="str">
        <f>A39</f>
        <v>估价对象XX用房的比较价值（楼面单价，元/平方米）</v>
      </c>
      <c r="Q39" s="3048"/>
      <c r="R39" s="3049" t="e">
        <f>IF(E1="售价",ROUND(AVERAGE(R38:V38),0),ROUND(AVERAGE(R38:V38),1))</f>
        <v>#DIV/0!</v>
      </c>
      <c r="S39" s="3049"/>
      <c r="T39" s="3049"/>
      <c r="U39" s="3049"/>
      <c r="V39" s="3049"/>
      <c r="W39" s="3049"/>
      <c r="X39" s="737"/>
      <c r="Y39" s="737"/>
      <c r="Z39" s="737"/>
      <c r="AA39" s="737"/>
      <c r="AB39" s="737"/>
      <c r="AC39" s="737"/>
    </row>
    <row r="40" spans="1:29">
      <c r="A40" s="1256"/>
      <c r="B40" s="1256"/>
      <c r="C40" s="1256"/>
      <c r="D40" s="1256"/>
      <c r="E40" s="1256"/>
      <c r="F40" s="1256"/>
      <c r="G40" s="1260"/>
      <c r="H40" s="1256"/>
      <c r="I40" s="1256"/>
      <c r="J40" s="1256"/>
      <c r="K40" s="1261"/>
      <c r="L40" s="1525"/>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5"/>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6"/>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5"/>
      <c r="M46" s="737"/>
      <c r="N46" s="737"/>
      <c r="O46" s="737"/>
      <c r="P46" s="737"/>
      <c r="Q46" s="737"/>
      <c r="R46" s="737"/>
      <c r="S46" s="737"/>
      <c r="T46" s="737"/>
      <c r="U46" s="737"/>
      <c r="V46" s="737"/>
      <c r="W46" s="737"/>
      <c r="X46" s="737"/>
      <c r="Y46" s="737"/>
      <c r="Z46" s="737"/>
      <c r="AA46" s="737"/>
      <c r="AB46" s="737"/>
      <c r="AC46" s="737"/>
    </row>
    <row r="47" spans="1:29" ht="22.2" thickBot="1">
      <c r="A47" s="1528" t="s">
        <v>2525</v>
      </c>
      <c r="B47" s="1256"/>
      <c r="C47" s="1272"/>
      <c r="D47" s="1272"/>
      <c r="E47" s="1272"/>
      <c r="F47" s="1529"/>
      <c r="G47" s="1529"/>
      <c r="H47" s="1272"/>
      <c r="I47" s="1272"/>
      <c r="J47" s="1272"/>
      <c r="K47" s="1270"/>
      <c r="L47" s="745"/>
      <c r="M47" s="742"/>
      <c r="N47" s="742"/>
      <c r="O47" s="742"/>
      <c r="P47" s="742"/>
      <c r="Q47" s="1527"/>
      <c r="R47" s="737"/>
      <c r="S47" s="737"/>
      <c r="T47" s="737"/>
      <c r="U47" s="737"/>
      <c r="V47" s="737"/>
      <c r="W47" s="737"/>
      <c r="X47" s="737"/>
      <c r="Y47" s="737"/>
      <c r="Z47" s="737"/>
      <c r="AA47" s="737"/>
      <c r="AB47" s="737"/>
      <c r="AC47" s="737"/>
    </row>
    <row r="48" spans="1:29" s="489" customFormat="1" ht="14.4">
      <c r="A48" s="486" t="s">
        <v>2526</v>
      </c>
      <c r="B48" s="487"/>
      <c r="C48" s="1677" t="str">
        <f>YEAR(C7)&amp;"-"&amp;MONTH(C7)</f>
        <v>2018-8</v>
      </c>
      <c r="D48" s="1678">
        <f>EDATE(C48,-1)</f>
        <v>43282</v>
      </c>
      <c r="E48" s="1678">
        <f t="shared" ref="E48:O48" si="16">EDATE(D48,-1)</f>
        <v>43252</v>
      </c>
      <c r="F48" s="1678">
        <f t="shared" si="16"/>
        <v>43221</v>
      </c>
      <c r="G48" s="1678">
        <f t="shared" si="16"/>
        <v>43191</v>
      </c>
      <c r="H48" s="1678">
        <f t="shared" si="16"/>
        <v>43160</v>
      </c>
      <c r="I48" s="1678">
        <f t="shared" si="16"/>
        <v>43132</v>
      </c>
      <c r="J48" s="1678">
        <f t="shared" si="16"/>
        <v>43101</v>
      </c>
      <c r="K48" s="1678">
        <f t="shared" si="16"/>
        <v>43070</v>
      </c>
      <c r="L48" s="1678">
        <f t="shared" si="16"/>
        <v>43040</v>
      </c>
      <c r="M48" s="1678">
        <f t="shared" si="16"/>
        <v>43009</v>
      </c>
      <c r="N48" s="1678">
        <f t="shared" si="16"/>
        <v>42979</v>
      </c>
      <c r="O48" s="1678">
        <f t="shared" si="16"/>
        <v>42948</v>
      </c>
      <c r="P48" s="488"/>
    </row>
    <row r="49" spans="1:17" s="35" customFormat="1">
      <c r="A49" s="490"/>
      <c r="B49" s="491"/>
      <c r="C49" s="1676">
        <v>100</v>
      </c>
      <c r="D49" s="493"/>
      <c r="E49" s="493"/>
      <c r="F49" s="493"/>
      <c r="G49" s="493"/>
      <c r="H49" s="493"/>
      <c r="I49" s="493"/>
      <c r="J49" s="493"/>
      <c r="K49" s="493"/>
      <c r="L49" s="493"/>
      <c r="M49" s="494"/>
      <c r="N49" s="493"/>
      <c r="O49" s="495"/>
      <c r="P49" s="485"/>
    </row>
    <row r="50" spans="1:17" s="35" customFormat="1" ht="15" thickBot="1">
      <c r="A50" s="496" t="s">
        <v>2390</v>
      </c>
      <c r="B50" s="497"/>
      <c r="C50" s="498"/>
      <c r="D50" s="499"/>
      <c r="E50" s="499"/>
      <c r="F50" s="499"/>
      <c r="G50" s="499"/>
      <c r="H50" s="499"/>
      <c r="I50" s="499"/>
      <c r="J50" s="499"/>
      <c r="K50" s="499"/>
      <c r="L50" s="499"/>
      <c r="M50" s="500"/>
      <c r="N50" s="499"/>
      <c r="O50" s="501"/>
      <c r="P50" s="485"/>
      <c r="Q50" s="485"/>
    </row>
    <row r="51" spans="1:17" s="35" customFormat="1" ht="14.4">
      <c r="A51" s="502" t="s">
        <v>2354</v>
      </c>
      <c r="B51" s="491"/>
      <c r="C51" s="503" t="s">
        <v>2355</v>
      </c>
      <c r="D51" s="504"/>
      <c r="E51" s="504"/>
      <c r="F51" s="504"/>
      <c r="G51" s="504"/>
      <c r="H51" s="504"/>
      <c r="I51" s="504"/>
      <c r="J51" s="504"/>
      <c r="K51" s="504"/>
      <c r="L51" s="505"/>
      <c r="M51" s="506"/>
      <c r="N51" s="50"/>
      <c r="O51" s="50"/>
      <c r="P51" s="507"/>
      <c r="Q51" s="485"/>
    </row>
    <row r="52" spans="1:17" s="35" customFormat="1" ht="14.4" thickBot="1">
      <c r="A52" s="502"/>
      <c r="B52" s="491"/>
      <c r="C52" s="623">
        <v>100</v>
      </c>
      <c r="D52" s="493"/>
      <c r="E52" s="493"/>
      <c r="F52" s="493"/>
      <c r="G52" s="493"/>
      <c r="H52" s="493"/>
      <c r="I52" s="493"/>
      <c r="J52" s="493"/>
      <c r="K52" s="493"/>
      <c r="L52" s="493"/>
      <c r="M52" s="495"/>
      <c r="N52" s="50"/>
      <c r="O52" s="50"/>
      <c r="P52" s="485"/>
      <c r="Q52" s="485"/>
    </row>
    <row r="53" spans="1:17" ht="14.4">
      <c r="A53" s="508" t="s">
        <v>2393</v>
      </c>
      <c r="B53" s="509" t="s">
        <v>2358</v>
      </c>
      <c r="C53" s="510">
        <f>C9</f>
        <v>0</v>
      </c>
      <c r="D53" s="511"/>
      <c r="E53" s="511"/>
      <c r="F53" s="511"/>
      <c r="G53" s="511"/>
      <c r="H53" s="511"/>
      <c r="I53" s="511"/>
      <c r="J53" s="511"/>
      <c r="K53" s="512"/>
      <c r="L53" s="513"/>
      <c r="M53" s="514"/>
      <c r="N53" s="515"/>
      <c r="O53" s="515"/>
      <c r="P53" s="22"/>
      <c r="Q53" s="485"/>
    </row>
    <row r="54" spans="1:17" ht="14.4" thickBot="1">
      <c r="A54" s="516"/>
      <c r="B54" s="517"/>
      <c r="C54" s="518">
        <v>100</v>
      </c>
      <c r="D54" s="518"/>
      <c r="E54" s="518"/>
      <c r="F54" s="518"/>
      <c r="G54" s="518"/>
      <c r="H54" s="518"/>
      <c r="I54" s="518"/>
      <c r="J54" s="518"/>
      <c r="K54" s="518"/>
      <c r="L54" s="518"/>
      <c r="M54" s="519"/>
      <c r="N54" s="520"/>
      <c r="O54" s="520"/>
      <c r="P54" s="22"/>
      <c r="Q54" s="485"/>
    </row>
    <row r="55" spans="1:17" ht="29.4"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4.4"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4.4" thickTop="1">
      <c r="A57" s="516"/>
      <c r="B57" s="643">
        <f>B11</f>
        <v>111</v>
      </c>
      <c r="C57" s="532"/>
      <c r="D57" s="532"/>
      <c r="E57" s="532"/>
      <c r="F57" s="532"/>
      <c r="G57" s="532"/>
      <c r="H57" s="532"/>
      <c r="I57" s="532"/>
      <c r="J57" s="532"/>
      <c r="K57" s="533"/>
      <c r="L57" s="534"/>
      <c r="M57" s="535"/>
      <c r="N57" s="515"/>
      <c r="O57" s="515"/>
      <c r="P57" s="22"/>
      <c r="Q57" s="485"/>
    </row>
    <row r="58" spans="1:17" ht="14.4" thickBot="1">
      <c r="A58" s="516"/>
      <c r="B58" s="517"/>
      <c r="C58" s="544"/>
      <c r="D58" s="518"/>
      <c r="E58" s="518"/>
      <c r="F58" s="518"/>
      <c r="G58" s="518"/>
      <c r="H58" s="518"/>
      <c r="I58" s="518"/>
      <c r="J58" s="518"/>
      <c r="K58" s="518"/>
      <c r="L58" s="518"/>
      <c r="M58" s="519"/>
      <c r="N58" s="520"/>
      <c r="O58" s="520"/>
      <c r="P58" s="22"/>
      <c r="Q58" s="485"/>
    </row>
    <row r="59" spans="1:17" s="452" customFormat="1" ht="14.4" thickTop="1">
      <c r="A59" s="536"/>
      <c r="B59" s="521">
        <f>B12</f>
        <v>111</v>
      </c>
      <c r="C59" s="532"/>
      <c r="D59" s="532"/>
      <c r="E59" s="532"/>
      <c r="F59" s="532"/>
      <c r="G59" s="537"/>
      <c r="H59" s="538"/>
      <c r="I59" s="538"/>
      <c r="J59" s="538"/>
      <c r="K59" s="538"/>
      <c r="L59" s="539"/>
      <c r="M59" s="540"/>
      <c r="N59" s="541"/>
      <c r="O59" s="541"/>
      <c r="P59" s="542"/>
      <c r="Q59" s="543"/>
    </row>
    <row r="60" spans="1:17" s="452" customFormat="1" ht="14.4" thickBot="1">
      <c r="A60" s="536"/>
      <c r="B60" s="526"/>
      <c r="C60" s="544"/>
      <c r="D60" s="518"/>
      <c r="E60" s="518"/>
      <c r="F60" s="518"/>
      <c r="G60" s="518"/>
      <c r="H60" s="518"/>
      <c r="I60" s="518"/>
      <c r="J60" s="518"/>
      <c r="K60" s="518"/>
      <c r="L60" s="518"/>
      <c r="M60" s="519"/>
      <c r="N60" s="520"/>
      <c r="O60" s="520"/>
      <c r="P60" s="542"/>
      <c r="Q60" s="543"/>
    </row>
    <row r="61" spans="1:17" s="452" customFormat="1" ht="14.4" thickTop="1">
      <c r="A61" s="536"/>
      <c r="B61" s="521">
        <f>B13</f>
        <v>111</v>
      </c>
      <c r="C61" s="537"/>
      <c r="D61" s="537"/>
      <c r="E61" s="537"/>
      <c r="F61" s="537"/>
      <c r="G61" s="537"/>
      <c r="H61" s="538"/>
      <c r="I61" s="538"/>
      <c r="J61" s="538"/>
      <c r="K61" s="538"/>
      <c r="L61" s="539"/>
      <c r="M61" s="540"/>
      <c r="N61" s="541"/>
      <c r="O61" s="541"/>
      <c r="P61" s="451"/>
      <c r="Q61" s="545"/>
    </row>
    <row r="62" spans="1:17" s="452" customFormat="1" ht="14.4"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4.4"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4.4"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 thickTop="1">
      <c r="A67" s="516"/>
      <c r="B67" s="529" t="s">
        <v>2480</v>
      </c>
      <c r="C67" s="522" t="s">
        <v>2409</v>
      </c>
      <c r="D67" s="522" t="s">
        <v>2410</v>
      </c>
      <c r="E67" s="522" t="s">
        <v>2411</v>
      </c>
      <c r="F67" s="522" t="s">
        <v>2412</v>
      </c>
      <c r="G67" s="522" t="s">
        <v>2413</v>
      </c>
      <c r="H67" s="522"/>
      <c r="I67" s="522"/>
      <c r="J67" s="522"/>
      <c r="K67" s="522"/>
      <c r="L67" s="522"/>
      <c r="M67" s="1466"/>
      <c r="N67" s="520"/>
      <c r="O67" s="520"/>
      <c r="P67" s="22"/>
      <c r="Q67" s="485"/>
    </row>
    <row r="68" spans="1:17" ht="14.4"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4.4"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 thickTop="1">
      <c r="A71" s="516"/>
      <c r="B71" s="521" t="s">
        <v>2527</v>
      </c>
      <c r="C71" s="537"/>
      <c r="D71" s="537"/>
      <c r="E71" s="537"/>
      <c r="F71" s="537"/>
      <c r="G71" s="537"/>
      <c r="H71" s="567"/>
      <c r="I71" s="567"/>
      <c r="J71" s="567"/>
      <c r="K71" s="568"/>
      <c r="L71" s="569"/>
      <c r="M71" s="570"/>
      <c r="N71" s="515"/>
      <c r="O71" s="515"/>
      <c r="P71" s="22"/>
      <c r="Q71" s="485"/>
    </row>
    <row r="72" spans="1:17" ht="14.4"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4.4" thickTop="1">
      <c r="A73" s="563"/>
      <c r="B73" s="521">
        <f>B23</f>
        <v>111</v>
      </c>
      <c r="C73" s="532"/>
      <c r="D73" s="532"/>
      <c r="E73" s="532"/>
      <c r="F73" s="532"/>
      <c r="G73" s="537"/>
      <c r="H73" s="537"/>
      <c r="I73" s="537"/>
      <c r="J73" s="537"/>
      <c r="K73" s="537"/>
      <c r="L73" s="564"/>
      <c r="M73" s="565"/>
      <c r="N73" s="50"/>
      <c r="O73" s="50"/>
      <c r="P73" s="22"/>
      <c r="Q73" s="485"/>
    </row>
    <row r="74" spans="1:17" s="35" customFormat="1" ht="14.4" thickBot="1">
      <c r="A74" s="563"/>
      <c r="B74" s="526"/>
      <c r="C74" s="544"/>
      <c r="D74" s="518"/>
      <c r="E74" s="518"/>
      <c r="F74" s="518"/>
      <c r="G74" s="518"/>
      <c r="H74" s="518"/>
      <c r="I74" s="518"/>
      <c r="J74" s="518"/>
      <c r="K74" s="518"/>
      <c r="L74" s="518"/>
      <c r="M74" s="519"/>
      <c r="N74" s="520"/>
      <c r="O74" s="520"/>
      <c r="P74" s="22"/>
      <c r="Q74" s="485"/>
    </row>
    <row r="75" spans="1:17" s="35" customFormat="1" ht="14.4" thickTop="1">
      <c r="A75" s="563"/>
      <c r="B75" s="521">
        <f>B24</f>
        <v>111</v>
      </c>
      <c r="C75" s="532"/>
      <c r="D75" s="532"/>
      <c r="E75" s="532"/>
      <c r="F75" s="532"/>
      <c r="G75" s="537"/>
      <c r="H75" s="537"/>
      <c r="I75" s="537"/>
      <c r="J75" s="537"/>
      <c r="K75" s="537"/>
      <c r="L75" s="537"/>
      <c r="M75" s="565"/>
      <c r="N75" s="50"/>
      <c r="O75" s="50"/>
      <c r="P75" s="22"/>
      <c r="Q75" s="485"/>
    </row>
    <row r="76" spans="1:17" s="35" customFormat="1" ht="14.4" thickBot="1">
      <c r="A76" s="563"/>
      <c r="B76" s="526"/>
      <c r="C76" s="544"/>
      <c r="D76" s="518"/>
      <c r="E76" s="518"/>
      <c r="F76" s="518"/>
      <c r="G76" s="518"/>
      <c r="H76" s="518"/>
      <c r="I76" s="518"/>
      <c r="J76" s="518"/>
      <c r="K76" s="518"/>
      <c r="L76" s="518"/>
      <c r="M76" s="519"/>
      <c r="N76" s="520"/>
      <c r="O76" s="520"/>
      <c r="P76" s="22"/>
      <c r="Q76" s="485"/>
    </row>
    <row r="77" spans="1:17" s="452" customFormat="1" ht="14.4" thickTop="1">
      <c r="A77" s="536"/>
      <c r="B77" s="521">
        <f>B25</f>
        <v>111</v>
      </c>
      <c r="C77" s="537"/>
      <c r="D77" s="537"/>
      <c r="E77" s="537"/>
      <c r="F77" s="537"/>
      <c r="G77" s="537"/>
      <c r="H77" s="538"/>
      <c r="I77" s="538"/>
      <c r="J77" s="538"/>
      <c r="K77" s="538"/>
      <c r="L77" s="539"/>
      <c r="M77" s="540"/>
      <c r="N77" s="541"/>
      <c r="O77" s="541"/>
      <c r="P77" s="542"/>
      <c r="Q77" s="543"/>
    </row>
    <row r="78" spans="1:17" s="452" customFormat="1" ht="14.4" thickBot="1">
      <c r="A78" s="536"/>
      <c r="B78" s="526"/>
      <c r="C78" s="544"/>
      <c r="D78" s="544"/>
      <c r="E78" s="544"/>
      <c r="F78" s="544"/>
      <c r="G78" s="518"/>
      <c r="H78" s="518"/>
      <c r="I78" s="518"/>
      <c r="J78" s="518"/>
      <c r="K78" s="518"/>
      <c r="L78" s="518"/>
      <c r="M78" s="519"/>
      <c r="N78" s="541"/>
      <c r="O78" s="541"/>
      <c r="P78" s="542"/>
      <c r="Q78" s="543"/>
    </row>
    <row r="79" spans="1:17" ht="29.4" thickTop="1">
      <c r="A79" s="508" t="s">
        <v>2368</v>
      </c>
      <c r="B79" s="509" t="s">
        <v>2528</v>
      </c>
      <c r="C79" s="510">
        <f>C26</f>
        <v>0</v>
      </c>
      <c r="D79" s="511"/>
      <c r="E79" s="511"/>
      <c r="F79" s="511"/>
      <c r="G79" s="511"/>
      <c r="H79" s="511"/>
      <c r="I79" s="511"/>
      <c r="J79" s="511"/>
      <c r="K79" s="512"/>
      <c r="L79" s="513"/>
      <c r="M79" s="514"/>
      <c r="N79" s="515"/>
      <c r="O79" s="515"/>
      <c r="P79" s="22"/>
      <c r="Q79" s="485"/>
    </row>
    <row r="80" spans="1:17" ht="14.4"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 thickTop="1">
      <c r="A81" s="516"/>
      <c r="B81" s="521" t="s">
        <v>2529</v>
      </c>
      <c r="C81" s="644"/>
      <c r="D81" s="644"/>
      <c r="E81" s="644"/>
      <c r="F81" s="644"/>
      <c r="G81" s="644"/>
      <c r="H81" s="644"/>
      <c r="I81" s="644"/>
      <c r="J81" s="644"/>
      <c r="K81" s="645"/>
      <c r="L81" s="646"/>
      <c r="M81" s="647"/>
      <c r="N81" s="50"/>
      <c r="O81" s="50"/>
      <c r="P81" s="22"/>
      <c r="Q81" s="485"/>
    </row>
    <row r="82" spans="1:17" s="452" customFormat="1" ht="14.4"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4.4"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4.4"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4.4"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4.4"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4.4"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4.4"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4.4" thickTop="1">
      <c r="A97" s="583"/>
      <c r="B97" s="620">
        <f>B34</f>
        <v>111</v>
      </c>
      <c r="C97" s="532"/>
      <c r="D97" s="532"/>
      <c r="E97" s="532"/>
      <c r="F97" s="532"/>
      <c r="G97" s="537"/>
      <c r="H97" s="538"/>
      <c r="I97" s="538"/>
      <c r="J97" s="538"/>
      <c r="K97" s="538"/>
      <c r="L97" s="539"/>
      <c r="M97" s="540"/>
      <c r="N97" s="520"/>
      <c r="O97" s="520"/>
      <c r="P97" s="621"/>
      <c r="Q97" s="622"/>
    </row>
    <row r="98" spans="1:17" ht="14.4" thickBot="1">
      <c r="A98" s="516"/>
      <c r="B98" s="526"/>
      <c r="C98" s="544"/>
      <c r="D98" s="518"/>
      <c r="E98" s="518"/>
      <c r="F98" s="518"/>
      <c r="G98" s="544"/>
      <c r="H98" s="546"/>
      <c r="I98" s="546"/>
      <c r="J98" s="546"/>
      <c r="K98" s="546"/>
      <c r="L98" s="546"/>
      <c r="M98" s="547"/>
      <c r="N98" s="520"/>
      <c r="O98" s="520"/>
      <c r="P98" s="22"/>
      <c r="Q98" s="485"/>
    </row>
    <row r="99" spans="1:17" s="452" customFormat="1" ht="14.4" thickTop="1">
      <c r="A99" s="577"/>
      <c r="B99" s="521">
        <f>B35</f>
        <v>111</v>
      </c>
      <c r="C99" s="532"/>
      <c r="D99" s="532"/>
      <c r="E99" s="532"/>
      <c r="F99" s="532"/>
      <c r="G99" s="537"/>
      <c r="H99" s="538"/>
      <c r="I99" s="538"/>
      <c r="J99" s="538"/>
      <c r="K99" s="538"/>
      <c r="L99" s="539"/>
      <c r="M99" s="540"/>
      <c r="N99" s="541"/>
      <c r="O99" s="541"/>
      <c r="P99" s="542"/>
      <c r="Q99" s="543"/>
    </row>
    <row r="100" spans="1:17" s="452" customFormat="1" ht="14.4" thickBot="1">
      <c r="A100" s="536"/>
      <c r="B100" s="517"/>
      <c r="C100" s="544"/>
      <c r="D100" s="518"/>
      <c r="E100" s="518"/>
      <c r="F100" s="518"/>
      <c r="G100" s="544"/>
      <c r="H100" s="546"/>
      <c r="I100" s="546"/>
      <c r="J100" s="546"/>
      <c r="K100" s="546"/>
      <c r="L100" s="546"/>
      <c r="M100" s="547"/>
      <c r="N100" s="541"/>
      <c r="O100" s="541"/>
      <c r="P100" s="542"/>
      <c r="Q100" s="543"/>
    </row>
    <row r="101" spans="1:17" ht="14.4" thickTop="1">
      <c r="A101" s="583"/>
      <c r="B101" s="521">
        <f>B36</f>
        <v>111</v>
      </c>
      <c r="C101" s="537"/>
      <c r="D101" s="537"/>
      <c r="E101" s="537"/>
      <c r="F101" s="537"/>
      <c r="G101" s="537"/>
      <c r="H101" s="538"/>
      <c r="I101" s="538"/>
      <c r="J101" s="538"/>
      <c r="K101" s="538"/>
      <c r="L101" s="539"/>
      <c r="M101" s="540"/>
      <c r="N101" s="515"/>
      <c r="O101" s="515"/>
      <c r="P101" s="22"/>
      <c r="Q101" s="485"/>
    </row>
    <row r="102" spans="1:17" ht="14.4" thickBot="1">
      <c r="A102" s="516"/>
      <c r="B102" s="526"/>
      <c r="C102" s="544"/>
      <c r="D102" s="544"/>
      <c r="E102" s="544"/>
      <c r="F102" s="544"/>
      <c r="G102" s="544"/>
      <c r="H102" s="546"/>
      <c r="I102" s="546"/>
      <c r="J102" s="546"/>
      <c r="K102" s="546"/>
      <c r="L102" s="546"/>
      <c r="M102" s="547"/>
      <c r="N102" s="520"/>
      <c r="O102" s="520"/>
      <c r="P102" s="22"/>
      <c r="Q102" s="485"/>
    </row>
    <row r="103" spans="1:17" ht="14.4"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2505</v>
      </c>
      <c r="B1" s="2480"/>
      <c r="C1" s="1728"/>
      <c r="D1" s="1738"/>
      <c r="E1" s="2382"/>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IF(D2="——",IF(C2="元",ROUND(C37*D3,0),ROUND(C37*D3/10000,0)),IF(C2="元",ROUND(C37*D3,0),ROUND(C37*D3/10000,0))-E2)</f>
        <v>#DIV/0!</v>
      </c>
      <c r="C2" s="163" t="str">
        <f>'数据-取费表'!B3</f>
        <v>万元</v>
      </c>
      <c r="D2" s="2384"/>
      <c r="E2" s="1737" t="e">
        <f ca="1">SUMIF(INDIRECT("'"&amp;G2&amp;"'"&amp;"!A:A"),"承租人权益价值",INDIRECT("'"&amp;G2&amp;"'"&amp;"!c:c"))</f>
        <v>#REF!</v>
      </c>
      <c r="F2" s="2385" t="str">
        <f>C2</f>
        <v>万元</v>
      </c>
      <c r="G2" s="2386"/>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2009</v>
      </c>
      <c r="B3" s="593" t="e">
        <f ca="1">ROUND(IF(D2="——",C37,IF(C2="万元",B2*10000/D3,B2/D3)),0)</f>
        <v>#DIV/0!</v>
      </c>
      <c r="C3" s="379" t="s">
        <v>2338</v>
      </c>
      <c r="D3" s="378">
        <f>IF(C1="仅计算典型户型",'数据-取费表'!E5,'数据-取费表'!B5)</f>
        <v>424.6</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4.4">
      <c r="A4" s="380" t="s">
        <v>2339</v>
      </c>
      <c r="B4" s="381"/>
      <c r="C4" s="3005" t="s">
        <v>2340</v>
      </c>
      <c r="D4" s="3006"/>
      <c r="E4" s="3007" t="s">
        <v>2341</v>
      </c>
      <c r="F4" s="3008"/>
      <c r="G4" s="3005" t="s">
        <v>2342</v>
      </c>
      <c r="H4" s="3006"/>
      <c r="I4" s="3005" t="s">
        <v>2343</v>
      </c>
      <c r="J4" s="3006"/>
      <c r="K4" s="594" t="s">
        <v>2344</v>
      </c>
      <c r="L4" s="1242"/>
      <c r="M4" s="1243"/>
      <c r="N4" s="1243"/>
      <c r="O4" s="1243"/>
      <c r="P4" s="3009" t="s">
        <v>2345</v>
      </c>
      <c r="Q4" s="3010"/>
      <c r="R4" s="3015" t="s">
        <v>2341</v>
      </c>
      <c r="S4" s="3016"/>
      <c r="T4" s="3015" t="s">
        <v>2342</v>
      </c>
      <c r="U4" s="3016"/>
      <c r="V4" s="3021" t="s">
        <v>2343</v>
      </c>
      <c r="W4" s="3021"/>
      <c r="X4" s="1899"/>
      <c r="Y4" s="3015" t="s">
        <v>2345</v>
      </c>
      <c r="Z4" s="3016"/>
      <c r="AA4" s="3002" t="s">
        <v>2341</v>
      </c>
      <c r="AB4" s="3003" t="s">
        <v>2342</v>
      </c>
      <c r="AC4" s="3002" t="s">
        <v>2343</v>
      </c>
    </row>
    <row r="5" spans="1:29">
      <c r="A5" s="383"/>
      <c r="B5" s="384"/>
      <c r="C5" s="3024" t="s">
        <v>2346</v>
      </c>
      <c r="D5" s="3025"/>
      <c r="E5" s="3022" t="s">
        <v>2347</v>
      </c>
      <c r="F5" s="3023"/>
      <c r="G5" s="3024" t="s">
        <v>2348</v>
      </c>
      <c r="H5" s="3025"/>
      <c r="I5" s="3024" t="s">
        <v>2349</v>
      </c>
      <c r="J5" s="3025"/>
      <c r="K5" s="594"/>
      <c r="L5" s="1242"/>
      <c r="M5" s="1243"/>
      <c r="N5" s="1243"/>
      <c r="O5" s="1243"/>
      <c r="P5" s="3011"/>
      <c r="Q5" s="3012"/>
      <c r="R5" s="3017"/>
      <c r="S5" s="3018"/>
      <c r="T5" s="3017"/>
      <c r="U5" s="3018"/>
      <c r="V5" s="3021"/>
      <c r="W5" s="3021"/>
      <c r="X5" s="1899"/>
      <c r="Y5" s="3017"/>
      <c r="Z5" s="3018"/>
      <c r="AA5" s="3003"/>
      <c r="AB5" s="3003"/>
      <c r="AC5" s="3003"/>
    </row>
    <row r="6" spans="1:29" ht="15" thickBot="1">
      <c r="A6" s="385"/>
      <c r="B6" s="386"/>
      <c r="C6" s="3026" t="s">
        <v>2350</v>
      </c>
      <c r="D6" s="3027"/>
      <c r="E6" s="3028" t="s">
        <v>2350</v>
      </c>
      <c r="F6" s="3029"/>
      <c r="G6" s="3026" t="s">
        <v>2350</v>
      </c>
      <c r="H6" s="3027"/>
      <c r="I6" s="3026" t="s">
        <v>2350</v>
      </c>
      <c r="J6" s="3027"/>
      <c r="K6" s="594" t="s">
        <v>2351</v>
      </c>
      <c r="L6" s="1242"/>
      <c r="M6" s="1243"/>
      <c r="N6" s="1243"/>
      <c r="O6" s="1243"/>
      <c r="P6" s="3013"/>
      <c r="Q6" s="3014"/>
      <c r="R6" s="3017"/>
      <c r="S6" s="3018"/>
      <c r="T6" s="3019"/>
      <c r="U6" s="3020"/>
      <c r="V6" s="3021"/>
      <c r="W6" s="3021"/>
      <c r="X6" s="1899"/>
      <c r="Y6" s="3019"/>
      <c r="Z6" s="3020"/>
      <c r="AA6" s="3004"/>
      <c r="AB6" s="3004"/>
      <c r="AC6" s="3004"/>
    </row>
    <row r="7" spans="1:29" s="35" customFormat="1" ht="15" thickBot="1">
      <c r="A7" s="387" t="s">
        <v>2352</v>
      </c>
      <c r="B7" s="388"/>
      <c r="C7" s="389">
        <f>'数据-取费表'!B2</f>
        <v>43328</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37" t="s">
        <v>2353</v>
      </c>
      <c r="Q7" s="3039"/>
      <c r="R7" s="748" t="s">
        <v>25</v>
      </c>
      <c r="S7" s="749">
        <f t="shared" ref="S7:S14" si="0">F7</f>
        <v>0</v>
      </c>
      <c r="T7" s="748" t="s">
        <v>25</v>
      </c>
      <c r="U7" s="749">
        <f t="shared" ref="U7:U14" si="1">H7</f>
        <v>0</v>
      </c>
      <c r="V7" s="748" t="s">
        <v>25</v>
      </c>
      <c r="W7" s="749">
        <f t="shared" ref="W7:W14" si="2">J7</f>
        <v>0</v>
      </c>
      <c r="X7" s="750"/>
      <c r="Y7" s="3037" t="s">
        <v>2353</v>
      </c>
      <c r="Z7" s="3038"/>
      <c r="AA7" s="751" t="e">
        <f>D7/F7</f>
        <v>#DIV/0!</v>
      </c>
      <c r="AB7" s="751" t="e">
        <f>D7/H7</f>
        <v>#DIV/0!</v>
      </c>
      <c r="AC7" s="751" t="e">
        <f>D7/J7</f>
        <v>#DIV/0!</v>
      </c>
    </row>
    <row r="8" spans="1:29" s="35" customFormat="1" ht="1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7" t="s">
        <v>2356</v>
      </c>
      <c r="Q8" s="3038"/>
      <c r="R8" s="748" t="s">
        <v>25</v>
      </c>
      <c r="S8" s="749">
        <f t="shared" si="0"/>
        <v>0</v>
      </c>
      <c r="T8" s="748" t="s">
        <v>25</v>
      </c>
      <c r="U8" s="749">
        <f t="shared" si="1"/>
        <v>0</v>
      </c>
      <c r="V8" s="748" t="s">
        <v>25</v>
      </c>
      <c r="W8" s="749">
        <f t="shared" si="2"/>
        <v>0</v>
      </c>
      <c r="X8" s="750"/>
      <c r="Y8" s="3037" t="s">
        <v>2356</v>
      </c>
      <c r="Z8" s="3038"/>
      <c r="AA8" s="751" t="e">
        <f t="shared" ref="AA8:AA34" si="3">D8/F8</f>
        <v>#DIV/0!</v>
      </c>
      <c r="AB8" s="751" t="e">
        <f t="shared" ref="AB8:AB34" si="4">D8/H8</f>
        <v>#DIV/0!</v>
      </c>
      <c r="AC8" s="751" t="e">
        <f t="shared" ref="AC8:AC34" si="5">D8/J8</f>
        <v>#DIV/0!</v>
      </c>
    </row>
    <row r="9" spans="1:29" s="35" customFormat="1" ht="14.4">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41" t="s">
        <v>2359</v>
      </c>
      <c r="Q9" s="1886" t="str">
        <f t="shared" ref="Q9:Q14" si="6">B9</f>
        <v>用途</v>
      </c>
      <c r="R9" s="748" t="s">
        <v>25</v>
      </c>
      <c r="S9" s="749">
        <f t="shared" si="0"/>
        <v>100</v>
      </c>
      <c r="T9" s="748" t="s">
        <v>25</v>
      </c>
      <c r="U9" s="749">
        <f t="shared" si="1"/>
        <v>100</v>
      </c>
      <c r="V9" s="748" t="s">
        <v>25</v>
      </c>
      <c r="W9" s="749">
        <f t="shared" si="2"/>
        <v>100</v>
      </c>
      <c r="X9" s="750"/>
      <c r="Y9" s="2853" t="s">
        <v>2360</v>
      </c>
      <c r="Z9" s="23" t="str">
        <f t="shared" ref="Z9:Z14" si="7">Q9</f>
        <v>用途</v>
      </c>
      <c r="AA9" s="751">
        <f t="shared" si="3"/>
        <v>1</v>
      </c>
      <c r="AB9" s="751">
        <f t="shared" si="4"/>
        <v>1</v>
      </c>
      <c r="AC9" s="751">
        <f t="shared" si="5"/>
        <v>1</v>
      </c>
    </row>
    <row r="10" spans="1:29" s="407" customFormat="1" ht="28.8">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41"/>
      <c r="Q10" s="1886"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41"/>
      <c r="Q11" s="1886">
        <f t="shared" si="6"/>
        <v>111</v>
      </c>
      <c r="R11" s="748" t="s">
        <v>25</v>
      </c>
      <c r="S11" s="749">
        <f t="shared" si="0"/>
        <v>100</v>
      </c>
      <c r="T11" s="748" t="s">
        <v>25</v>
      </c>
      <c r="U11" s="749">
        <f t="shared" si="1"/>
        <v>100</v>
      </c>
      <c r="V11" s="748" t="s">
        <v>25</v>
      </c>
      <c r="W11" s="749">
        <f t="shared" si="2"/>
        <v>100</v>
      </c>
      <c r="X11" s="750"/>
      <c r="Y11" s="2853"/>
      <c r="Z11" s="23">
        <f t="shared" si="7"/>
        <v>111</v>
      </c>
      <c r="AA11" s="751">
        <f t="shared" si="3"/>
        <v>1</v>
      </c>
      <c r="AB11" s="751">
        <f t="shared" si="4"/>
        <v>1</v>
      </c>
      <c r="AC11" s="751">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41"/>
      <c r="Q12" s="1886">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6"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41"/>
      <c r="Q13" s="1886">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96.6">
      <c r="A14" s="419" t="s">
        <v>2363</v>
      </c>
      <c r="B14" s="26" t="s">
        <v>2507</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30" t="s">
        <v>2364</v>
      </c>
      <c r="Q14" s="1898" t="str">
        <f t="shared" si="6"/>
        <v>交通便捷度</v>
      </c>
      <c r="R14" s="752" t="s">
        <v>25</v>
      </c>
      <c r="S14" s="753">
        <f t="shared" si="0"/>
        <v>100</v>
      </c>
      <c r="T14" s="752" t="s">
        <v>25</v>
      </c>
      <c r="U14" s="753">
        <f t="shared" si="1"/>
        <v>100</v>
      </c>
      <c r="V14" s="752" t="s">
        <v>25</v>
      </c>
      <c r="W14" s="753">
        <f t="shared" si="2"/>
        <v>100</v>
      </c>
      <c r="X14" s="1899"/>
      <c r="Y14" s="3030"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31"/>
      <c r="Q15" s="1898"/>
      <c r="R15" s="752"/>
      <c r="S15" s="753"/>
      <c r="T15" s="752"/>
      <c r="U15" s="753"/>
      <c r="V15" s="752"/>
      <c r="W15" s="753"/>
      <c r="X15" s="1899"/>
      <c r="Y15" s="3031"/>
      <c r="Z15" s="1901"/>
      <c r="AA15" s="1902">
        <v>1</v>
      </c>
      <c r="AB15" s="1902">
        <v>1</v>
      </c>
      <c r="AC15" s="1902">
        <v>1</v>
      </c>
    </row>
    <row r="16" spans="1:29" ht="41.4">
      <c r="A16" s="408"/>
      <c r="B16" s="615" t="s">
        <v>2479</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31"/>
      <c r="Q16" s="1898" t="str">
        <f>B16</f>
        <v>公共配套设施</v>
      </c>
      <c r="R16" s="752" t="s">
        <v>25</v>
      </c>
      <c r="S16" s="753">
        <f>F16</f>
        <v>100</v>
      </c>
      <c r="T16" s="752" t="s">
        <v>25</v>
      </c>
      <c r="U16" s="753">
        <f>H16</f>
        <v>100</v>
      </c>
      <c r="V16" s="752" t="s">
        <v>25</v>
      </c>
      <c r="W16" s="753">
        <f>J16</f>
        <v>100</v>
      </c>
      <c r="X16" s="1899"/>
      <c r="Y16" s="3031"/>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31"/>
      <c r="Q17" s="1898"/>
      <c r="R17" s="752"/>
      <c r="S17" s="753"/>
      <c r="T17" s="752"/>
      <c r="U17" s="753"/>
      <c r="V17" s="752"/>
      <c r="W17" s="753"/>
      <c r="X17" s="1899"/>
      <c r="Y17" s="3031"/>
      <c r="Z17" s="1901"/>
      <c r="AA17" s="1902">
        <v>1</v>
      </c>
      <c r="AB17" s="1902">
        <v>1</v>
      </c>
      <c r="AC17" s="1902">
        <v>1</v>
      </c>
    </row>
    <row r="18" spans="1:29" ht="41.4">
      <c r="A18" s="408"/>
      <c r="B18" s="617" t="s">
        <v>2480</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31"/>
      <c r="Q18" s="1898" t="str">
        <f>B18</f>
        <v>基础设施水平</v>
      </c>
      <c r="R18" s="752" t="s">
        <v>25</v>
      </c>
      <c r="S18" s="753">
        <f>F18</f>
        <v>100</v>
      </c>
      <c r="T18" s="752" t="s">
        <v>25</v>
      </c>
      <c r="U18" s="753">
        <f>H18</f>
        <v>100</v>
      </c>
      <c r="V18" s="752" t="s">
        <v>25</v>
      </c>
      <c r="W18" s="753">
        <f>J18</f>
        <v>100</v>
      </c>
      <c r="X18" s="1899"/>
      <c r="Y18" s="3031"/>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31"/>
      <c r="Q19" s="1898"/>
      <c r="R19" s="752"/>
      <c r="S19" s="753"/>
      <c r="T19" s="752"/>
      <c r="U19" s="753"/>
      <c r="V19" s="752"/>
      <c r="W19" s="753"/>
      <c r="X19" s="1899"/>
      <c r="Y19" s="3031"/>
      <c r="Z19" s="1901"/>
      <c r="AA19" s="1902">
        <v>1</v>
      </c>
      <c r="AB19" s="1902">
        <v>1</v>
      </c>
      <c r="AC19" s="1902">
        <v>1</v>
      </c>
    </row>
    <row r="20" spans="1:29" ht="55.2">
      <c r="A20" s="408"/>
      <c r="B20" s="431" t="s">
        <v>2508</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31"/>
      <c r="Q20" s="1898" t="str">
        <f>B20</f>
        <v>自然及人文环境</v>
      </c>
      <c r="R20" s="752" t="s">
        <v>25</v>
      </c>
      <c r="S20" s="753">
        <f>F20</f>
        <v>100</v>
      </c>
      <c r="T20" s="752" t="s">
        <v>25</v>
      </c>
      <c r="U20" s="753">
        <f>H20</f>
        <v>100</v>
      </c>
      <c r="V20" s="752" t="s">
        <v>25</v>
      </c>
      <c r="W20" s="753">
        <f>J20</f>
        <v>100</v>
      </c>
      <c r="X20" s="1899"/>
      <c r="Y20" s="3031"/>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31"/>
      <c r="Q21" s="1898"/>
      <c r="R21" s="752"/>
      <c r="S21" s="753"/>
      <c r="T21" s="752"/>
      <c r="U21" s="753"/>
      <c r="V21" s="752"/>
      <c r="W21" s="753"/>
      <c r="X21" s="1899"/>
      <c r="Y21" s="3031"/>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31"/>
      <c r="Q22" s="1898" t="str">
        <f>B22</f>
        <v>楼层</v>
      </c>
      <c r="R22" s="752" t="s">
        <v>25</v>
      </c>
      <c r="S22" s="753">
        <f>F22</f>
        <v>100</v>
      </c>
      <c r="T22" s="752" t="s">
        <v>25</v>
      </c>
      <c r="U22" s="753">
        <f>H22</f>
        <v>100</v>
      </c>
      <c r="V22" s="752" t="s">
        <v>25</v>
      </c>
      <c r="W22" s="753">
        <f>J22</f>
        <v>100</v>
      </c>
      <c r="X22" s="1899"/>
      <c r="Y22" s="3031"/>
      <c r="Z22" s="1901" t="str">
        <f>Q22</f>
        <v>楼层</v>
      </c>
      <c r="AA22" s="1902">
        <f t="shared" si="3"/>
        <v>1</v>
      </c>
      <c r="AB22" s="1902">
        <f t="shared" si="4"/>
        <v>1</v>
      </c>
      <c r="AC22" s="1902">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31"/>
      <c r="Q23" s="1898">
        <f>B23</f>
        <v>111</v>
      </c>
      <c r="R23" s="752" t="s">
        <v>25</v>
      </c>
      <c r="S23" s="753">
        <f>F23</f>
        <v>100</v>
      </c>
      <c r="T23" s="752" t="s">
        <v>25</v>
      </c>
      <c r="U23" s="753">
        <f>H23</f>
        <v>100</v>
      </c>
      <c r="V23" s="752" t="s">
        <v>25</v>
      </c>
      <c r="W23" s="753">
        <f>J23</f>
        <v>100</v>
      </c>
      <c r="X23" s="1899"/>
      <c r="Y23" s="3031"/>
      <c r="Z23" s="1901">
        <f>Q23</f>
        <v>111</v>
      </c>
      <c r="AA23" s="1902">
        <f t="shared" si="3"/>
        <v>1</v>
      </c>
      <c r="AB23" s="1902">
        <f t="shared" si="4"/>
        <v>1</v>
      </c>
      <c r="AC23" s="1902">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31"/>
      <c r="Q24" s="1898">
        <f t="shared" ref="Q24:Q34" si="11">B24</f>
        <v>111</v>
      </c>
      <c r="R24" s="752" t="s">
        <v>25</v>
      </c>
      <c r="S24" s="753">
        <f>F24</f>
        <v>100</v>
      </c>
      <c r="T24" s="752" t="s">
        <v>25</v>
      </c>
      <c r="U24" s="753">
        <f>H24</f>
        <v>100</v>
      </c>
      <c r="V24" s="752" t="s">
        <v>25</v>
      </c>
      <c r="W24" s="753">
        <f>J24</f>
        <v>100</v>
      </c>
      <c r="X24" s="1899"/>
      <c r="Y24" s="3031"/>
      <c r="Z24" s="1901">
        <f>Q24</f>
        <v>111</v>
      </c>
      <c r="AA24" s="1902">
        <f t="shared" si="3"/>
        <v>1</v>
      </c>
      <c r="AB24" s="1902">
        <f t="shared" si="4"/>
        <v>1</v>
      </c>
      <c r="AC24" s="1902">
        <f t="shared" si="5"/>
        <v>1</v>
      </c>
    </row>
    <row r="25" spans="1:29" s="35" customFormat="1" ht="15.6"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31"/>
      <c r="Q25" s="1886">
        <f t="shared" si="11"/>
        <v>111</v>
      </c>
      <c r="R25" s="748" t="s">
        <v>25</v>
      </c>
      <c r="S25" s="749">
        <f>F25</f>
        <v>100</v>
      </c>
      <c r="T25" s="748" t="s">
        <v>25</v>
      </c>
      <c r="U25" s="749">
        <f>H25</f>
        <v>100</v>
      </c>
      <c r="V25" s="748" t="s">
        <v>25</v>
      </c>
      <c r="W25" s="749">
        <f>J25</f>
        <v>100</v>
      </c>
      <c r="X25" s="750"/>
      <c r="Y25" s="3031"/>
      <c r="Z25" s="23">
        <f>Q25</f>
        <v>111</v>
      </c>
      <c r="AA25" s="1902">
        <f>D25/F25</f>
        <v>1</v>
      </c>
      <c r="AB25" s="1902">
        <f>D25/H25</f>
        <v>1</v>
      </c>
      <c r="AC25" s="1902">
        <f>D25/J25</f>
        <v>1</v>
      </c>
    </row>
    <row r="26" spans="1:29" ht="30">
      <c r="A26" s="447" t="s">
        <v>2368</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059" t="s">
        <v>2370</v>
      </c>
      <c r="Q26" s="1898" t="str">
        <f t="shared" si="11"/>
        <v>公共部分装修</v>
      </c>
      <c r="R26" s="752" t="s">
        <v>25</v>
      </c>
      <c r="S26" s="753">
        <f t="shared" ref="S26:S34" si="12">F26</f>
        <v>100</v>
      </c>
      <c r="T26" s="752" t="s">
        <v>25</v>
      </c>
      <c r="U26" s="753">
        <f t="shared" ref="U26:U34" si="13">H26</f>
        <v>100</v>
      </c>
      <c r="V26" s="752" t="s">
        <v>25</v>
      </c>
      <c r="W26" s="753">
        <f t="shared" ref="W26:W34" si="14">J26</f>
        <v>100</v>
      </c>
      <c r="X26" s="1899"/>
      <c r="Y26" s="3035"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35"/>
      <c r="Q27" s="754" t="str">
        <f t="shared" si="11"/>
        <v>成新率</v>
      </c>
      <c r="R27" s="755" t="s">
        <v>25</v>
      </c>
      <c r="S27" s="756" t="e">
        <f t="shared" si="12"/>
        <v>#N/A</v>
      </c>
      <c r="T27" s="755" t="s">
        <v>25</v>
      </c>
      <c r="U27" s="756" t="e">
        <f t="shared" si="13"/>
        <v>#N/A</v>
      </c>
      <c r="V27" s="755" t="s">
        <v>25</v>
      </c>
      <c r="W27" s="756" t="e">
        <f t="shared" si="14"/>
        <v>#N/A</v>
      </c>
      <c r="X27" s="757"/>
      <c r="Y27" s="3035"/>
      <c r="Z27" s="758"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35"/>
      <c r="Q28" s="1898" t="str">
        <f t="shared" si="11"/>
        <v>物业等级</v>
      </c>
      <c r="R28" s="752" t="s">
        <v>25</v>
      </c>
      <c r="S28" s="753">
        <f t="shared" si="12"/>
        <v>100</v>
      </c>
      <c r="T28" s="752" t="s">
        <v>25</v>
      </c>
      <c r="U28" s="753">
        <f t="shared" si="13"/>
        <v>100</v>
      </c>
      <c r="V28" s="752" t="s">
        <v>25</v>
      </c>
      <c r="W28" s="753">
        <f t="shared" si="14"/>
        <v>100</v>
      </c>
      <c r="X28" s="1899"/>
      <c r="Y28" s="3035"/>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35"/>
      <c r="Q29" s="1898" t="str">
        <f t="shared" si="11"/>
        <v>有无电梯</v>
      </c>
      <c r="R29" s="752" t="s">
        <v>25</v>
      </c>
      <c r="S29" s="753">
        <f t="shared" si="12"/>
        <v>100</v>
      </c>
      <c r="T29" s="752" t="s">
        <v>25</v>
      </c>
      <c r="U29" s="753">
        <f t="shared" si="13"/>
        <v>100</v>
      </c>
      <c r="V29" s="752" t="s">
        <v>25</v>
      </c>
      <c r="W29" s="753">
        <f t="shared" si="14"/>
        <v>100</v>
      </c>
      <c r="X29" s="1899"/>
      <c r="Y29" s="3035"/>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35"/>
      <c r="Q30" s="1898" t="str">
        <f t="shared" si="11"/>
        <v>建筑面积</v>
      </c>
      <c r="R30" s="752" t="s">
        <v>25</v>
      </c>
      <c r="S30" s="753" t="e">
        <f t="shared" si="12"/>
        <v>#N/A</v>
      </c>
      <c r="T30" s="752" t="s">
        <v>25</v>
      </c>
      <c r="U30" s="753" t="e">
        <f t="shared" si="13"/>
        <v>#N/A</v>
      </c>
      <c r="V30" s="752" t="s">
        <v>25</v>
      </c>
      <c r="W30" s="753" t="e">
        <f t="shared" si="14"/>
        <v>#N/A</v>
      </c>
      <c r="X30" s="1899"/>
      <c r="Y30" s="3035"/>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35"/>
      <c r="Q31" s="1886" t="str">
        <f t="shared" si="11"/>
        <v>是否封闭</v>
      </c>
      <c r="R31" s="748" t="s">
        <v>25</v>
      </c>
      <c r="S31" s="749">
        <f t="shared" si="12"/>
        <v>100</v>
      </c>
      <c r="T31" s="748" t="s">
        <v>25</v>
      </c>
      <c r="U31" s="749">
        <f t="shared" si="13"/>
        <v>100</v>
      </c>
      <c r="V31" s="748" t="s">
        <v>25</v>
      </c>
      <c r="W31" s="749">
        <f t="shared" si="14"/>
        <v>100</v>
      </c>
      <c r="X31" s="750"/>
      <c r="Y31" s="3035"/>
      <c r="Z31" s="23" t="str">
        <f t="shared" si="15"/>
        <v>是否封闭</v>
      </c>
      <c r="AA31" s="751">
        <f t="shared" si="3"/>
        <v>1</v>
      </c>
      <c r="AB31" s="751">
        <f t="shared" si="4"/>
        <v>1</v>
      </c>
      <c r="AC31" s="751">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35" t="s">
        <v>2370</v>
      </c>
      <c r="Q32" s="1898">
        <f t="shared" si="11"/>
        <v>111</v>
      </c>
      <c r="R32" s="752" t="s">
        <v>25</v>
      </c>
      <c r="S32" s="753">
        <f t="shared" si="12"/>
        <v>100</v>
      </c>
      <c r="T32" s="752" t="s">
        <v>25</v>
      </c>
      <c r="U32" s="753">
        <f t="shared" si="13"/>
        <v>100</v>
      </c>
      <c r="V32" s="752" t="s">
        <v>25</v>
      </c>
      <c r="W32" s="753">
        <f t="shared" si="14"/>
        <v>100</v>
      </c>
      <c r="X32" s="1899"/>
      <c r="Y32" s="3035" t="s">
        <v>2370</v>
      </c>
      <c r="Z32" s="1901">
        <f t="shared" si="15"/>
        <v>111</v>
      </c>
      <c r="AA32" s="1902">
        <f t="shared" si="3"/>
        <v>1</v>
      </c>
      <c r="AB32" s="1902">
        <f t="shared" si="4"/>
        <v>1</v>
      </c>
      <c r="AC32" s="1902">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35"/>
      <c r="Q33" s="1898">
        <f t="shared" si="11"/>
        <v>111</v>
      </c>
      <c r="R33" s="752" t="s">
        <v>25</v>
      </c>
      <c r="S33" s="753">
        <f t="shared" si="12"/>
        <v>100</v>
      </c>
      <c r="T33" s="752" t="s">
        <v>25</v>
      </c>
      <c r="U33" s="753">
        <f t="shared" si="13"/>
        <v>100</v>
      </c>
      <c r="V33" s="752" t="s">
        <v>25</v>
      </c>
      <c r="W33" s="753">
        <f t="shared" si="14"/>
        <v>100</v>
      </c>
      <c r="X33" s="1899"/>
      <c r="Y33" s="3035"/>
      <c r="Z33" s="1901">
        <f t="shared" si="15"/>
        <v>111</v>
      </c>
      <c r="AA33" s="1902">
        <f t="shared" si="3"/>
        <v>1</v>
      </c>
      <c r="AB33" s="1902">
        <f t="shared" si="4"/>
        <v>1</v>
      </c>
      <c r="AC33" s="1902">
        <f t="shared" si="5"/>
        <v>1</v>
      </c>
    </row>
    <row r="34" spans="1:29" ht="15.6"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35"/>
      <c r="Q34" s="1898">
        <f t="shared" si="11"/>
        <v>111</v>
      </c>
      <c r="R34" s="752" t="s">
        <v>25</v>
      </c>
      <c r="S34" s="753">
        <f t="shared" si="12"/>
        <v>100</v>
      </c>
      <c r="T34" s="752" t="s">
        <v>25</v>
      </c>
      <c r="U34" s="753">
        <f t="shared" si="13"/>
        <v>100</v>
      </c>
      <c r="V34" s="752" t="s">
        <v>25</v>
      </c>
      <c r="W34" s="753">
        <f t="shared" si="14"/>
        <v>100</v>
      </c>
      <c r="X34" s="1899"/>
      <c r="Y34" s="3035"/>
      <c r="Z34" s="1901">
        <f t="shared" si="15"/>
        <v>111</v>
      </c>
      <c r="AA34" s="1902">
        <f t="shared" si="3"/>
        <v>1</v>
      </c>
      <c r="AB34" s="1902">
        <f t="shared" si="4"/>
        <v>1</v>
      </c>
      <c r="AC34" s="1902">
        <f t="shared" si="5"/>
        <v>1</v>
      </c>
    </row>
    <row r="35" spans="1:29" ht="14.4">
      <c r="A35" s="460" t="s">
        <v>2382</v>
      </c>
      <c r="B35" s="461"/>
      <c r="C35" s="1501" t="s">
        <v>1</v>
      </c>
      <c r="D35" s="1502"/>
      <c r="E35" s="1503"/>
      <c r="F35" s="1504"/>
      <c r="G35" s="1505"/>
      <c r="H35" s="1506"/>
      <c r="I35" s="1503"/>
      <c r="J35" s="1506"/>
      <c r="K35" s="761"/>
      <c r="L35" s="1255"/>
      <c r="M35" s="1256"/>
      <c r="N35" s="1243"/>
      <c r="O35" s="1256"/>
      <c r="P35" s="3041" t="str">
        <f>A35</f>
        <v>成交单价（元/平方米）</v>
      </c>
      <c r="Q35" s="3041"/>
      <c r="R35" s="3042">
        <f>E35</f>
        <v>0</v>
      </c>
      <c r="S35" s="3042"/>
      <c r="T35" s="3042">
        <f>G35</f>
        <v>0</v>
      </c>
      <c r="U35" s="3042"/>
      <c r="V35" s="3042">
        <f>I35</f>
        <v>0</v>
      </c>
      <c r="W35" s="3042"/>
      <c r="X35" s="737"/>
      <c r="Y35" s="759"/>
      <c r="Z35" s="737"/>
      <c r="AA35" s="737"/>
      <c r="AB35" s="737"/>
      <c r="AC35" s="737"/>
    </row>
    <row r="36" spans="1:29" ht="15" thickBot="1">
      <c r="A36" s="467" t="s">
        <v>2465</v>
      </c>
      <c r="B36" s="468"/>
      <c r="C36" s="1507" t="e">
        <f>R37</f>
        <v>#DIV/0!</v>
      </c>
      <c r="D36" s="1508"/>
      <c r="E36" s="1509" t="e">
        <f>R36</f>
        <v>#DIV/0!</v>
      </c>
      <c r="F36" s="1509"/>
      <c r="G36" s="1507" t="e">
        <f>T36</f>
        <v>#DIV/0!</v>
      </c>
      <c r="H36" s="1508"/>
      <c r="I36" s="1509" t="e">
        <f>V36</f>
        <v>#DIV/0!</v>
      </c>
      <c r="J36" s="1508"/>
      <c r="K36" s="762"/>
      <c r="L36" s="1255"/>
      <c r="M36" s="1256"/>
      <c r="N36" s="1243"/>
      <c r="O36" s="1256"/>
      <c r="P36" s="3041" t="str">
        <f>A36</f>
        <v>比较价值（元/平方米）</v>
      </c>
      <c r="Q36" s="3041"/>
      <c r="R36" s="3042" t="e">
        <f>IF(E1="售价",ROUND(PRODUCT(R35,AA7:AA34),0),ROUND(PRODUCT(R35,AA7:AA34),1))</f>
        <v>#DIV/0!</v>
      </c>
      <c r="S36" s="3042"/>
      <c r="T36" s="3042" t="e">
        <f>IF(E1="售价",ROUND(PRODUCT(T35,AB7:AB34),0),ROUND(PRODUCT(T35,AB7:AB34),1))</f>
        <v>#DIV/0!</v>
      </c>
      <c r="U36" s="3042"/>
      <c r="V36" s="3042" t="e">
        <f>IF(E1="售价",ROUND(PRODUCT(V35,AC7:AC34),0),ROUND(PRODUCT(V35,AC7:AC34),1))</f>
        <v>#DIV/0!</v>
      </c>
      <c r="W36" s="3042"/>
      <c r="X36" s="737"/>
      <c r="Y36" s="737"/>
      <c r="Z36" s="737"/>
      <c r="AA36" s="737"/>
      <c r="AB36" s="737"/>
      <c r="AC36" s="737"/>
    </row>
    <row r="37" spans="1:29" ht="15" thickBot="1">
      <c r="A37" s="473" t="s">
        <v>2488</v>
      </c>
      <c r="B37" s="474"/>
      <c r="C37" s="1511" t="e">
        <f>R37</f>
        <v>#DIV/0!</v>
      </c>
      <c r="D37" s="1511"/>
      <c r="E37" s="1511"/>
      <c r="F37" s="1511"/>
      <c r="G37" s="1511"/>
      <c r="H37" s="1511"/>
      <c r="I37" s="1511"/>
      <c r="J37" s="1511"/>
      <c r="K37" s="763"/>
      <c r="L37" s="1255"/>
      <c r="M37" s="1256"/>
      <c r="N37" s="1256"/>
      <c r="O37" s="1256"/>
      <c r="P37" s="3047" t="str">
        <f>A37</f>
        <v>估价对象XX用房的比较价值（楼面单价，元/平方米）</v>
      </c>
      <c r="Q37" s="3048"/>
      <c r="R37" s="3049" t="e">
        <f>IF(E1="售价",ROUND(AVERAGE(R36:V36),0),ROUND(AVERAGE(R36:V36),1))</f>
        <v>#DIV/0!</v>
      </c>
      <c r="S37" s="3049"/>
      <c r="T37" s="3049"/>
      <c r="U37" s="3049"/>
      <c r="V37" s="3049"/>
      <c r="W37" s="3049"/>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2.2" thickBot="1">
      <c r="A45" s="741" t="s">
        <v>2470</v>
      </c>
      <c r="B45" s="737"/>
      <c r="C45" s="742"/>
      <c r="D45" s="742"/>
      <c r="E45" s="742"/>
      <c r="F45" s="743"/>
      <c r="G45" s="743"/>
      <c r="H45" s="742"/>
      <c r="I45" s="742"/>
      <c r="J45" s="742"/>
      <c r="K45" s="744"/>
      <c r="L45" s="745"/>
      <c r="M45" s="742"/>
      <c r="N45" s="742"/>
      <c r="O45" s="742"/>
      <c r="P45" s="484"/>
      <c r="Q45" s="485"/>
    </row>
    <row r="46" spans="1:29" s="489" customFormat="1" ht="14.4">
      <c r="A46" s="486" t="s">
        <v>2352</v>
      </c>
      <c r="B46" s="487"/>
      <c r="C46" s="1677" t="str">
        <f>YEAR(C7)&amp;"-"&amp;MONTH(C7)</f>
        <v>2018-8</v>
      </c>
      <c r="D46" s="1678">
        <f>EDATE(C46,-1)</f>
        <v>43282</v>
      </c>
      <c r="E46" s="1678">
        <f t="shared" ref="E46:O46" si="16">EDATE(D46,-1)</f>
        <v>43252</v>
      </c>
      <c r="F46" s="1678">
        <f t="shared" si="16"/>
        <v>43221</v>
      </c>
      <c r="G46" s="1678">
        <f t="shared" si="16"/>
        <v>43191</v>
      </c>
      <c r="H46" s="1678">
        <f t="shared" si="16"/>
        <v>43160</v>
      </c>
      <c r="I46" s="1678">
        <f t="shared" si="16"/>
        <v>43132</v>
      </c>
      <c r="J46" s="1678">
        <f t="shared" si="16"/>
        <v>43101</v>
      </c>
      <c r="K46" s="1678">
        <f t="shared" si="16"/>
        <v>43070</v>
      </c>
      <c r="L46" s="1678">
        <f t="shared" si="16"/>
        <v>43040</v>
      </c>
      <c r="M46" s="1678">
        <f t="shared" si="16"/>
        <v>43009</v>
      </c>
      <c r="N46" s="1678">
        <f t="shared" si="16"/>
        <v>42979</v>
      </c>
      <c r="O46" s="1678">
        <f t="shared" si="16"/>
        <v>42948</v>
      </c>
      <c r="P46" s="488"/>
    </row>
    <row r="47" spans="1:29" s="35" customFormat="1">
      <c r="A47" s="490"/>
      <c r="B47" s="491"/>
      <c r="C47" s="1676">
        <v>100</v>
      </c>
      <c r="D47" s="493"/>
      <c r="E47" s="493"/>
      <c r="F47" s="493"/>
      <c r="G47" s="493"/>
      <c r="H47" s="493"/>
      <c r="I47" s="493"/>
      <c r="J47" s="493"/>
      <c r="K47" s="493"/>
      <c r="L47" s="493"/>
      <c r="M47" s="494"/>
      <c r="N47" s="493"/>
      <c r="O47" s="495"/>
      <c r="P47" s="485"/>
    </row>
    <row r="48" spans="1:29" s="35" customFormat="1" ht="15" thickBot="1">
      <c r="A48" s="496" t="s">
        <v>2390</v>
      </c>
      <c r="B48" s="497"/>
      <c r="C48" s="498"/>
      <c r="D48" s="499"/>
      <c r="E48" s="499"/>
      <c r="F48" s="499"/>
      <c r="G48" s="499"/>
      <c r="H48" s="499"/>
      <c r="I48" s="499"/>
      <c r="J48" s="499"/>
      <c r="K48" s="499"/>
      <c r="L48" s="499"/>
      <c r="M48" s="500"/>
      <c r="N48" s="499"/>
      <c r="O48" s="501"/>
      <c r="P48" s="485"/>
      <c r="Q48" s="485"/>
    </row>
    <row r="49" spans="1:17" s="35" customFormat="1" ht="14.4">
      <c r="A49" s="502" t="s">
        <v>2354</v>
      </c>
      <c r="B49" s="491"/>
      <c r="C49" s="503" t="s">
        <v>2355</v>
      </c>
      <c r="D49" s="504"/>
      <c r="E49" s="504"/>
      <c r="F49" s="504"/>
      <c r="G49" s="504"/>
      <c r="H49" s="504"/>
      <c r="I49" s="504"/>
      <c r="J49" s="504"/>
      <c r="K49" s="504"/>
      <c r="L49" s="505"/>
      <c r="M49" s="506"/>
      <c r="N49" s="1265"/>
      <c r="O49" s="1265"/>
      <c r="P49" s="507"/>
      <c r="Q49" s="485"/>
    </row>
    <row r="50" spans="1:17" s="35" customFormat="1" ht="14.4" thickBot="1">
      <c r="A50" s="502"/>
      <c r="B50" s="491"/>
      <c r="C50" s="623">
        <v>100</v>
      </c>
      <c r="D50" s="493"/>
      <c r="E50" s="493"/>
      <c r="F50" s="493"/>
      <c r="G50" s="493"/>
      <c r="H50" s="493"/>
      <c r="I50" s="493"/>
      <c r="J50" s="493"/>
      <c r="K50" s="493"/>
      <c r="L50" s="493"/>
      <c r="M50" s="495"/>
      <c r="N50" s="1265"/>
      <c r="O50" s="1265"/>
      <c r="P50" s="485"/>
      <c r="Q50" s="485"/>
    </row>
    <row r="51" spans="1:17" ht="14.4">
      <c r="A51" s="508" t="s">
        <v>2393</v>
      </c>
      <c r="B51" s="509" t="s">
        <v>2358</v>
      </c>
      <c r="C51" s="510">
        <f>C9</f>
        <v>0</v>
      </c>
      <c r="D51" s="511"/>
      <c r="E51" s="511"/>
      <c r="F51" s="511"/>
      <c r="G51" s="511"/>
      <c r="H51" s="511"/>
      <c r="I51" s="511"/>
      <c r="J51" s="511"/>
      <c r="K51" s="512"/>
      <c r="L51" s="513"/>
      <c r="M51" s="514"/>
      <c r="N51" s="1266"/>
      <c r="O51" s="1266"/>
      <c r="P51" s="22"/>
      <c r="Q51" s="485"/>
    </row>
    <row r="52" spans="1:17" ht="14.4" thickBot="1">
      <c r="A52" s="516"/>
      <c r="B52" s="517"/>
      <c r="C52" s="518">
        <v>100</v>
      </c>
      <c r="D52" s="518"/>
      <c r="E52" s="518"/>
      <c r="F52" s="518"/>
      <c r="G52" s="518"/>
      <c r="H52" s="518"/>
      <c r="I52" s="518"/>
      <c r="J52" s="518"/>
      <c r="K52" s="518"/>
      <c r="L52" s="518"/>
      <c r="M52" s="519"/>
      <c r="N52" s="1267"/>
      <c r="O52" s="1267"/>
      <c r="P52" s="22"/>
      <c r="Q52" s="485"/>
    </row>
    <row r="53" spans="1:17" ht="29.4" thickTop="1">
      <c r="A53" s="516"/>
      <c r="B53" s="521" t="s">
        <v>2361</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4.4"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4.4" thickTop="1">
      <c r="A55" s="516"/>
      <c r="B55" s="643">
        <f>B11</f>
        <v>111</v>
      </c>
      <c r="C55" s="532"/>
      <c r="D55" s="532"/>
      <c r="E55" s="532"/>
      <c r="F55" s="532"/>
      <c r="G55" s="532"/>
      <c r="H55" s="532"/>
      <c r="I55" s="532"/>
      <c r="J55" s="532"/>
      <c r="K55" s="533"/>
      <c r="L55" s="534"/>
      <c r="M55" s="535"/>
      <c r="N55" s="1266"/>
      <c r="O55" s="1266"/>
      <c r="P55" s="22"/>
      <c r="Q55" s="485"/>
    </row>
    <row r="56" spans="1:17" ht="14.4" thickBot="1">
      <c r="A56" s="516"/>
      <c r="B56" s="517"/>
      <c r="C56" s="544"/>
      <c r="D56" s="518"/>
      <c r="E56" s="518"/>
      <c r="F56" s="518"/>
      <c r="G56" s="518"/>
      <c r="H56" s="518"/>
      <c r="I56" s="518"/>
      <c r="J56" s="518"/>
      <c r="K56" s="518"/>
      <c r="L56" s="518"/>
      <c r="M56" s="519"/>
      <c r="N56" s="1267"/>
      <c r="O56" s="1267"/>
      <c r="P56" s="22"/>
      <c r="Q56" s="485"/>
    </row>
    <row r="57" spans="1:17" s="452" customFormat="1" ht="14.4" thickTop="1">
      <c r="A57" s="536"/>
      <c r="B57" s="521">
        <f>B12</f>
        <v>111</v>
      </c>
      <c r="C57" s="532"/>
      <c r="D57" s="532"/>
      <c r="E57" s="532"/>
      <c r="F57" s="532"/>
      <c r="G57" s="537"/>
      <c r="H57" s="538"/>
      <c r="I57" s="538"/>
      <c r="J57" s="538"/>
      <c r="K57" s="538"/>
      <c r="L57" s="539"/>
      <c r="M57" s="540"/>
      <c r="N57" s="1268"/>
      <c r="O57" s="1268"/>
      <c r="P57" s="542"/>
      <c r="Q57" s="543"/>
    </row>
    <row r="58" spans="1:17" s="452" customFormat="1" ht="14.4" thickBot="1">
      <c r="A58" s="536"/>
      <c r="B58" s="526"/>
      <c r="C58" s="544"/>
      <c r="D58" s="518"/>
      <c r="E58" s="518"/>
      <c r="F58" s="518"/>
      <c r="G58" s="518"/>
      <c r="H58" s="518"/>
      <c r="I58" s="518"/>
      <c r="J58" s="518"/>
      <c r="K58" s="518"/>
      <c r="L58" s="518"/>
      <c r="M58" s="519"/>
      <c r="N58" s="1267"/>
      <c r="O58" s="1267"/>
      <c r="P58" s="542"/>
      <c r="Q58" s="543"/>
    </row>
    <row r="59" spans="1:17" s="452" customFormat="1" ht="14.4" thickTop="1">
      <c r="A59" s="536"/>
      <c r="B59" s="521">
        <f>B13</f>
        <v>111</v>
      </c>
      <c r="C59" s="532"/>
      <c r="D59" s="532"/>
      <c r="E59" s="532"/>
      <c r="F59" s="532"/>
      <c r="G59" s="537"/>
      <c r="H59" s="538"/>
      <c r="I59" s="538"/>
      <c r="J59" s="538"/>
      <c r="K59" s="538"/>
      <c r="L59" s="539"/>
      <c r="M59" s="540"/>
      <c r="N59" s="1268"/>
      <c r="O59" s="1268"/>
      <c r="P59" s="451"/>
      <c r="Q59" s="545"/>
    </row>
    <row r="60" spans="1:17" s="452" customFormat="1" ht="14.4" thickBot="1">
      <c r="A60" s="536"/>
      <c r="B60" s="526"/>
      <c r="C60" s="544"/>
      <c r="D60" s="544"/>
      <c r="E60" s="544"/>
      <c r="F60" s="544"/>
      <c r="G60" s="544"/>
      <c r="H60" s="546"/>
      <c r="I60" s="546"/>
      <c r="J60" s="546"/>
      <c r="K60" s="546"/>
      <c r="L60" s="546"/>
      <c r="M60" s="547"/>
      <c r="N60" s="1268"/>
      <c r="O60" s="1268"/>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4.4"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4.4"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 thickTop="1">
      <c r="A65" s="516"/>
      <c r="B65" s="529" t="s">
        <v>2480</v>
      </c>
      <c r="C65" s="522" t="s">
        <v>2409</v>
      </c>
      <c r="D65" s="522" t="s">
        <v>2410</v>
      </c>
      <c r="E65" s="522" t="s">
        <v>2411</v>
      </c>
      <c r="F65" s="522" t="s">
        <v>2412</v>
      </c>
      <c r="G65" s="522" t="s">
        <v>2413</v>
      </c>
      <c r="H65" s="522"/>
      <c r="I65" s="522"/>
      <c r="J65" s="522"/>
      <c r="K65" s="522"/>
      <c r="L65" s="522"/>
      <c r="M65" s="1466"/>
      <c r="N65" s="1267"/>
      <c r="O65" s="1267"/>
      <c r="P65" s="22"/>
      <c r="Q65" s="485"/>
    </row>
    <row r="66" spans="1:17" ht="14.4"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4.4"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 thickTop="1">
      <c r="A69" s="516"/>
      <c r="B69" s="521" t="s">
        <v>2527</v>
      </c>
      <c r="C69" s="537"/>
      <c r="D69" s="537"/>
      <c r="E69" s="537"/>
      <c r="F69" s="537"/>
      <c r="G69" s="537"/>
      <c r="H69" s="567"/>
      <c r="I69" s="567"/>
      <c r="J69" s="567"/>
      <c r="K69" s="568"/>
      <c r="L69" s="569"/>
      <c r="M69" s="570"/>
      <c r="N69" s="1266"/>
      <c r="O69" s="1266"/>
      <c r="P69" s="22"/>
      <c r="Q69" s="485"/>
    </row>
    <row r="70" spans="1:17" ht="14.4"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4.4" thickTop="1">
      <c r="A71" s="563"/>
      <c r="B71" s="521">
        <f>B23</f>
        <v>111</v>
      </c>
      <c r="C71" s="532"/>
      <c r="D71" s="532"/>
      <c r="E71" s="532"/>
      <c r="F71" s="532"/>
      <c r="G71" s="537"/>
      <c r="H71" s="537"/>
      <c r="I71" s="537"/>
      <c r="J71" s="537"/>
      <c r="K71" s="537"/>
      <c r="L71" s="564"/>
      <c r="M71" s="565"/>
      <c r="N71" s="1265"/>
      <c r="O71" s="1265"/>
      <c r="P71" s="22"/>
      <c r="Q71" s="485"/>
    </row>
    <row r="72" spans="1:17" s="35" customFormat="1" ht="14.4" thickBot="1">
      <c r="A72" s="563"/>
      <c r="B72" s="526"/>
      <c r="C72" s="544"/>
      <c r="D72" s="518"/>
      <c r="E72" s="518"/>
      <c r="F72" s="518"/>
      <c r="G72" s="518"/>
      <c r="H72" s="518"/>
      <c r="I72" s="518"/>
      <c r="J72" s="518"/>
      <c r="K72" s="518"/>
      <c r="L72" s="518"/>
      <c r="M72" s="519"/>
      <c r="N72" s="1267"/>
      <c r="O72" s="1267"/>
      <c r="P72" s="22"/>
      <c r="Q72" s="485"/>
    </row>
    <row r="73" spans="1:17" s="35" customFormat="1" ht="14.4" thickTop="1">
      <c r="A73" s="563"/>
      <c r="B73" s="521">
        <f>B24</f>
        <v>111</v>
      </c>
      <c r="C73" s="532"/>
      <c r="D73" s="532"/>
      <c r="E73" s="532"/>
      <c r="F73" s="532"/>
      <c r="G73" s="537"/>
      <c r="H73" s="537"/>
      <c r="I73" s="537"/>
      <c r="J73" s="537"/>
      <c r="K73" s="537"/>
      <c r="L73" s="537"/>
      <c r="M73" s="565"/>
      <c r="N73" s="1265"/>
      <c r="O73" s="1265"/>
      <c r="P73" s="22"/>
      <c r="Q73" s="485"/>
    </row>
    <row r="74" spans="1:17" s="35" customFormat="1" ht="14.4" thickBot="1">
      <c r="A74" s="563"/>
      <c r="B74" s="526"/>
      <c r="C74" s="544"/>
      <c r="D74" s="518"/>
      <c r="E74" s="518"/>
      <c r="F74" s="518"/>
      <c r="G74" s="518"/>
      <c r="H74" s="518"/>
      <c r="I74" s="518"/>
      <c r="J74" s="518"/>
      <c r="K74" s="518"/>
      <c r="L74" s="518"/>
      <c r="M74" s="519"/>
      <c r="N74" s="1267"/>
      <c r="O74" s="1267"/>
      <c r="P74" s="22"/>
      <c r="Q74" s="485"/>
    </row>
    <row r="75" spans="1:17" s="452" customFormat="1" ht="14.4" thickTop="1">
      <c r="A75" s="536"/>
      <c r="B75" s="521">
        <f>B25</f>
        <v>111</v>
      </c>
      <c r="C75" s="532"/>
      <c r="D75" s="532"/>
      <c r="E75" s="532"/>
      <c r="F75" s="532"/>
      <c r="G75" s="537"/>
      <c r="H75" s="538"/>
      <c r="I75" s="538"/>
      <c r="J75" s="538"/>
      <c r="K75" s="538"/>
      <c r="L75" s="539"/>
      <c r="M75" s="540"/>
      <c r="N75" s="1268"/>
      <c r="O75" s="1268"/>
      <c r="P75" s="542"/>
      <c r="Q75" s="543"/>
    </row>
    <row r="76" spans="1:17" s="452" customFormat="1" ht="14.4" thickBot="1">
      <c r="A76" s="536"/>
      <c r="B76" s="526"/>
      <c r="C76" s="544"/>
      <c r="D76" s="544"/>
      <c r="E76" s="544"/>
      <c r="F76" s="544"/>
      <c r="G76" s="518"/>
      <c r="H76" s="518"/>
      <c r="I76" s="518"/>
      <c r="J76" s="518"/>
      <c r="K76" s="518"/>
      <c r="L76" s="518"/>
      <c r="M76" s="519"/>
      <c r="N76" s="1268"/>
      <c r="O76" s="1268"/>
      <c r="P76" s="542"/>
      <c r="Q76" s="543"/>
    </row>
    <row r="77" spans="1:17" ht="15" thickTop="1">
      <c r="A77" s="508" t="s">
        <v>2368</v>
      </c>
      <c r="B77" s="509" t="s">
        <v>2421</v>
      </c>
      <c r="C77" s="537"/>
      <c r="D77" s="537"/>
      <c r="E77" s="511"/>
      <c r="F77" s="511"/>
      <c r="G77" s="511"/>
      <c r="H77" s="511"/>
      <c r="I77" s="511"/>
      <c r="J77" s="511"/>
      <c r="K77" s="512"/>
      <c r="L77" s="513"/>
      <c r="M77" s="514"/>
      <c r="N77" s="1266"/>
      <c r="O77" s="1266"/>
      <c r="P77" s="22"/>
      <c r="Q77" s="485"/>
    </row>
    <row r="78" spans="1:17" ht="14.4"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4.4"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4.4"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4.4"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4.4"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4.4" thickBot="1">
      <c r="A90" s="536"/>
      <c r="B90" s="526"/>
      <c r="C90" s="544"/>
      <c r="D90" s="518"/>
      <c r="E90" s="518"/>
      <c r="F90" s="518"/>
      <c r="G90" s="518"/>
      <c r="H90" s="518"/>
      <c r="I90" s="518"/>
      <c r="J90" s="518"/>
      <c r="K90" s="518"/>
      <c r="L90" s="518"/>
      <c r="M90" s="519"/>
      <c r="N90" s="1268"/>
      <c r="O90" s="1268"/>
      <c r="P90" s="542"/>
      <c r="Q90" s="543"/>
    </row>
    <row r="91" spans="1:17" ht="14.4" thickTop="1">
      <c r="A91" s="583"/>
      <c r="B91" s="521">
        <f>B32</f>
        <v>111</v>
      </c>
      <c r="C91" s="532"/>
      <c r="D91" s="532"/>
      <c r="E91" s="532"/>
      <c r="F91" s="532"/>
      <c r="G91" s="537"/>
      <c r="H91" s="538"/>
      <c r="I91" s="538"/>
      <c r="J91" s="538"/>
      <c r="K91" s="538"/>
      <c r="L91" s="539"/>
      <c r="M91" s="540"/>
      <c r="N91" s="1266"/>
      <c r="O91" s="1266"/>
      <c r="P91" s="22"/>
      <c r="Q91" s="485"/>
    </row>
    <row r="92" spans="1:17" ht="14.4" thickBot="1">
      <c r="A92" s="516"/>
      <c r="B92" s="526"/>
      <c r="C92" s="544"/>
      <c r="D92" s="518"/>
      <c r="E92" s="518"/>
      <c r="F92" s="518"/>
      <c r="G92" s="544"/>
      <c r="H92" s="546"/>
      <c r="I92" s="546"/>
      <c r="J92" s="546"/>
      <c r="K92" s="546"/>
      <c r="L92" s="546"/>
      <c r="M92" s="547"/>
      <c r="N92" s="1267"/>
      <c r="O92" s="1267"/>
      <c r="P92" s="22"/>
      <c r="Q92" s="485"/>
    </row>
    <row r="93" spans="1:17" ht="14.4" thickTop="1">
      <c r="A93" s="583"/>
      <c r="B93" s="521">
        <f>B33</f>
        <v>111</v>
      </c>
      <c r="C93" s="532"/>
      <c r="D93" s="532"/>
      <c r="E93" s="532"/>
      <c r="F93" s="532"/>
      <c r="G93" s="537"/>
      <c r="H93" s="538"/>
      <c r="I93" s="538"/>
      <c r="J93" s="538"/>
      <c r="K93" s="538"/>
      <c r="L93" s="539"/>
      <c r="M93" s="540"/>
      <c r="N93" s="1266"/>
      <c r="O93" s="1266"/>
      <c r="P93" s="22"/>
      <c r="Q93" s="485"/>
    </row>
    <row r="94" spans="1:17" ht="14.4" thickBot="1">
      <c r="A94" s="516"/>
      <c r="B94" s="526"/>
      <c r="C94" s="544"/>
      <c r="D94" s="518"/>
      <c r="E94" s="518"/>
      <c r="F94" s="518"/>
      <c r="G94" s="544"/>
      <c r="H94" s="546"/>
      <c r="I94" s="546"/>
      <c r="J94" s="546"/>
      <c r="K94" s="546"/>
      <c r="L94" s="546"/>
      <c r="M94" s="547"/>
      <c r="N94" s="1267"/>
      <c r="O94" s="1267"/>
      <c r="P94" s="22"/>
      <c r="Q94" s="485"/>
    </row>
    <row r="95" spans="1:17" ht="14.4" thickTop="1">
      <c r="A95" s="583"/>
      <c r="B95" s="620">
        <f>B34</f>
        <v>111</v>
      </c>
      <c r="C95" s="532"/>
      <c r="D95" s="532"/>
      <c r="E95" s="532"/>
      <c r="F95" s="532"/>
      <c r="G95" s="537"/>
      <c r="H95" s="538"/>
      <c r="I95" s="538"/>
      <c r="J95" s="538"/>
      <c r="K95" s="538"/>
      <c r="L95" s="539"/>
      <c r="M95" s="540"/>
      <c r="N95" s="1267"/>
      <c r="O95" s="1267"/>
      <c r="P95" s="621"/>
      <c r="Q95" s="622"/>
    </row>
    <row r="96" spans="1:17" ht="14.4" thickBot="1">
      <c r="A96" s="516"/>
      <c r="B96" s="526"/>
      <c r="C96" s="544"/>
      <c r="D96" s="544"/>
      <c r="E96" s="544"/>
      <c r="F96" s="544"/>
      <c r="G96" s="544"/>
      <c r="H96" s="546"/>
      <c r="I96" s="546"/>
      <c r="J96" s="546"/>
      <c r="K96" s="546"/>
      <c r="L96" s="546"/>
      <c r="M96" s="547"/>
      <c r="N96" s="1267"/>
      <c r="O96" s="1267"/>
      <c r="P96" s="22"/>
      <c r="Q96" s="485"/>
    </row>
    <row r="97" ht="14.4"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911" customWidth="1"/>
    <col min="2" max="3" width="12.44140625" style="1911" customWidth="1"/>
    <col min="4" max="6" width="8.109375" style="1911"/>
    <col min="7" max="7" width="17.44140625" style="1911" customWidth="1"/>
    <col min="8" max="16384" width="8.109375" style="1911"/>
  </cols>
  <sheetData>
    <row r="1" spans="1:7" ht="22.8">
      <c r="A1" s="1909" t="s">
        <v>1268</v>
      </c>
      <c r="B1" s="1910"/>
      <c r="C1" s="1910"/>
      <c r="D1" s="1910"/>
      <c r="E1" s="1910"/>
      <c r="F1" s="1910"/>
      <c r="G1" s="1910"/>
    </row>
    <row r="2" spans="1:7">
      <c r="A2" s="1912"/>
    </row>
    <row r="3" spans="1:7" s="1915" customFormat="1" ht="17.399999999999999">
      <c r="A3" s="1913" t="str">
        <f>IF(ISNUMBER(FIND("公司",项目基本情况!B4)),项目基本情况!B4&amp;"：",项目基本情况!B4&amp;"  先生/女士：")</f>
        <v>北京众信龙达科技发展有限公司：</v>
      </c>
      <c r="B3" s="1914"/>
      <c r="C3" s="1914"/>
      <c r="D3" s="1914"/>
      <c r="E3" s="1914"/>
      <c r="F3" s="1914"/>
      <c r="G3" s="1914"/>
    </row>
    <row r="4" spans="1:7" ht="17.399999999999999">
      <c r="A4" s="1916" t="str">
        <f>IF(ISNUMBER(FIND("公司",A3)),"受贵公司委托，我公司对"&amp;项目基本情况!I1&amp;"进行了预评估。","受您的委托，我公司对"&amp;项目基本情况!I1&amp;"进行了预评估。")</f>
        <v>受贵公司委托，我公司对北京市房地产进行了预评估。</v>
      </c>
      <c r="B4" s="1916"/>
      <c r="C4" s="1916"/>
      <c r="D4" s="1916"/>
      <c r="E4" s="1916"/>
      <c r="F4" s="1916"/>
      <c r="G4" s="1916"/>
    </row>
    <row r="5" spans="1:7" ht="17.399999999999999">
      <c r="A5" s="1917" t="s">
        <v>1269</v>
      </c>
    </row>
    <row r="6" spans="1:7" s="1918" customFormat="1" ht="52.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估价对象为北京市房地产，为北京众信龙达科技发展有限公司所有。根据《不动产权证书》[]，估价对象建筑面积为424.6平方米，（分摊）出让国有建设用地使用权面积为平方米。估价对象用途为。</v>
      </c>
      <c r="B6" s="1916"/>
      <c r="C6" s="1916"/>
      <c r="D6" s="1916"/>
      <c r="E6" s="1916"/>
      <c r="F6" s="1916"/>
      <c r="G6" s="1916"/>
    </row>
    <row r="7" spans="1:7" ht="17.399999999999999">
      <c r="A7" s="1917" t="s">
        <v>1270</v>
      </c>
    </row>
    <row r="8" spans="1:7" ht="34.799999999999997">
      <c r="A8" s="1919" t="str">
        <f>IF(项目基本情况!D4="抵押",IF(项目基本情况!B4=项目基本情况!B5,定义!C51,定义!B51),定义!D51)</f>
        <v>为估价委托人在向交通银行北京芳群园支行办理贷款手续过程中，确定房地产抵押贷款额度提供参考依据而评估房地产抵押价值。</v>
      </c>
      <c r="B8" s="1920"/>
      <c r="C8" s="1916"/>
      <c r="D8" s="1916"/>
      <c r="E8" s="1916"/>
      <c r="F8" s="1916"/>
      <c r="G8" s="1916"/>
    </row>
    <row r="9" spans="1:7" ht="17.399999999999999">
      <c r="A9" s="1914" t="s">
        <v>1271</v>
      </c>
      <c r="B9" s="1921"/>
    </row>
    <row r="10" spans="1:7" ht="17.399999999999999">
      <c r="A10" s="1922" t="str">
        <f>TEXT(项目基本情况!D2,"yyyy年m月d日;;")&amp;IF(项目基本情况!B2=项目基本情况!D2,"（评估专业人员实地查勘之日）","")</f>
        <v>2018年8月16日（评估专业人员实地查勘之日）</v>
      </c>
      <c r="B10" s="1923"/>
      <c r="C10" s="1923"/>
      <c r="D10" s="1923"/>
      <c r="E10" s="1923"/>
      <c r="F10" s="1923"/>
      <c r="G10" s="1923"/>
    </row>
    <row r="11" spans="1:7" ht="17.399999999999999">
      <c r="A11" s="1914" t="s">
        <v>1272</v>
      </c>
    </row>
    <row r="12" spans="1:7" ht="69.599999999999994">
      <c r="A12" s="1916" t="s">
        <v>1273</v>
      </c>
      <c r="B12" s="1916"/>
      <c r="C12" s="1916"/>
      <c r="D12" s="1916"/>
      <c r="E12" s="1916"/>
      <c r="F12" s="1916"/>
      <c r="G12" s="1916"/>
    </row>
    <row r="13" spans="1:7" ht="52.2">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本次估价的“房地产价值”是指在正常市场情况下，在价值时点2018年8月16日，估价对象规划用途为，假定未设立法定优先受偿款下的房地产市场价值。</v>
      </c>
      <c r="B13" s="1916"/>
      <c r="C13" s="1916"/>
      <c r="D13" s="1916"/>
      <c r="E13" s="1916"/>
      <c r="F13" s="1916"/>
      <c r="G13" s="1916"/>
    </row>
    <row r="14" spans="1:7" ht="52.2">
      <c r="A14" s="1919"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70.8">
      <c r="A15" s="1916" t="s">
        <v>1267</v>
      </c>
      <c r="B15" s="1916"/>
      <c r="C15" s="1916"/>
      <c r="D15" s="1916"/>
      <c r="E15" s="1916"/>
      <c r="F15" s="1916"/>
      <c r="G15" s="1916"/>
    </row>
    <row r="16" spans="1:7" ht="52.2">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7.399999999999999">
      <c r="A17" s="1914" t="s">
        <v>1266</v>
      </c>
    </row>
    <row r="18" spans="1:1" ht="17.399999999999999">
      <c r="A18" s="1925"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30" s="377" customFormat="1" ht="28.5" customHeight="1">
      <c r="A1" s="373" t="s">
        <v>2541</v>
      </c>
      <c r="B1" s="374"/>
      <c r="C1" s="375" t="s">
        <v>2542</v>
      </c>
      <c r="D1" s="733"/>
      <c r="E1" s="733"/>
      <c r="F1" s="732" t="s">
        <v>2337</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2008</v>
      </c>
      <c r="B2" s="654" t="e">
        <f>F66</f>
        <v>#DIV/0!</v>
      </c>
      <c r="C2" s="731" t="s">
        <v>2543</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2009</v>
      </c>
      <c r="B3" s="593" t="e">
        <f>ROUND(B2/'数据-取费表'!B5,0)</f>
        <v>#DIV/0!</v>
      </c>
      <c r="C3" s="731" t="s">
        <v>2544</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4.4">
      <c r="A4" s="380" t="s">
        <v>2339</v>
      </c>
      <c r="B4" s="381"/>
      <c r="C4" s="3005" t="s">
        <v>2340</v>
      </c>
      <c r="D4" s="3006"/>
      <c r="E4" s="3007" t="s">
        <v>2341</v>
      </c>
      <c r="F4" s="3008"/>
      <c r="G4" s="3005" t="s">
        <v>2342</v>
      </c>
      <c r="H4" s="3006"/>
      <c r="I4" s="3005" t="s">
        <v>2343</v>
      </c>
      <c r="J4" s="3006"/>
      <c r="K4" s="594" t="s">
        <v>2344</v>
      </c>
      <c r="L4" s="1242"/>
      <c r="M4" s="1243"/>
      <c r="N4" s="1243"/>
      <c r="O4" s="1243"/>
      <c r="P4" s="3009" t="s">
        <v>2345</v>
      </c>
      <c r="Q4" s="3010"/>
      <c r="R4" s="3015" t="s">
        <v>2341</v>
      </c>
      <c r="S4" s="3016"/>
      <c r="T4" s="3015" t="s">
        <v>2342</v>
      </c>
      <c r="U4" s="3016"/>
      <c r="V4" s="3021" t="s">
        <v>2343</v>
      </c>
      <c r="W4" s="3021"/>
      <c r="X4" s="1899"/>
      <c r="Y4" s="3015" t="s">
        <v>2345</v>
      </c>
      <c r="Z4" s="3016"/>
      <c r="AA4" s="3002" t="s">
        <v>2341</v>
      </c>
      <c r="AB4" s="3003" t="s">
        <v>2342</v>
      </c>
      <c r="AC4" s="3002" t="s">
        <v>2343</v>
      </c>
    </row>
    <row r="5" spans="1:30">
      <c r="A5" s="383"/>
      <c r="B5" s="384"/>
      <c r="C5" s="3024" t="s">
        <v>2346</v>
      </c>
      <c r="D5" s="3025"/>
      <c r="E5" s="3022" t="s">
        <v>2347</v>
      </c>
      <c r="F5" s="3023"/>
      <c r="G5" s="3024" t="s">
        <v>2348</v>
      </c>
      <c r="H5" s="3025"/>
      <c r="I5" s="3024" t="s">
        <v>2349</v>
      </c>
      <c r="J5" s="3025"/>
      <c r="K5" s="594"/>
      <c r="L5" s="1242"/>
      <c r="M5" s="1243"/>
      <c r="N5" s="1243"/>
      <c r="O5" s="1243"/>
      <c r="P5" s="3011"/>
      <c r="Q5" s="3012"/>
      <c r="R5" s="3017"/>
      <c r="S5" s="3018"/>
      <c r="T5" s="3017"/>
      <c r="U5" s="3018"/>
      <c r="V5" s="3021"/>
      <c r="W5" s="3021"/>
      <c r="X5" s="1899"/>
      <c r="Y5" s="3017"/>
      <c r="Z5" s="3018"/>
      <c r="AA5" s="3003"/>
      <c r="AB5" s="3003"/>
      <c r="AC5" s="3003"/>
    </row>
    <row r="6" spans="1:30" ht="15" thickBot="1">
      <c r="A6" s="385"/>
      <c r="B6" s="386"/>
      <c r="C6" s="3026" t="s">
        <v>2350</v>
      </c>
      <c r="D6" s="3027"/>
      <c r="E6" s="3028" t="s">
        <v>2350</v>
      </c>
      <c r="F6" s="3029"/>
      <c r="G6" s="3026" t="s">
        <v>2350</v>
      </c>
      <c r="H6" s="3027"/>
      <c r="I6" s="3026" t="s">
        <v>2350</v>
      </c>
      <c r="J6" s="3027"/>
      <c r="K6" s="594" t="s">
        <v>2351</v>
      </c>
      <c r="L6" s="1242"/>
      <c r="M6" s="1243"/>
      <c r="N6" s="1243"/>
      <c r="O6" s="1243"/>
      <c r="P6" s="3013"/>
      <c r="Q6" s="3014"/>
      <c r="R6" s="3017"/>
      <c r="S6" s="3018"/>
      <c r="T6" s="3019"/>
      <c r="U6" s="3020"/>
      <c r="V6" s="3021"/>
      <c r="W6" s="3021"/>
      <c r="X6" s="1899"/>
      <c r="Y6" s="3019"/>
      <c r="Z6" s="3020"/>
      <c r="AA6" s="3004"/>
      <c r="AB6" s="3004"/>
      <c r="AC6" s="3004"/>
    </row>
    <row r="7" spans="1:30" s="35" customFormat="1" ht="15" thickBot="1">
      <c r="A7" s="387" t="s">
        <v>2352</v>
      </c>
      <c r="B7" s="388"/>
      <c r="C7" s="389">
        <f>'数据-取费表'!B2</f>
        <v>43328</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37" t="s">
        <v>2353</v>
      </c>
      <c r="Q7" s="3039"/>
      <c r="R7" s="748" t="s">
        <v>25</v>
      </c>
      <c r="S7" s="749">
        <f t="shared" ref="S7:S15" si="0">F7</f>
        <v>0</v>
      </c>
      <c r="T7" s="748" t="s">
        <v>25</v>
      </c>
      <c r="U7" s="749">
        <f t="shared" ref="U7:U15" si="1">H7</f>
        <v>0</v>
      </c>
      <c r="V7" s="748" t="s">
        <v>25</v>
      </c>
      <c r="W7" s="749">
        <f t="shared" ref="W7:W15" si="2">J7</f>
        <v>0</v>
      </c>
      <c r="X7" s="750"/>
      <c r="Y7" s="3037" t="s">
        <v>2353</v>
      </c>
      <c r="Z7" s="3038"/>
      <c r="AA7" s="751" t="e">
        <f>D7/F7</f>
        <v>#DIV/0!</v>
      </c>
      <c r="AB7" s="751" t="e">
        <f>D7/H7</f>
        <v>#DIV/0!</v>
      </c>
      <c r="AC7" s="751" t="e">
        <f>D7/J7</f>
        <v>#DIV/0!</v>
      </c>
    </row>
    <row r="8" spans="1:30" s="35" customFormat="1" ht="1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7" t="s">
        <v>2356</v>
      </c>
      <c r="Q8" s="3038"/>
      <c r="R8" s="748" t="s">
        <v>25</v>
      </c>
      <c r="S8" s="749">
        <f t="shared" si="0"/>
        <v>0</v>
      </c>
      <c r="T8" s="748" t="s">
        <v>25</v>
      </c>
      <c r="U8" s="749">
        <f t="shared" si="1"/>
        <v>0</v>
      </c>
      <c r="V8" s="748" t="s">
        <v>25</v>
      </c>
      <c r="W8" s="749">
        <f t="shared" si="2"/>
        <v>0</v>
      </c>
      <c r="X8" s="750"/>
      <c r="Y8" s="3037" t="s">
        <v>2356</v>
      </c>
      <c r="Z8" s="3038"/>
      <c r="AA8" s="751" t="e">
        <f t="shared" ref="AA8:AA45" si="3">D8/F8</f>
        <v>#DIV/0!</v>
      </c>
      <c r="AB8" s="751" t="e">
        <f t="shared" ref="AB8:AB45" si="4">D8/H8</f>
        <v>#DIV/0!</v>
      </c>
      <c r="AC8" s="751" t="e">
        <f t="shared" ref="AC8:AC45" si="5">D8/J8</f>
        <v>#DIV/0!</v>
      </c>
    </row>
    <row r="9" spans="1:30" s="35" customFormat="1" ht="14.4">
      <c r="A9" s="395" t="s">
        <v>2357</v>
      </c>
      <c r="B9" s="28" t="s">
        <v>2358</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41" t="s">
        <v>2359</v>
      </c>
      <c r="Q9" s="1886" t="str">
        <f t="shared" ref="Q9:Q15" si="6">B9</f>
        <v>用途</v>
      </c>
      <c r="R9" s="748" t="s">
        <v>25</v>
      </c>
      <c r="S9" s="749">
        <f t="shared" si="0"/>
        <v>100</v>
      </c>
      <c r="T9" s="748" t="s">
        <v>25</v>
      </c>
      <c r="U9" s="749">
        <f t="shared" si="1"/>
        <v>100</v>
      </c>
      <c r="V9" s="748" t="s">
        <v>25</v>
      </c>
      <c r="W9" s="749">
        <f t="shared" si="2"/>
        <v>100</v>
      </c>
      <c r="X9" s="750"/>
      <c r="Y9" s="2853" t="s">
        <v>2360</v>
      </c>
      <c r="Z9" s="23" t="str">
        <f t="shared" ref="Z9:Z15" si="7">Q9</f>
        <v>用途</v>
      </c>
      <c r="AA9" s="751">
        <f t="shared" si="3"/>
        <v>1</v>
      </c>
      <c r="AB9" s="751">
        <f t="shared" si="4"/>
        <v>1</v>
      </c>
      <c r="AC9" s="751">
        <f t="shared" si="5"/>
        <v>1</v>
      </c>
    </row>
    <row r="10" spans="1:30" s="407" customFormat="1" ht="28.8">
      <c r="A10" s="401"/>
      <c r="B10" s="402" t="s">
        <v>2361</v>
      </c>
      <c r="C10" s="412"/>
      <c r="D10" s="52">
        <v>100</v>
      </c>
      <c r="E10" s="446"/>
      <c r="F10" s="52">
        <f>ROUND(100/'数据-取费表'!B14,0)</f>
        <v>105</v>
      </c>
      <c r="G10" s="444"/>
      <c r="H10" s="52">
        <f>ROUND(100/'数据-取费表'!B14,0)</f>
        <v>105</v>
      </c>
      <c r="I10" s="444"/>
      <c r="J10" s="52">
        <f>ROUND(100/'数据-取费表'!B14,0)</f>
        <v>105</v>
      </c>
      <c r="K10" s="655"/>
      <c r="L10" s="1247"/>
      <c r="M10" s="1248"/>
      <c r="N10" s="1248"/>
      <c r="O10" s="1249"/>
      <c r="P10" s="3041"/>
      <c r="Q10" s="1886" t="str">
        <f t="shared" si="6"/>
        <v>土地使用年限（年）</v>
      </c>
      <c r="R10" s="748" t="s">
        <v>25</v>
      </c>
      <c r="S10" s="749">
        <f t="shared" si="0"/>
        <v>105</v>
      </c>
      <c r="T10" s="748" t="s">
        <v>25</v>
      </c>
      <c r="U10" s="749">
        <f t="shared" si="1"/>
        <v>105</v>
      </c>
      <c r="V10" s="748" t="s">
        <v>25</v>
      </c>
      <c r="W10" s="749">
        <f t="shared" si="2"/>
        <v>105</v>
      </c>
      <c r="X10" s="750"/>
      <c r="Y10" s="2853"/>
      <c r="Z10" s="23" t="str">
        <f t="shared" si="7"/>
        <v>土地使用年限（年）</v>
      </c>
      <c r="AA10" s="751">
        <f t="shared" si="3"/>
        <v>0.95238095238095233</v>
      </c>
      <c r="AB10" s="751">
        <f t="shared" si="4"/>
        <v>0.95238095238095233</v>
      </c>
      <c r="AC10" s="751">
        <f t="shared" si="5"/>
        <v>0.95238095238095233</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41"/>
      <c r="Q11" s="1886" t="str">
        <f t="shared" si="6"/>
        <v>容积率</v>
      </c>
      <c r="R11" s="748" t="s">
        <v>25</v>
      </c>
      <c r="S11" s="749" t="e">
        <f t="shared" si="0"/>
        <v>#N/A</v>
      </c>
      <c r="T11" s="748" t="s">
        <v>25</v>
      </c>
      <c r="U11" s="749" t="e">
        <f t="shared" si="1"/>
        <v>#N/A</v>
      </c>
      <c r="V11" s="748" t="s">
        <v>25</v>
      </c>
      <c r="W11" s="749" t="e">
        <f t="shared" si="2"/>
        <v>#N/A</v>
      </c>
      <c r="X11" s="750"/>
      <c r="Y11" s="2853"/>
      <c r="Z11" s="23" t="str">
        <f t="shared" si="7"/>
        <v>容积率</v>
      </c>
      <c r="AA11" s="751" t="e">
        <f t="shared" si="3"/>
        <v>#N/A</v>
      </c>
      <c r="AB11" s="751" t="e">
        <f t="shared" si="4"/>
        <v>#N/A</v>
      </c>
      <c r="AC11" s="751"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41"/>
      <c r="Q12" s="1886" t="str">
        <f t="shared" si="6"/>
        <v>配建</v>
      </c>
      <c r="R12" s="748" t="s">
        <v>25</v>
      </c>
      <c r="S12" s="749">
        <f t="shared" si="0"/>
        <v>100</v>
      </c>
      <c r="T12" s="748" t="s">
        <v>25</v>
      </c>
      <c r="U12" s="749">
        <f t="shared" si="1"/>
        <v>100</v>
      </c>
      <c r="V12" s="748" t="s">
        <v>25</v>
      </c>
      <c r="W12" s="749">
        <f t="shared" si="2"/>
        <v>100</v>
      </c>
      <c r="X12" s="750"/>
      <c r="Y12" s="2853"/>
      <c r="Z12" s="23" t="str">
        <f t="shared" si="7"/>
        <v>配建</v>
      </c>
      <c r="AA12" s="751">
        <f>D12/F12</f>
        <v>1</v>
      </c>
      <c r="AB12" s="751">
        <f>D12/H12</f>
        <v>1</v>
      </c>
      <c r="AC12" s="751">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41"/>
      <c r="Q13" s="1886">
        <f t="shared" si="6"/>
        <v>111</v>
      </c>
      <c r="R13" s="748" t="s">
        <v>25</v>
      </c>
      <c r="S13" s="749">
        <f t="shared" si="0"/>
        <v>100</v>
      </c>
      <c r="T13" s="748" t="s">
        <v>25</v>
      </c>
      <c r="U13" s="749">
        <f t="shared" si="1"/>
        <v>100</v>
      </c>
      <c r="V13" s="748" t="s">
        <v>25</v>
      </c>
      <c r="W13" s="749">
        <f t="shared" si="2"/>
        <v>100</v>
      </c>
      <c r="X13" s="750"/>
      <c r="Y13" s="2853"/>
      <c r="Z13" s="23">
        <f t="shared" si="7"/>
        <v>111</v>
      </c>
      <c r="AA13" s="751">
        <f>D13/F13</f>
        <v>1</v>
      </c>
      <c r="AB13" s="751">
        <f>D13/H13</f>
        <v>1</v>
      </c>
      <c r="AC13" s="751">
        <f>D13/J13</f>
        <v>1</v>
      </c>
    </row>
    <row r="14" spans="1:30" ht="15.6"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41"/>
      <c r="Q14" s="1886">
        <f t="shared" si="6"/>
        <v>111</v>
      </c>
      <c r="R14" s="748" t="s">
        <v>25</v>
      </c>
      <c r="S14" s="749">
        <f t="shared" si="0"/>
        <v>100</v>
      </c>
      <c r="T14" s="748" t="s">
        <v>25</v>
      </c>
      <c r="U14" s="749">
        <f t="shared" si="1"/>
        <v>100</v>
      </c>
      <c r="V14" s="748" t="s">
        <v>25</v>
      </c>
      <c r="W14" s="749">
        <f t="shared" si="2"/>
        <v>100</v>
      </c>
      <c r="X14" s="750"/>
      <c r="Y14" s="2853"/>
      <c r="Z14" s="23">
        <f t="shared" si="7"/>
        <v>111</v>
      </c>
      <c r="AA14" s="751">
        <f>D14/F14</f>
        <v>1</v>
      </c>
      <c r="AB14" s="751">
        <f>D14/H14</f>
        <v>1</v>
      </c>
      <c r="AC14" s="751">
        <f>D14/J14</f>
        <v>1</v>
      </c>
    </row>
    <row r="15" spans="1:30" ht="96.6">
      <c r="A15" s="380" t="s">
        <v>2363</v>
      </c>
      <c r="B15" s="1486" t="s">
        <v>1738</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30" t="s">
        <v>2364</v>
      </c>
      <c r="Q15" s="1898" t="str">
        <f t="shared" si="6"/>
        <v>居住社区成熟度</v>
      </c>
      <c r="R15" s="752" t="s">
        <v>25</v>
      </c>
      <c r="S15" s="753">
        <f t="shared" si="0"/>
        <v>100</v>
      </c>
      <c r="T15" s="752" t="s">
        <v>25</v>
      </c>
      <c r="U15" s="753">
        <f t="shared" si="1"/>
        <v>100</v>
      </c>
      <c r="V15" s="752" t="s">
        <v>25</v>
      </c>
      <c r="W15" s="753">
        <f t="shared" si="2"/>
        <v>100</v>
      </c>
      <c r="X15" s="1899"/>
      <c r="Y15" s="3030" t="s">
        <v>2364</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4"/>
      <c r="J16" s="427"/>
      <c r="K16" s="655"/>
      <c r="L16" s="1252"/>
      <c r="M16" s="1243"/>
      <c r="N16" s="1243"/>
      <c r="O16" s="1251"/>
      <c r="P16" s="3031"/>
      <c r="Q16" s="1898"/>
      <c r="R16" s="752"/>
      <c r="S16" s="753"/>
      <c r="T16" s="752"/>
      <c r="U16" s="753"/>
      <c r="V16" s="752"/>
      <c r="W16" s="753"/>
      <c r="X16" s="1899"/>
      <c r="Y16" s="3031"/>
      <c r="Z16" s="1901"/>
      <c r="AA16" s="1902">
        <v>1</v>
      </c>
      <c r="AB16" s="1902">
        <v>1</v>
      </c>
      <c r="AC16" s="1902">
        <v>1</v>
      </c>
    </row>
    <row r="17" spans="1:29" ht="82.8">
      <c r="A17" s="383"/>
      <c r="B17" s="1488" t="s">
        <v>2449</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31"/>
      <c r="Q17" s="1898" t="str">
        <f>B17</f>
        <v>商业繁华度</v>
      </c>
      <c r="R17" s="752" t="s">
        <v>25</v>
      </c>
      <c r="S17" s="753">
        <f>F17</f>
        <v>100</v>
      </c>
      <c r="T17" s="752" t="s">
        <v>25</v>
      </c>
      <c r="U17" s="753">
        <f>H17</f>
        <v>100</v>
      </c>
      <c r="V17" s="752" t="s">
        <v>25</v>
      </c>
      <c r="W17" s="753">
        <f>J17</f>
        <v>100</v>
      </c>
      <c r="X17" s="1899"/>
      <c r="Y17" s="3031"/>
      <c r="Z17" s="1901" t="str">
        <f>Q17</f>
        <v>商业繁华度</v>
      </c>
      <c r="AA17" s="1902">
        <f t="shared" si="3"/>
        <v>1</v>
      </c>
      <c r="AB17" s="1902">
        <f t="shared" si="4"/>
        <v>1</v>
      </c>
      <c r="AC17" s="1902">
        <f t="shared" si="5"/>
        <v>1</v>
      </c>
    </row>
    <row r="18" spans="1:29" ht="15">
      <c r="A18" s="383"/>
      <c r="B18" s="1489"/>
      <c r="C18" s="2469"/>
      <c r="D18" s="430"/>
      <c r="E18" s="1467"/>
      <c r="F18" s="430"/>
      <c r="G18" s="1467"/>
      <c r="H18" s="427"/>
      <c r="I18" s="2407"/>
      <c r="J18" s="427"/>
      <c r="K18" s="655"/>
      <c r="L18" s="1252"/>
      <c r="M18" s="1243"/>
      <c r="N18" s="1243"/>
      <c r="O18" s="1251"/>
      <c r="P18" s="3031"/>
      <c r="Q18" s="1898"/>
      <c r="R18" s="752"/>
      <c r="S18" s="753"/>
      <c r="T18" s="752"/>
      <c r="U18" s="753"/>
      <c r="V18" s="752"/>
      <c r="W18" s="753"/>
      <c r="X18" s="1899"/>
      <c r="Y18" s="3031"/>
      <c r="Z18" s="1901"/>
      <c r="AA18" s="1902">
        <v>1</v>
      </c>
      <c r="AB18" s="1902">
        <v>1</v>
      </c>
      <c r="AC18" s="1902">
        <v>1</v>
      </c>
    </row>
    <row r="19" spans="1:29" ht="82.8">
      <c r="A19" s="383"/>
      <c r="B19" s="1488" t="s">
        <v>2478</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31"/>
      <c r="Q19" s="1898" t="str">
        <f>B19</f>
        <v>办公集聚程度</v>
      </c>
      <c r="R19" s="752" t="s">
        <v>25</v>
      </c>
      <c r="S19" s="753">
        <f>F19</f>
        <v>100</v>
      </c>
      <c r="T19" s="752" t="s">
        <v>25</v>
      </c>
      <c r="U19" s="753">
        <f>H19</f>
        <v>100</v>
      </c>
      <c r="V19" s="752" t="s">
        <v>25</v>
      </c>
      <c r="W19" s="753">
        <f>J19</f>
        <v>100</v>
      </c>
      <c r="X19" s="1899"/>
      <c r="Y19" s="3031"/>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4"/>
      <c r="J20" s="427"/>
      <c r="K20" s="655"/>
      <c r="L20" s="1252"/>
      <c r="M20" s="1243"/>
      <c r="N20" s="1243"/>
      <c r="O20" s="1251"/>
      <c r="P20" s="3031"/>
      <c r="Q20" s="1898"/>
      <c r="R20" s="752"/>
      <c r="S20" s="753"/>
      <c r="T20" s="752"/>
      <c r="U20" s="753"/>
      <c r="V20" s="752"/>
      <c r="W20" s="753"/>
      <c r="X20" s="1899"/>
      <c r="Y20" s="3031"/>
      <c r="Z20" s="1901"/>
      <c r="AA20" s="1902">
        <v>1</v>
      </c>
      <c r="AB20" s="1902">
        <v>1</v>
      </c>
      <c r="AC20" s="1902">
        <v>1</v>
      </c>
    </row>
    <row r="21" spans="1:29" ht="96.6">
      <c r="A21" s="383"/>
      <c r="B21" s="1488" t="s">
        <v>2507</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31"/>
      <c r="Q21" s="1898" t="str">
        <f>B21</f>
        <v>交通便捷度</v>
      </c>
      <c r="R21" s="752" t="s">
        <v>25</v>
      </c>
      <c r="S21" s="753">
        <f>F21</f>
        <v>100</v>
      </c>
      <c r="T21" s="752" t="s">
        <v>25</v>
      </c>
      <c r="U21" s="753">
        <f>H21</f>
        <v>100</v>
      </c>
      <c r="V21" s="752" t="s">
        <v>25</v>
      </c>
      <c r="W21" s="753">
        <f>J21</f>
        <v>100</v>
      </c>
      <c r="X21" s="1899"/>
      <c r="Y21" s="3031"/>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4"/>
      <c r="J22" s="427"/>
      <c r="K22" s="655"/>
      <c r="L22" s="1252"/>
      <c r="M22" s="1243"/>
      <c r="N22" s="1243"/>
      <c r="O22" s="1251"/>
      <c r="P22" s="3031"/>
      <c r="Q22" s="1898"/>
      <c r="R22" s="752"/>
      <c r="S22" s="753"/>
      <c r="T22" s="752"/>
      <c r="U22" s="753"/>
      <c r="V22" s="752"/>
      <c r="W22" s="753"/>
      <c r="X22" s="1899"/>
      <c r="Y22" s="3031"/>
      <c r="Z22" s="1901"/>
      <c r="AA22" s="1902">
        <v>1</v>
      </c>
      <c r="AB22" s="1902">
        <v>1</v>
      </c>
      <c r="AC22" s="1902">
        <v>1</v>
      </c>
    </row>
    <row r="23" spans="1:29" ht="28.8">
      <c r="A23" s="383"/>
      <c r="B23" s="1491"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31"/>
      <c r="Q23" s="1898" t="str">
        <f t="shared" ref="Q23:Q37" si="8">B23</f>
        <v>区域土地利用方向</v>
      </c>
      <c r="R23" s="752" t="s">
        <v>25</v>
      </c>
      <c r="S23" s="753">
        <f>F23</f>
        <v>100</v>
      </c>
      <c r="T23" s="752" t="s">
        <v>25</v>
      </c>
      <c r="U23" s="753">
        <f>H23</f>
        <v>100</v>
      </c>
      <c r="V23" s="752" t="s">
        <v>25</v>
      </c>
      <c r="W23" s="753">
        <f>J23</f>
        <v>100</v>
      </c>
      <c r="X23" s="1899"/>
      <c r="Y23" s="3031"/>
      <c r="Z23" s="1901" t="str">
        <f>Q23</f>
        <v>区域土地利用方向</v>
      </c>
      <c r="AA23" s="1902">
        <f t="shared" si="3"/>
        <v>1</v>
      </c>
      <c r="AB23" s="1902">
        <f t="shared" si="4"/>
        <v>1</v>
      </c>
      <c r="AC23" s="1902">
        <f t="shared" si="5"/>
        <v>1</v>
      </c>
    </row>
    <row r="24" spans="1:29" ht="15">
      <c r="A24" s="383"/>
      <c r="B24" s="1492"/>
      <c r="C24" s="618"/>
      <c r="D24" s="427"/>
      <c r="E24" s="428"/>
      <c r="F24" s="427"/>
      <c r="G24" s="2404"/>
      <c r="H24" s="427"/>
      <c r="I24" s="2404"/>
      <c r="J24" s="427"/>
      <c r="K24" s="803"/>
      <c r="L24" s="1252"/>
      <c r="M24" s="1243"/>
      <c r="N24" s="1243"/>
      <c r="O24" s="1251"/>
      <c r="P24" s="3031"/>
      <c r="Q24" s="1898"/>
      <c r="R24" s="752"/>
      <c r="S24" s="753"/>
      <c r="T24" s="752"/>
      <c r="U24" s="753"/>
      <c r="V24" s="752"/>
      <c r="W24" s="753"/>
      <c r="X24" s="1899"/>
      <c r="Y24" s="3031"/>
      <c r="Z24" s="1901"/>
      <c r="AA24" s="1902"/>
      <c r="AB24" s="1902"/>
      <c r="AC24" s="1902"/>
    </row>
    <row r="25" spans="1:29" ht="55.2">
      <c r="A25" s="383"/>
      <c r="B25" s="1490" t="s">
        <v>2548</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31"/>
      <c r="Q25" s="1898" t="str">
        <f t="shared" si="8"/>
        <v>自然及人文环境状况</v>
      </c>
      <c r="R25" s="752" t="s">
        <v>25</v>
      </c>
      <c r="S25" s="753">
        <f>F25</f>
        <v>100</v>
      </c>
      <c r="T25" s="752" t="s">
        <v>25</v>
      </c>
      <c r="U25" s="753">
        <f>H25</f>
        <v>100</v>
      </c>
      <c r="V25" s="752" t="s">
        <v>25</v>
      </c>
      <c r="W25" s="753">
        <f>J25</f>
        <v>100</v>
      </c>
      <c r="X25" s="1899"/>
      <c r="Y25" s="3031"/>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31"/>
      <c r="Q26" s="1898"/>
      <c r="R26" s="752"/>
      <c r="S26" s="753"/>
      <c r="T26" s="752"/>
      <c r="U26" s="753"/>
      <c r="V26" s="752"/>
      <c r="W26" s="753"/>
      <c r="X26" s="1899"/>
      <c r="Y26" s="3031"/>
      <c r="Z26" s="1901"/>
      <c r="AA26" s="1902">
        <v>1</v>
      </c>
      <c r="AB26" s="1902">
        <v>1</v>
      </c>
      <c r="AC26" s="1902">
        <v>1</v>
      </c>
    </row>
    <row r="27" spans="1:29" ht="41.4">
      <c r="A27" s="383"/>
      <c r="B27" s="1490" t="s">
        <v>2450</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31"/>
      <c r="Q27" s="1886" t="str">
        <f t="shared" ref="Q27" si="9">B27</f>
        <v>公共配套设施</v>
      </c>
      <c r="R27" s="748" t="s">
        <v>25</v>
      </c>
      <c r="S27" s="749">
        <f>F27</f>
        <v>100</v>
      </c>
      <c r="T27" s="748" t="s">
        <v>25</v>
      </c>
      <c r="U27" s="749">
        <f>H27</f>
        <v>100</v>
      </c>
      <c r="V27" s="748" t="s">
        <v>25</v>
      </c>
      <c r="W27" s="749">
        <f>J27</f>
        <v>100</v>
      </c>
      <c r="X27" s="1899"/>
      <c r="Y27" s="3031"/>
      <c r="Z27" s="23" t="str">
        <f>Q27</f>
        <v>公共配套设施</v>
      </c>
      <c r="AA27" s="1902">
        <f>D27/F27</f>
        <v>1</v>
      </c>
      <c r="AB27" s="1902">
        <f>D27/H27</f>
        <v>1</v>
      </c>
      <c r="AC27" s="1902">
        <f>D27/J27</f>
        <v>1</v>
      </c>
    </row>
    <row r="28" spans="1:29" ht="15">
      <c r="A28" s="383"/>
      <c r="B28" s="1489"/>
      <c r="C28" s="2487"/>
      <c r="D28" s="427"/>
      <c r="E28" s="2487"/>
      <c r="F28" s="427"/>
      <c r="G28" s="2487"/>
      <c r="H28" s="427"/>
      <c r="I28" s="2487"/>
      <c r="J28" s="427"/>
      <c r="K28" s="655"/>
      <c r="L28" s="1252"/>
      <c r="M28" s="1243"/>
      <c r="N28" s="1243"/>
      <c r="O28" s="1251"/>
      <c r="P28" s="3031"/>
      <c r="Q28" s="1898"/>
      <c r="R28" s="752"/>
      <c r="S28" s="753"/>
      <c r="T28" s="752"/>
      <c r="U28" s="753"/>
      <c r="V28" s="752"/>
      <c r="W28" s="753"/>
      <c r="X28" s="1899"/>
      <c r="Y28" s="3031"/>
      <c r="Z28" s="23"/>
      <c r="AA28" s="1902">
        <v>1</v>
      </c>
      <c r="AB28" s="1902">
        <v>1</v>
      </c>
      <c r="AC28" s="1902">
        <v>1</v>
      </c>
    </row>
    <row r="29" spans="1:29" s="35" customFormat="1" ht="41.4">
      <c r="A29" s="633"/>
      <c r="B29" s="1490" t="s">
        <v>2451</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31"/>
      <c r="Q29" s="1886" t="str">
        <f t="shared" si="8"/>
        <v>基础设施水平</v>
      </c>
      <c r="R29" s="748" t="s">
        <v>25</v>
      </c>
      <c r="S29" s="749">
        <f>F29</f>
        <v>100</v>
      </c>
      <c r="T29" s="748" t="s">
        <v>25</v>
      </c>
      <c r="U29" s="749">
        <f>H29</f>
        <v>100</v>
      </c>
      <c r="V29" s="748" t="s">
        <v>25</v>
      </c>
      <c r="W29" s="749">
        <f>J29</f>
        <v>100</v>
      </c>
      <c r="X29" s="750"/>
      <c r="Y29" s="3031"/>
      <c r="Z29" s="23" t="str">
        <f>Q29</f>
        <v>基础设施水平</v>
      </c>
      <c r="AA29" s="1902">
        <f>D29/F29</f>
        <v>1</v>
      </c>
      <c r="AB29" s="1902">
        <f>D29/H29</f>
        <v>1</v>
      </c>
      <c r="AC29" s="1902">
        <f>D29/J29</f>
        <v>1</v>
      </c>
    </row>
    <row r="30" spans="1:29" s="35" customFormat="1" ht="15">
      <c r="A30" s="633"/>
      <c r="B30" s="1489"/>
      <c r="C30" s="2487"/>
      <c r="D30" s="427"/>
      <c r="E30" s="2487"/>
      <c r="F30" s="427"/>
      <c r="G30" s="2487"/>
      <c r="H30" s="427"/>
      <c r="I30" s="2487"/>
      <c r="J30" s="427"/>
      <c r="K30" s="655"/>
      <c r="L30" s="1244"/>
      <c r="M30" s="1245"/>
      <c r="N30" s="1245"/>
      <c r="O30" s="1246"/>
      <c r="P30" s="3031"/>
      <c r="Q30" s="1886"/>
      <c r="R30" s="748"/>
      <c r="S30" s="749"/>
      <c r="T30" s="748"/>
      <c r="U30" s="749"/>
      <c r="V30" s="748"/>
      <c r="W30" s="749"/>
      <c r="X30" s="750"/>
      <c r="Y30" s="3031"/>
      <c r="Z30" s="23"/>
      <c r="AA30" s="1902">
        <v>1</v>
      </c>
      <c r="AB30" s="1902">
        <v>1</v>
      </c>
      <c r="AC30" s="1902">
        <v>1</v>
      </c>
    </row>
    <row r="31" spans="1:29" ht="15">
      <c r="A31" s="383"/>
      <c r="B31" s="1489"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31"/>
      <c r="Q31" s="1898" t="str">
        <f t="shared" si="8"/>
        <v>临街状况</v>
      </c>
      <c r="R31" s="752" t="s">
        <v>25</v>
      </c>
      <c r="S31" s="753">
        <f t="shared" ref="S31:S45" si="10">F31</f>
        <v>100</v>
      </c>
      <c r="T31" s="752" t="s">
        <v>25</v>
      </c>
      <c r="U31" s="753">
        <f t="shared" ref="U31:U45" si="11">H31</f>
        <v>100</v>
      </c>
      <c r="V31" s="752" t="s">
        <v>25</v>
      </c>
      <c r="W31" s="753">
        <f t="shared" ref="W31:W45" si="12">J31</f>
        <v>100</v>
      </c>
      <c r="X31" s="1899"/>
      <c r="Y31" s="3031"/>
      <c r="Z31" s="1901" t="str">
        <f t="shared" ref="Z31:Z45" si="13">Q31</f>
        <v>临街状况</v>
      </c>
      <c r="AA31" s="1902">
        <f t="shared" si="3"/>
        <v>1</v>
      </c>
      <c r="AB31" s="1902">
        <f t="shared" si="4"/>
        <v>1</v>
      </c>
      <c r="AC31" s="1902">
        <f t="shared" si="5"/>
        <v>1</v>
      </c>
    </row>
    <row r="32" spans="1:29" ht="28.8">
      <c r="A32" s="383"/>
      <c r="B32" s="1490"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31"/>
      <c r="Q32" s="1898" t="str">
        <f t="shared" si="8"/>
        <v>毗邻道路的类型与等级</v>
      </c>
      <c r="R32" s="752" t="s">
        <v>25</v>
      </c>
      <c r="S32" s="753">
        <f t="shared" si="10"/>
        <v>100</v>
      </c>
      <c r="T32" s="752" t="s">
        <v>25</v>
      </c>
      <c r="U32" s="753">
        <f t="shared" si="11"/>
        <v>100</v>
      </c>
      <c r="V32" s="752" t="s">
        <v>25</v>
      </c>
      <c r="W32" s="753">
        <f t="shared" si="12"/>
        <v>100</v>
      </c>
      <c r="X32" s="1899"/>
      <c r="Y32" s="3031"/>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31"/>
      <c r="Q33" s="1898"/>
      <c r="R33" s="752"/>
      <c r="S33" s="753"/>
      <c r="T33" s="752"/>
      <c r="U33" s="753"/>
      <c r="V33" s="752"/>
      <c r="W33" s="753"/>
      <c r="X33" s="1899"/>
      <c r="Y33" s="3031"/>
      <c r="Z33" s="1901"/>
      <c r="AA33" s="1902">
        <v>1</v>
      </c>
      <c r="AB33" s="1902">
        <v>1</v>
      </c>
      <c r="AC33" s="1902">
        <v>1</v>
      </c>
    </row>
    <row r="34" spans="1:29" ht="15">
      <c r="A34" s="383"/>
      <c r="B34" s="1493"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31"/>
      <c r="Q34" s="1898" t="str">
        <f t="shared" si="8"/>
        <v>土地级别</v>
      </c>
      <c r="R34" s="752" t="s">
        <v>25</v>
      </c>
      <c r="S34" s="753">
        <f t="shared" si="10"/>
        <v>100</v>
      </c>
      <c r="T34" s="752" t="s">
        <v>25</v>
      </c>
      <c r="U34" s="753">
        <f t="shared" si="11"/>
        <v>100</v>
      </c>
      <c r="V34" s="752" t="s">
        <v>25</v>
      </c>
      <c r="W34" s="753">
        <f t="shared" si="12"/>
        <v>100</v>
      </c>
      <c r="X34" s="1899"/>
      <c r="Y34" s="3031"/>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31"/>
      <c r="Q35" s="1898">
        <f t="shared" si="8"/>
        <v>111</v>
      </c>
      <c r="R35" s="752" t="s">
        <v>25</v>
      </c>
      <c r="S35" s="753">
        <f t="shared" si="10"/>
        <v>100</v>
      </c>
      <c r="T35" s="752" t="s">
        <v>25</v>
      </c>
      <c r="U35" s="753">
        <f t="shared" si="11"/>
        <v>100</v>
      </c>
      <c r="V35" s="752" t="s">
        <v>25</v>
      </c>
      <c r="W35" s="753">
        <f t="shared" si="12"/>
        <v>100</v>
      </c>
      <c r="X35" s="1899"/>
      <c r="Y35" s="3031"/>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59" t="s">
        <v>2370</v>
      </c>
      <c r="Q36" s="1898">
        <f t="shared" si="8"/>
        <v>111</v>
      </c>
      <c r="R36" s="752" t="s">
        <v>25</v>
      </c>
      <c r="S36" s="753">
        <f t="shared" si="10"/>
        <v>100</v>
      </c>
      <c r="T36" s="752" t="s">
        <v>25</v>
      </c>
      <c r="U36" s="753">
        <f t="shared" si="11"/>
        <v>100</v>
      </c>
      <c r="V36" s="752" t="s">
        <v>25</v>
      </c>
      <c r="W36" s="753">
        <f t="shared" si="12"/>
        <v>100</v>
      </c>
      <c r="X36" s="1899"/>
      <c r="Y36" s="3035" t="s">
        <v>2370</v>
      </c>
      <c r="Z36" s="1901">
        <f t="shared" si="13"/>
        <v>111</v>
      </c>
      <c r="AA36" s="1902">
        <f t="shared" si="3"/>
        <v>1</v>
      </c>
      <c r="AB36" s="1902">
        <f t="shared" si="4"/>
        <v>1</v>
      </c>
      <c r="AC36" s="1902">
        <f t="shared" si="5"/>
        <v>1</v>
      </c>
    </row>
    <row r="37" spans="1:29" s="452" customFormat="1" ht="15.6"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35"/>
      <c r="Q37" s="1898">
        <f t="shared" si="8"/>
        <v>111</v>
      </c>
      <c r="R37" s="755" t="s">
        <v>25</v>
      </c>
      <c r="S37" s="756">
        <f t="shared" si="10"/>
        <v>100</v>
      </c>
      <c r="T37" s="755" t="s">
        <v>25</v>
      </c>
      <c r="U37" s="756">
        <f t="shared" si="11"/>
        <v>100</v>
      </c>
      <c r="V37" s="755" t="s">
        <v>25</v>
      </c>
      <c r="W37" s="756">
        <f t="shared" si="12"/>
        <v>100</v>
      </c>
      <c r="X37" s="757"/>
      <c r="Y37" s="3035"/>
      <c r="Z37" s="758">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35"/>
      <c r="Q38" s="1898" t="str">
        <f>B38</f>
        <v>宗地面积</v>
      </c>
      <c r="R38" s="752" t="s">
        <v>25</v>
      </c>
      <c r="S38" s="753" t="e">
        <f t="shared" si="10"/>
        <v>#N/A</v>
      </c>
      <c r="T38" s="752" t="s">
        <v>25</v>
      </c>
      <c r="U38" s="753" t="e">
        <f t="shared" si="11"/>
        <v>#N/A</v>
      </c>
      <c r="V38" s="752" t="s">
        <v>25</v>
      </c>
      <c r="W38" s="753" t="e">
        <f t="shared" si="12"/>
        <v>#N/A</v>
      </c>
      <c r="X38" s="1899"/>
      <c r="Y38" s="3035"/>
      <c r="Z38" s="1901" t="str">
        <f t="shared" si="13"/>
        <v>宗地面积</v>
      </c>
      <c r="AA38" s="1902" t="e">
        <f t="shared" si="3"/>
        <v>#N/A</v>
      </c>
      <c r="AB38" s="1902" t="e">
        <f t="shared" si="4"/>
        <v>#N/A</v>
      </c>
      <c r="AC38" s="1902"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35"/>
      <c r="Q39" s="1898" t="str">
        <f t="shared" ref="Q39:Q45" si="14">B39</f>
        <v>宗地形状</v>
      </c>
      <c r="R39" s="752" t="s">
        <v>25</v>
      </c>
      <c r="S39" s="753">
        <f t="shared" si="10"/>
        <v>100</v>
      </c>
      <c r="T39" s="752" t="s">
        <v>25</v>
      </c>
      <c r="U39" s="753">
        <f t="shared" si="11"/>
        <v>100</v>
      </c>
      <c r="V39" s="752" t="s">
        <v>25</v>
      </c>
      <c r="W39" s="753">
        <f t="shared" si="12"/>
        <v>100</v>
      </c>
      <c r="X39" s="1899"/>
      <c r="Y39" s="3035"/>
      <c r="Z39" s="1901" t="str">
        <f t="shared" si="13"/>
        <v>宗地形状</v>
      </c>
      <c r="AA39" s="1902">
        <f t="shared" si="3"/>
        <v>1</v>
      </c>
      <c r="AB39" s="1902">
        <f t="shared" si="4"/>
        <v>1</v>
      </c>
      <c r="AC39" s="1902">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35"/>
      <c r="Q40" s="1898" t="str">
        <f t="shared" si="14"/>
        <v>临街宽度及深度</v>
      </c>
      <c r="R40" s="752" t="s">
        <v>25</v>
      </c>
      <c r="S40" s="753">
        <f t="shared" si="10"/>
        <v>100</v>
      </c>
      <c r="T40" s="752" t="s">
        <v>25</v>
      </c>
      <c r="U40" s="753">
        <f t="shared" si="11"/>
        <v>100</v>
      </c>
      <c r="V40" s="752" t="s">
        <v>25</v>
      </c>
      <c r="W40" s="753">
        <f t="shared" si="12"/>
        <v>100</v>
      </c>
      <c r="X40" s="1899"/>
      <c r="Y40" s="3035"/>
      <c r="Z40" s="1901" t="str">
        <f t="shared" si="13"/>
        <v>临街宽度及深度</v>
      </c>
      <c r="AA40" s="1902">
        <f t="shared" si="3"/>
        <v>1</v>
      </c>
      <c r="AB40" s="1902">
        <f t="shared" si="4"/>
        <v>1</v>
      </c>
      <c r="AC40" s="1902">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35"/>
      <c r="Q41" s="1898" t="str">
        <f t="shared" si="14"/>
        <v>宗地开发程度</v>
      </c>
      <c r="R41" s="748" t="s">
        <v>25</v>
      </c>
      <c r="S41" s="749">
        <f t="shared" si="10"/>
        <v>100</v>
      </c>
      <c r="T41" s="748" t="s">
        <v>25</v>
      </c>
      <c r="U41" s="749">
        <f t="shared" si="11"/>
        <v>100</v>
      </c>
      <c r="V41" s="748" t="s">
        <v>25</v>
      </c>
      <c r="W41" s="749">
        <f t="shared" si="12"/>
        <v>100</v>
      </c>
      <c r="X41" s="750"/>
      <c r="Y41" s="3035"/>
      <c r="Z41" s="23" t="str">
        <f t="shared" si="13"/>
        <v>宗地开发程度</v>
      </c>
      <c r="AA41" s="751">
        <f t="shared" si="3"/>
        <v>1</v>
      </c>
      <c r="AB41" s="751">
        <f t="shared" si="4"/>
        <v>1</v>
      </c>
      <c r="AC41" s="751">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35" t="s">
        <v>2370</v>
      </c>
      <c r="Q42" s="1898" t="str">
        <f t="shared" si="14"/>
        <v>工程地质条件</v>
      </c>
      <c r="R42" s="752" t="s">
        <v>25</v>
      </c>
      <c r="S42" s="753">
        <f t="shared" si="10"/>
        <v>100</v>
      </c>
      <c r="T42" s="752" t="s">
        <v>25</v>
      </c>
      <c r="U42" s="753">
        <f t="shared" si="11"/>
        <v>100</v>
      </c>
      <c r="V42" s="752" t="s">
        <v>25</v>
      </c>
      <c r="W42" s="753">
        <f t="shared" si="12"/>
        <v>100</v>
      </c>
      <c r="X42" s="1899"/>
      <c r="Y42" s="3035" t="s">
        <v>2370</v>
      </c>
      <c r="Z42" s="1901" t="str">
        <f t="shared" si="13"/>
        <v>工程地质条件</v>
      </c>
      <c r="AA42" s="1902">
        <f t="shared" si="3"/>
        <v>1</v>
      </c>
      <c r="AB42" s="1902">
        <f t="shared" si="4"/>
        <v>1</v>
      </c>
      <c r="AC42" s="1902">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35"/>
      <c r="Q43" s="1898">
        <f t="shared" si="14"/>
        <v>111</v>
      </c>
      <c r="R43" s="752" t="s">
        <v>25</v>
      </c>
      <c r="S43" s="753">
        <f t="shared" si="10"/>
        <v>100</v>
      </c>
      <c r="T43" s="752" t="s">
        <v>25</v>
      </c>
      <c r="U43" s="753">
        <f t="shared" si="11"/>
        <v>100</v>
      </c>
      <c r="V43" s="752" t="s">
        <v>25</v>
      </c>
      <c r="W43" s="753">
        <f t="shared" si="12"/>
        <v>100</v>
      </c>
      <c r="X43" s="1899"/>
      <c r="Y43" s="3035"/>
      <c r="Z43" s="1901">
        <f t="shared" si="13"/>
        <v>111</v>
      </c>
      <c r="AA43" s="1902">
        <f t="shared" si="3"/>
        <v>1</v>
      </c>
      <c r="AB43" s="1902">
        <f t="shared" si="4"/>
        <v>1</v>
      </c>
      <c r="AC43" s="1902">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35"/>
      <c r="Q44" s="1898">
        <f t="shared" si="14"/>
        <v>111</v>
      </c>
      <c r="R44" s="752" t="s">
        <v>25</v>
      </c>
      <c r="S44" s="753">
        <f t="shared" si="10"/>
        <v>100</v>
      </c>
      <c r="T44" s="752" t="s">
        <v>25</v>
      </c>
      <c r="U44" s="753">
        <f t="shared" si="11"/>
        <v>100</v>
      </c>
      <c r="V44" s="752" t="s">
        <v>25</v>
      </c>
      <c r="W44" s="753">
        <f t="shared" si="12"/>
        <v>100</v>
      </c>
      <c r="X44" s="1899"/>
      <c r="Y44" s="3035"/>
      <c r="Z44" s="1901">
        <f t="shared" si="13"/>
        <v>111</v>
      </c>
      <c r="AA44" s="1902">
        <f t="shared" si="3"/>
        <v>1</v>
      </c>
      <c r="AB44" s="1902">
        <f t="shared" si="4"/>
        <v>1</v>
      </c>
      <c r="AC44" s="1902">
        <f t="shared" si="5"/>
        <v>1</v>
      </c>
    </row>
    <row r="45" spans="1:29" s="452" customFormat="1" ht="15.6"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35"/>
      <c r="Q45" s="1898">
        <f t="shared" si="14"/>
        <v>111</v>
      </c>
      <c r="R45" s="755" t="s">
        <v>25</v>
      </c>
      <c r="S45" s="756">
        <f t="shared" si="10"/>
        <v>100</v>
      </c>
      <c r="T45" s="755" t="s">
        <v>25</v>
      </c>
      <c r="U45" s="756">
        <f t="shared" si="11"/>
        <v>100</v>
      </c>
      <c r="V45" s="755" t="s">
        <v>25</v>
      </c>
      <c r="W45" s="756">
        <f t="shared" si="12"/>
        <v>100</v>
      </c>
      <c r="X45" s="757"/>
      <c r="Y45" s="3035"/>
      <c r="Z45" s="758">
        <f t="shared" si="13"/>
        <v>111</v>
      </c>
      <c r="AA45" s="1902">
        <f t="shared" si="3"/>
        <v>1</v>
      </c>
      <c r="AB45" s="1902">
        <f t="shared" si="4"/>
        <v>1</v>
      </c>
      <c r="AC45" s="1902">
        <f t="shared" si="5"/>
        <v>1</v>
      </c>
    </row>
    <row r="46" spans="1:29" ht="14.4">
      <c r="A46" s="460" t="s">
        <v>2518</v>
      </c>
      <c r="B46" s="2492" t="s">
        <v>2555</v>
      </c>
      <c r="C46" s="665" t="s">
        <v>1</v>
      </c>
      <c r="D46" s="462"/>
      <c r="E46" s="463"/>
      <c r="F46" s="464"/>
      <c r="G46" s="465"/>
      <c r="H46" s="466"/>
      <c r="I46" s="463"/>
      <c r="J46" s="466"/>
      <c r="K46" s="761"/>
      <c r="L46" s="1255"/>
      <c r="M46" s="1256"/>
      <c r="N46" s="1243"/>
      <c r="O46" s="1256"/>
      <c r="P46" s="3041" t="str">
        <f>A46</f>
        <v>成交单价</v>
      </c>
      <c r="Q46" s="3041"/>
      <c r="R46" s="3021">
        <f>E46</f>
        <v>0</v>
      </c>
      <c r="S46" s="3021"/>
      <c r="T46" s="3021">
        <f>G46</f>
        <v>0</v>
      </c>
      <c r="U46" s="3021"/>
      <c r="V46" s="3021">
        <f>I46</f>
        <v>0</v>
      </c>
      <c r="W46" s="3021"/>
      <c r="X46" s="737"/>
      <c r="Y46" s="759"/>
      <c r="Z46" s="737"/>
      <c r="AA46" s="737"/>
      <c r="AB46" s="737"/>
      <c r="AC46" s="737"/>
    </row>
    <row r="47" spans="1:29" ht="15" thickBot="1">
      <c r="A47" s="467" t="s">
        <v>2465</v>
      </c>
      <c r="B47" s="666"/>
      <c r="C47" s="471" t="e">
        <f>R48</f>
        <v>#DIV/0!</v>
      </c>
      <c r="D47" s="470"/>
      <c r="E47" s="471" t="e">
        <f>R47</f>
        <v>#DIV/0!</v>
      </c>
      <c r="F47" s="472"/>
      <c r="G47" s="469" t="e">
        <f>T47</f>
        <v>#DIV/0!</v>
      </c>
      <c r="H47" s="470"/>
      <c r="I47" s="471" t="e">
        <f>V47</f>
        <v>#DIV/0!</v>
      </c>
      <c r="J47" s="470"/>
      <c r="K47" s="762"/>
      <c r="L47" s="1255"/>
      <c r="M47" s="1256"/>
      <c r="N47" s="1256"/>
      <c r="O47" s="1256"/>
      <c r="P47" s="3041" t="str">
        <f>A47</f>
        <v>比较价值（元/平方米）</v>
      </c>
      <c r="Q47" s="3041"/>
      <c r="R47" s="3060" t="e">
        <f>ROUND(PRODUCT(R46,AA7:AA45),0)</f>
        <v>#DIV/0!</v>
      </c>
      <c r="S47" s="3060"/>
      <c r="T47" s="3060" t="e">
        <f>ROUND(PRODUCT(T46,AB7:AB45),0)</f>
        <v>#DIV/0!</v>
      </c>
      <c r="U47" s="3060"/>
      <c r="V47" s="3060" t="e">
        <f>ROUND(PRODUCT(V46,AC7:AC45),0)</f>
        <v>#DIV/0!</v>
      </c>
      <c r="W47" s="3060"/>
      <c r="X47" s="737"/>
      <c r="Y47" s="737"/>
      <c r="Z47" s="737"/>
      <c r="AA47" s="737"/>
      <c r="AB47" s="737"/>
      <c r="AC47" s="737"/>
    </row>
    <row r="48" spans="1:29" ht="15" thickBot="1">
      <c r="A48" s="473" t="s">
        <v>2488</v>
      </c>
      <c r="B48" s="474"/>
      <c r="C48" s="475" t="e">
        <f>R48</f>
        <v>#DIV/0!</v>
      </c>
      <c r="D48" s="475"/>
      <c r="E48" s="475"/>
      <c r="F48" s="475"/>
      <c r="G48" s="475"/>
      <c r="H48" s="475"/>
      <c r="I48" s="475"/>
      <c r="J48" s="475"/>
      <c r="K48" s="763"/>
      <c r="L48" s="1255"/>
      <c r="M48" s="1256"/>
      <c r="N48" s="1256"/>
      <c r="O48" s="1256"/>
      <c r="P48" s="3047" t="str">
        <f>A48</f>
        <v>估价对象XX用房的比较价值（楼面单价，元/平方米）</v>
      </c>
      <c r="Q48" s="3048"/>
      <c r="R48" s="3061" t="e">
        <f>ROUND(AVERAGE(R47:V47),0)</f>
        <v>#DIV/0!</v>
      </c>
      <c r="S48" s="3061"/>
      <c r="T48" s="3061"/>
      <c r="U48" s="3061"/>
      <c r="V48" s="3061"/>
      <c r="W48" s="3061"/>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4.4" thickBot="1">
      <c r="A54" s="1258"/>
      <c r="B54" s="1259"/>
      <c r="C54" s="740"/>
      <c r="D54" s="739"/>
      <c r="E54" s="739"/>
      <c r="F54" s="739"/>
      <c r="G54" s="739"/>
      <c r="H54" s="739"/>
      <c r="I54" s="739"/>
      <c r="J54" s="739"/>
      <c r="K54" s="1262"/>
      <c r="L54" s="1263"/>
      <c r="M54" s="1258"/>
      <c r="N54" s="1258"/>
      <c r="O54" s="1258"/>
    </row>
    <row r="55" spans="1:15" ht="28.8">
      <c r="A55" s="667" t="s">
        <v>2556</v>
      </c>
      <c r="B55" s="668" t="s">
        <v>2557</v>
      </c>
      <c r="C55" s="2493" t="s">
        <v>2558</v>
      </c>
      <c r="D55" s="2494" t="s">
        <v>2559</v>
      </c>
      <c r="E55" s="669" t="s">
        <v>2560</v>
      </c>
      <c r="F55" s="670" t="s">
        <v>2561</v>
      </c>
      <c r="G55" s="62" t="s">
        <v>2562</v>
      </c>
      <c r="H55" s="62">
        <f>项目基本情况!G8</f>
        <v>0</v>
      </c>
      <c r="I55" s="2495" t="s">
        <v>2563</v>
      </c>
      <c r="J55" s="738"/>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2565</v>
      </c>
      <c r="B57" s="178" t="e">
        <f>ROUND($C$48*C57*D57,0)</f>
        <v>#DIV/0!</v>
      </c>
      <c r="C57" s="117">
        <f>IF($C$55="北京市系数",G57,H57)</f>
        <v>0</v>
      </c>
      <c r="D57" s="1291">
        <v>0.25</v>
      </c>
      <c r="E57" s="677">
        <v>0</v>
      </c>
      <c r="F57" s="674" t="e">
        <f t="shared" si="15"/>
        <v>#DIV/0!</v>
      </c>
      <c r="G57" s="971">
        <f>SUMIF(修正!$A$45:$A$56,项目基本情况!$F$9,修正!B45:B56)</f>
        <v>0</v>
      </c>
      <c r="H57" s="972"/>
      <c r="I57" s="1256"/>
      <c r="J57" s="1261"/>
      <c r="K57" s="1257"/>
      <c r="L57" s="1257"/>
      <c r="M57" s="1256"/>
      <c r="N57" s="1256"/>
      <c r="O57" s="970"/>
    </row>
    <row r="58" spans="1:15" s="675" customFormat="1">
      <c r="A58" s="676" t="s">
        <v>2566</v>
      </c>
      <c r="B58" s="178" t="e">
        <f t="shared" ref="B58:B65" si="16">ROUND($C$48*C58*D58,0)</f>
        <v>#DIV/0!</v>
      </c>
      <c r="C58" s="117">
        <f t="shared" ref="C58:C65" si="17">IF($C$55="北京市系数",G58,H58)</f>
        <v>0</v>
      </c>
      <c r="D58" s="1291">
        <v>0.25</v>
      </c>
      <c r="E58" s="677">
        <v>0</v>
      </c>
      <c r="F58" s="674" t="e">
        <f t="shared" si="15"/>
        <v>#DIV/0!</v>
      </c>
      <c r="G58" s="971">
        <f>SUMIF(修正!$A$45:$A$56,项目基本情况!$F$9,修正!C45:C56)</f>
        <v>0</v>
      </c>
      <c r="H58" s="972"/>
      <c r="I58" s="1258"/>
      <c r="J58" s="1258"/>
      <c r="K58" s="1262"/>
      <c r="L58" s="1263"/>
      <c r="M58" s="1258"/>
      <c r="N58" s="1258"/>
      <c r="O58" s="970"/>
    </row>
    <row r="59" spans="1:15" s="675" customFormat="1">
      <c r="A59" s="676" t="s">
        <v>2567</v>
      </c>
      <c r="B59" s="178" t="e">
        <f t="shared" si="16"/>
        <v>#DIV/0!</v>
      </c>
      <c r="C59" s="117">
        <f t="shared" si="17"/>
        <v>0</v>
      </c>
      <c r="D59" s="1291">
        <v>0.25</v>
      </c>
      <c r="E59" s="677">
        <v>0</v>
      </c>
      <c r="F59" s="674" t="e">
        <f t="shared" si="15"/>
        <v>#DIV/0!</v>
      </c>
      <c r="G59" s="971">
        <f>SUMIF(修正!$A$45:$A$56,项目基本情况!$F$9,修正!D45:D56)</f>
        <v>0</v>
      </c>
      <c r="H59" s="972"/>
      <c r="I59" s="1256"/>
      <c r="J59" s="1261"/>
      <c r="K59" s="1257"/>
      <c r="L59" s="1257"/>
      <c r="M59" s="1256"/>
      <c r="N59" s="1256"/>
      <c r="O59" s="970"/>
    </row>
    <row r="60" spans="1:15" s="675" customFormat="1">
      <c r="A60" s="676" t="s">
        <v>2568</v>
      </c>
      <c r="B60" s="178" t="e">
        <f t="shared" si="16"/>
        <v>#DIV/0!</v>
      </c>
      <c r="C60" s="117">
        <f t="shared" si="17"/>
        <v>0</v>
      </c>
      <c r="D60" s="1291">
        <v>0.25</v>
      </c>
      <c r="E60" s="677">
        <v>0</v>
      </c>
      <c r="F60" s="674" t="e">
        <f t="shared" si="15"/>
        <v>#DIV/0!</v>
      </c>
      <c r="G60" s="971">
        <f>SUMIF(修正!$A$45:$A$56,项目基本情况!$F$9,修正!E45:E56)</f>
        <v>0</v>
      </c>
      <c r="H60" s="972"/>
      <c r="I60" s="1258"/>
      <c r="J60" s="1258"/>
      <c r="K60" s="1262"/>
      <c r="L60" s="1263"/>
      <c r="M60" s="1258"/>
      <c r="N60" s="1258"/>
      <c r="O60" s="970"/>
    </row>
    <row r="61" spans="1:15" s="675" customFormat="1">
      <c r="A61" s="676" t="s">
        <v>2569</v>
      </c>
      <c r="B61" s="178" t="e">
        <f t="shared" si="16"/>
        <v>#DIV/0!</v>
      </c>
      <c r="C61" s="117">
        <f t="shared" si="17"/>
        <v>0</v>
      </c>
      <c r="D61" s="1291">
        <v>0.25</v>
      </c>
      <c r="E61" s="677">
        <v>0</v>
      </c>
      <c r="F61" s="674" t="e">
        <f t="shared" si="15"/>
        <v>#DIV/0!</v>
      </c>
      <c r="G61" s="971">
        <f>SUMIF(修正!A45:A56,项目基本情况!F9,修正!F45:F56)</f>
        <v>0</v>
      </c>
      <c r="H61" s="972"/>
      <c r="I61" s="1256"/>
      <c r="J61" s="1261"/>
      <c r="K61" s="1257"/>
      <c r="L61" s="1257"/>
      <c r="M61" s="1256"/>
      <c r="N61" s="1256"/>
      <c r="O61" s="970"/>
    </row>
    <row r="62" spans="1:15" s="675" customFormat="1">
      <c r="A62" s="676" t="s">
        <v>2570</v>
      </c>
      <c r="B62" s="178" t="e">
        <f t="shared" si="16"/>
        <v>#DIV/0!</v>
      </c>
      <c r="C62" s="117">
        <f t="shared" si="17"/>
        <v>0</v>
      </c>
      <c r="D62" s="1291">
        <v>0.25</v>
      </c>
      <c r="E62" s="677">
        <v>0</v>
      </c>
      <c r="F62" s="674" t="e">
        <f t="shared" si="15"/>
        <v>#DIV/0!</v>
      </c>
      <c r="G62" s="971">
        <f>SUMIF(修正!A45:A56,项目基本情况!F9,修正!G45:G56)</f>
        <v>0</v>
      </c>
      <c r="H62" s="972"/>
      <c r="I62" s="1258"/>
      <c r="J62" s="1258"/>
      <c r="K62" s="1262"/>
      <c r="L62" s="1263"/>
      <c r="M62" s="1258"/>
      <c r="N62" s="1258"/>
      <c r="O62" s="970"/>
    </row>
    <row r="63" spans="1:15" s="675" customFormat="1">
      <c r="A63" s="676" t="s">
        <v>2571</v>
      </c>
      <c r="B63" s="178" t="e">
        <f t="shared" si="16"/>
        <v>#DIV/0!</v>
      </c>
      <c r="C63" s="117">
        <f>IF($C$55="北京市系数",G63,H63)</f>
        <v>0</v>
      </c>
      <c r="D63" s="1291">
        <v>0.25</v>
      </c>
      <c r="E63" s="677">
        <v>0</v>
      </c>
      <c r="F63" s="674" t="e">
        <f t="shared" si="15"/>
        <v>#DIV/0!</v>
      </c>
      <c r="G63" s="971">
        <f>SUMIF(修正!A45:A56,项目基本情况!F9,修正!H45:H56)</f>
        <v>0</v>
      </c>
      <c r="H63" s="972"/>
      <c r="I63" s="1256"/>
      <c r="J63" s="1261"/>
      <c r="K63" s="1257"/>
      <c r="L63" s="1257"/>
      <c r="M63" s="1256"/>
      <c r="N63" s="1256"/>
      <c r="O63" s="970"/>
    </row>
    <row r="64" spans="1:15" s="675" customFormat="1">
      <c r="A64" s="676" t="s">
        <v>2572</v>
      </c>
      <c r="B64" s="178" t="e">
        <f t="shared" si="16"/>
        <v>#DIV/0!</v>
      </c>
      <c r="C64" s="117">
        <f t="shared" si="17"/>
        <v>0</v>
      </c>
      <c r="D64" s="1291">
        <v>0.25</v>
      </c>
      <c r="E64" s="677">
        <v>0</v>
      </c>
      <c r="F64" s="674" t="e">
        <f t="shared" si="15"/>
        <v>#DIV/0!</v>
      </c>
      <c r="G64" s="971">
        <f>G63</f>
        <v>0</v>
      </c>
      <c r="H64" s="972"/>
      <c r="I64" s="1258"/>
      <c r="J64" s="1258"/>
      <c r="K64" s="1262"/>
      <c r="L64" s="1263"/>
      <c r="M64" s="1258"/>
      <c r="N64" s="1258"/>
      <c r="O64" s="970"/>
    </row>
    <row r="65" spans="1:17" s="675" customFormat="1">
      <c r="A65" s="676" t="s">
        <v>2573</v>
      </c>
      <c r="B65" s="178" t="e">
        <f t="shared" si="16"/>
        <v>#DIV/0!</v>
      </c>
      <c r="C65" s="117">
        <f t="shared" si="17"/>
        <v>0</v>
      </c>
      <c r="D65" s="1291">
        <v>0.25</v>
      </c>
      <c r="E65" s="677">
        <v>0</v>
      </c>
      <c r="F65" s="674" t="e">
        <f t="shared" si="15"/>
        <v>#DIV/0!</v>
      </c>
      <c r="G65" s="971">
        <f>G63</f>
        <v>0</v>
      </c>
      <c r="H65" s="972"/>
      <c r="I65" s="1256"/>
      <c r="J65" s="1261"/>
      <c r="K65" s="1257"/>
      <c r="L65" s="1257"/>
      <c r="M65" s="1256"/>
      <c r="N65" s="1256"/>
      <c r="O65" s="970"/>
    </row>
    <row r="66" spans="1:17" s="675" customFormat="1" thickBot="1">
      <c r="A66" s="679" t="s">
        <v>2574</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7"/>
      <c r="B68" s="1669"/>
      <c r="C68" s="1669" t="str">
        <f>YEAR(C7)&amp;"-"&amp;MONTH(C7)&amp;"-1"</f>
        <v>2018-8-1</v>
      </c>
      <c r="D68" s="1669">
        <f>EDATE(C68,-3)</f>
        <v>43221</v>
      </c>
      <c r="E68" s="1669">
        <f t="shared" ref="E68:O68" si="18">EDATE(D68,-3)</f>
        <v>43132</v>
      </c>
      <c r="F68" s="1669">
        <f t="shared" si="18"/>
        <v>43040</v>
      </c>
      <c r="G68" s="1669">
        <f t="shared" si="18"/>
        <v>42948</v>
      </c>
      <c r="H68" s="1669">
        <f t="shared" si="18"/>
        <v>42856</v>
      </c>
      <c r="I68" s="1669">
        <f t="shared" si="18"/>
        <v>42767</v>
      </c>
      <c r="J68" s="1669">
        <f t="shared" si="18"/>
        <v>42675</v>
      </c>
      <c r="K68" s="1669">
        <f t="shared" si="18"/>
        <v>42583</v>
      </c>
      <c r="L68" s="1669">
        <f t="shared" si="18"/>
        <v>42491</v>
      </c>
      <c r="M68" s="1669">
        <f t="shared" si="18"/>
        <v>42401</v>
      </c>
      <c r="N68" s="1669">
        <f t="shared" si="18"/>
        <v>42309</v>
      </c>
      <c r="O68" s="1669">
        <f t="shared" si="18"/>
        <v>42217</v>
      </c>
    </row>
    <row r="69" spans="1:17" ht="22.2" thickBot="1">
      <c r="A69" s="741" t="s">
        <v>2470</v>
      </c>
      <c r="B69" s="737"/>
      <c r="C69" s="742"/>
      <c r="D69" s="742"/>
      <c r="E69" s="742"/>
      <c r="F69" s="743"/>
      <c r="G69" s="743"/>
      <c r="H69" s="742"/>
      <c r="I69" s="1272"/>
      <c r="J69" s="1272"/>
      <c r="K69" s="1270"/>
      <c r="L69" s="1271"/>
      <c r="M69" s="1272"/>
      <c r="N69" s="1272"/>
      <c r="O69" s="1272"/>
      <c r="P69" s="484"/>
      <c r="Q69" s="485"/>
    </row>
    <row r="70" spans="1:17" s="1673" customFormat="1" ht="14.4">
      <c r="A70" s="2496" t="s">
        <v>2575</v>
      </c>
      <c r="B70" s="1455"/>
      <c r="C70" s="1670" t="str">
        <f>YEAR(C68)&amp;"-"&amp;ROUNDUP(MONTH(C68)/3,0)</f>
        <v>2018-3</v>
      </c>
      <c r="D70" s="1670" t="str">
        <f>YEAR(D68)&amp;"-"&amp;ROUNDUP(MONTH(D68)/3,0)</f>
        <v>2018-2</v>
      </c>
      <c r="E70" s="1670" t="str">
        <f t="shared" ref="E70:O70" si="19">YEAR(E68)&amp;"-"&amp;ROUNDUP(MONTH(E68)/3,0)</f>
        <v>2018-1</v>
      </c>
      <c r="F70" s="1670" t="str">
        <f t="shared" si="19"/>
        <v>2017-4</v>
      </c>
      <c r="G70" s="1670" t="str">
        <f t="shared" si="19"/>
        <v>2017-3</v>
      </c>
      <c r="H70" s="1670" t="str">
        <f t="shared" si="19"/>
        <v>2017-2</v>
      </c>
      <c r="I70" s="1670" t="str">
        <f t="shared" si="19"/>
        <v>2017-1</v>
      </c>
      <c r="J70" s="1670" t="str">
        <f t="shared" si="19"/>
        <v>2016-4</v>
      </c>
      <c r="K70" s="1670" t="str">
        <f t="shared" si="19"/>
        <v>2016-3</v>
      </c>
      <c r="L70" s="1670" t="str">
        <f t="shared" si="19"/>
        <v>2016-2</v>
      </c>
      <c r="M70" s="1670" t="str">
        <f t="shared" si="19"/>
        <v>2016-1</v>
      </c>
      <c r="N70" s="1670" t="str">
        <f t="shared" si="19"/>
        <v>2015-4</v>
      </c>
      <c r="O70" s="1670" t="str">
        <f t="shared" si="19"/>
        <v>2015-3</v>
      </c>
      <c r="P70" s="1672"/>
    </row>
    <row r="71" spans="1:17" s="35" customFormat="1" ht="29.25" customHeight="1">
      <c r="A71" s="2497" t="s">
        <v>2576</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8"/>
      <c r="N71" s="579"/>
      <c r="O71" s="1674"/>
      <c r="P71" s="485"/>
    </row>
    <row r="72" spans="1:17" s="35" customFormat="1" ht="15" thickBot="1">
      <c r="A72" s="496" t="s">
        <v>2390</v>
      </c>
      <c r="B72" s="497"/>
      <c r="C72" s="498"/>
      <c r="D72" s="499"/>
      <c r="E72" s="499"/>
      <c r="F72" s="499"/>
      <c r="G72" s="499"/>
      <c r="H72" s="499"/>
      <c r="I72" s="499"/>
      <c r="J72" s="499"/>
      <c r="K72" s="499"/>
      <c r="L72" s="499"/>
      <c r="M72" s="500"/>
      <c r="N72" s="499"/>
      <c r="O72" s="1675"/>
      <c r="P72" s="485"/>
      <c r="Q72" s="485"/>
    </row>
    <row r="73" spans="1:17" s="35" customFormat="1" ht="14.4">
      <c r="A73" s="502" t="s">
        <v>2354</v>
      </c>
      <c r="B73" s="491"/>
      <c r="C73" s="503" t="s">
        <v>2355</v>
      </c>
      <c r="D73" s="504"/>
      <c r="E73" s="504"/>
      <c r="F73" s="504"/>
      <c r="G73" s="504"/>
      <c r="H73" s="504"/>
      <c r="I73" s="504"/>
      <c r="J73" s="504"/>
      <c r="K73" s="504"/>
      <c r="L73" s="505"/>
      <c r="M73" s="506"/>
      <c r="N73" s="1265"/>
      <c r="O73" s="1265"/>
      <c r="P73" s="507"/>
      <c r="Q73" s="485"/>
    </row>
    <row r="74" spans="1:17" s="35" customFormat="1" ht="14.4" thickBot="1">
      <c r="A74" s="502"/>
      <c r="B74" s="491"/>
      <c r="C74" s="623">
        <v>100</v>
      </c>
      <c r="D74" s="493"/>
      <c r="E74" s="493"/>
      <c r="F74" s="493"/>
      <c r="G74" s="493"/>
      <c r="H74" s="493"/>
      <c r="I74" s="493"/>
      <c r="J74" s="493"/>
      <c r="K74" s="493"/>
      <c r="L74" s="493"/>
      <c r="M74" s="495"/>
      <c r="N74" s="1265"/>
      <c r="O74" s="1265"/>
      <c r="P74" s="485"/>
      <c r="Q74" s="485"/>
    </row>
    <row r="75" spans="1:17" ht="14.4">
      <c r="A75" s="508" t="s">
        <v>2393</v>
      </c>
      <c r="B75" s="509" t="s">
        <v>2358</v>
      </c>
      <c r="C75" s="511"/>
      <c r="D75" s="511"/>
      <c r="E75" s="511"/>
      <c r="F75" s="511"/>
      <c r="G75" s="511"/>
      <c r="H75" s="511"/>
      <c r="I75" s="511"/>
      <c r="J75" s="511"/>
      <c r="K75" s="512"/>
      <c r="L75" s="513"/>
      <c r="M75" s="514"/>
      <c r="N75" s="1266"/>
      <c r="O75" s="1266"/>
      <c r="P75" s="22"/>
      <c r="Q75" s="485"/>
    </row>
    <row r="76" spans="1:17" ht="14.4" thickBot="1">
      <c r="A76" s="516"/>
      <c r="B76" s="517"/>
      <c r="C76" s="518"/>
      <c r="D76" s="518"/>
      <c r="E76" s="518"/>
      <c r="F76" s="518"/>
      <c r="G76" s="518"/>
      <c r="H76" s="518"/>
      <c r="I76" s="518"/>
      <c r="J76" s="518"/>
      <c r="K76" s="518"/>
      <c r="L76" s="518"/>
      <c r="M76" s="519"/>
      <c r="N76" s="1267"/>
      <c r="O76" s="1267"/>
      <c r="P76" s="22"/>
      <c r="Q76" s="485"/>
    </row>
    <row r="77" spans="1:17" ht="29.4" thickTop="1">
      <c r="A77" s="516"/>
      <c r="B77" s="521" t="s">
        <v>2361</v>
      </c>
      <c r="C77" s="522"/>
      <c r="D77" s="522"/>
      <c r="E77" s="522"/>
      <c r="F77" s="522"/>
      <c r="G77" s="522"/>
      <c r="H77" s="522"/>
      <c r="I77" s="522"/>
      <c r="J77" s="522"/>
      <c r="K77" s="523"/>
      <c r="L77" s="524"/>
      <c r="M77" s="525"/>
      <c r="N77" s="1266"/>
      <c r="O77" s="1266"/>
      <c r="P77" s="22"/>
      <c r="Q77" s="485"/>
    </row>
    <row r="78" spans="1:17" ht="14.4" thickBot="1">
      <c r="A78" s="516"/>
      <c r="B78" s="526"/>
      <c r="C78" s="527"/>
      <c r="D78" s="527"/>
      <c r="E78" s="527"/>
      <c r="F78" s="527"/>
      <c r="G78" s="527"/>
      <c r="H78" s="527"/>
      <c r="I78" s="527"/>
      <c r="J78" s="527"/>
      <c r="K78" s="527"/>
      <c r="L78" s="527"/>
      <c r="M78" s="528"/>
      <c r="N78" s="1267"/>
      <c r="O78" s="1267"/>
      <c r="P78" s="22"/>
      <c r="Q78" s="485"/>
    </row>
    <row r="79" spans="1:17" ht="1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c r="A80" s="516"/>
      <c r="B80" s="531"/>
      <c r="C80" s="532"/>
      <c r="D80" s="532"/>
      <c r="E80" s="532"/>
      <c r="F80" s="532"/>
      <c r="G80" s="532"/>
      <c r="H80" s="532"/>
      <c r="I80" s="532"/>
      <c r="J80" s="532"/>
      <c r="K80" s="533"/>
      <c r="L80" s="534"/>
      <c r="M80" s="535"/>
      <c r="N80" s="1266"/>
      <c r="O80" s="1266"/>
      <c r="P80" s="22"/>
      <c r="Q80" s="485"/>
    </row>
    <row r="81" spans="1:17" ht="14.4"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4.4"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4.4" thickBot="1">
      <c r="A83" s="536"/>
      <c r="B83" s="526"/>
      <c r="C83" s="544"/>
      <c r="D83" s="518"/>
      <c r="E83" s="518"/>
      <c r="F83" s="518"/>
      <c r="G83" s="518"/>
      <c r="H83" s="518"/>
      <c r="I83" s="518"/>
      <c r="J83" s="518"/>
      <c r="K83" s="518"/>
      <c r="L83" s="518"/>
      <c r="M83" s="519"/>
      <c r="N83" s="1267"/>
      <c r="O83" s="1267"/>
      <c r="P83" s="542"/>
      <c r="Q83" s="543"/>
    </row>
    <row r="84" spans="1:17" s="452" customFormat="1" ht="14.4" thickTop="1">
      <c r="A84" s="536"/>
      <c r="B84" s="521">
        <f>B13</f>
        <v>111</v>
      </c>
      <c r="C84" s="537"/>
      <c r="D84" s="537"/>
      <c r="E84" s="537"/>
      <c r="F84" s="537"/>
      <c r="G84" s="537"/>
      <c r="H84" s="538"/>
      <c r="I84" s="538"/>
      <c r="J84" s="538"/>
      <c r="K84" s="538"/>
      <c r="L84" s="539"/>
      <c r="M84" s="540"/>
      <c r="N84" s="1268"/>
      <c r="O84" s="1268"/>
      <c r="P84" s="451"/>
      <c r="Q84" s="545"/>
    </row>
    <row r="85" spans="1:17" s="452" customFormat="1" ht="14.4" thickBot="1">
      <c r="A85" s="536"/>
      <c r="B85" s="526"/>
      <c r="C85" s="544"/>
      <c r="D85" s="544"/>
      <c r="E85" s="544"/>
      <c r="F85" s="544"/>
      <c r="G85" s="544"/>
      <c r="H85" s="546"/>
      <c r="I85" s="546"/>
      <c r="J85" s="546"/>
      <c r="K85" s="546"/>
      <c r="L85" s="546"/>
      <c r="M85" s="547"/>
      <c r="N85" s="1268"/>
      <c r="O85" s="1268"/>
      <c r="P85" s="542"/>
      <c r="Q85" s="543"/>
    </row>
    <row r="86" spans="1:17" s="452" customFormat="1" ht="14.4" thickTop="1">
      <c r="A86" s="536"/>
      <c r="B86" s="529">
        <f>B14</f>
        <v>111</v>
      </c>
      <c r="C86" s="504"/>
      <c r="D86" s="504"/>
      <c r="E86" s="504"/>
      <c r="F86" s="504"/>
      <c r="G86" s="504"/>
      <c r="H86" s="548"/>
      <c r="I86" s="548"/>
      <c r="J86" s="548"/>
      <c r="K86" s="548"/>
      <c r="L86" s="549"/>
      <c r="M86" s="550"/>
      <c r="N86" s="1268"/>
      <c r="O86" s="1268"/>
      <c r="P86" s="551"/>
      <c r="Q86" s="543"/>
    </row>
    <row r="87" spans="1:17" s="452" customFormat="1" ht="14.4" thickBot="1">
      <c r="A87" s="552"/>
      <c r="B87" s="553"/>
      <c r="C87" s="554"/>
      <c r="D87" s="554"/>
      <c r="E87" s="554"/>
      <c r="F87" s="554"/>
      <c r="G87" s="554"/>
      <c r="H87" s="555"/>
      <c r="I87" s="555"/>
      <c r="J87" s="555"/>
      <c r="K87" s="555"/>
      <c r="L87" s="555"/>
      <c r="M87" s="556"/>
      <c r="N87" s="1268"/>
      <c r="O87" s="1268"/>
      <c r="P87" s="542"/>
      <c r="Q87" s="543"/>
    </row>
    <row r="88" spans="1:17" ht="14.4">
      <c r="A88" s="508" t="s">
        <v>2363</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4.4"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4.4"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4.4"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4.4"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29.4"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4.4"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9.4"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4.4"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 thickTop="1">
      <c r="A100" s="563"/>
      <c r="B100" s="529" t="s">
        <v>2450</v>
      </c>
      <c r="C100" s="557" t="s">
        <v>2402</v>
      </c>
      <c r="D100" s="557" t="s">
        <v>2403</v>
      </c>
      <c r="E100" s="557" t="s">
        <v>2404</v>
      </c>
      <c r="F100" s="557" t="s">
        <v>2405</v>
      </c>
      <c r="G100" s="557" t="s">
        <v>2406</v>
      </c>
      <c r="H100" s="522"/>
      <c r="I100" s="522"/>
      <c r="J100" s="522"/>
      <c r="K100" s="522"/>
      <c r="L100" s="522"/>
      <c r="M100" s="1466"/>
      <c r="N100" s="1267"/>
      <c r="O100" s="1267"/>
      <c r="P100" s="22"/>
      <c r="Q100" s="485"/>
    </row>
    <row r="101" spans="1:17" s="35" customFormat="1" ht="14.4"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4.4"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4.4"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9.4" thickTop="1">
      <c r="A106" s="516"/>
      <c r="B106" s="521" t="s">
        <v>2482</v>
      </c>
      <c r="C106" s="537"/>
      <c r="D106" s="537"/>
      <c r="E106" s="537"/>
      <c r="F106" s="537"/>
      <c r="G106" s="537"/>
      <c r="H106" s="567"/>
      <c r="I106" s="567"/>
      <c r="J106" s="567"/>
      <c r="K106" s="568"/>
      <c r="L106" s="569"/>
      <c r="M106" s="570"/>
      <c r="N106" s="1266"/>
      <c r="O106" s="1266"/>
      <c r="P106" s="22"/>
      <c r="Q106" s="485"/>
    </row>
    <row r="107" spans="1:17" ht="14.4"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 thickTop="1">
      <c r="A108" s="516"/>
      <c r="B108" s="521" t="s">
        <v>2549</v>
      </c>
      <c r="C108" s="567"/>
      <c r="D108" s="567"/>
      <c r="E108" s="567"/>
      <c r="F108" s="567"/>
      <c r="G108" s="567"/>
      <c r="H108" s="567"/>
      <c r="I108" s="567"/>
      <c r="J108" s="567"/>
      <c r="K108" s="568"/>
      <c r="L108" s="569"/>
      <c r="M108" s="570"/>
      <c r="N108" s="1266"/>
      <c r="O108" s="1266"/>
      <c r="P108" s="22"/>
      <c r="Q108" s="485"/>
    </row>
    <row r="109" spans="1:17" ht="14.4"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4.4" thickTop="1">
      <c r="A110" s="516"/>
      <c r="B110" s="529">
        <f>B35</f>
        <v>111</v>
      </c>
      <c r="C110" s="537"/>
      <c r="D110" s="537"/>
      <c r="E110" s="537"/>
      <c r="F110" s="537"/>
      <c r="G110" s="571"/>
      <c r="H110" s="571"/>
      <c r="I110" s="571"/>
      <c r="J110" s="571"/>
      <c r="K110" s="572"/>
      <c r="L110" s="573"/>
      <c r="M110" s="574"/>
      <c r="N110" s="1266"/>
      <c r="O110" s="1266"/>
      <c r="P110" s="22"/>
      <c r="Q110" s="485"/>
    </row>
    <row r="111" spans="1:17" ht="14.4" thickBot="1">
      <c r="A111" s="516"/>
      <c r="B111" s="553"/>
      <c r="C111" s="544"/>
      <c r="D111" s="544"/>
      <c r="E111" s="544"/>
      <c r="F111" s="544"/>
      <c r="G111" s="575"/>
      <c r="H111" s="575"/>
      <c r="I111" s="575"/>
      <c r="J111" s="575"/>
      <c r="K111" s="575"/>
      <c r="L111" s="575"/>
      <c r="M111" s="576"/>
      <c r="N111" s="1267"/>
      <c r="O111" s="1267"/>
      <c r="P111" s="22"/>
      <c r="Q111" s="485"/>
    </row>
    <row r="112" spans="1:17" ht="14.4" thickTop="1">
      <c r="A112" s="658"/>
      <c r="B112" s="521">
        <f>B36</f>
        <v>111</v>
      </c>
      <c r="C112" s="504"/>
      <c r="D112" s="504"/>
      <c r="E112" s="504"/>
      <c r="F112" s="504"/>
      <c r="G112" s="567"/>
      <c r="H112" s="567"/>
      <c r="I112" s="567"/>
      <c r="J112" s="567"/>
      <c r="K112" s="568"/>
      <c r="L112" s="569"/>
      <c r="M112" s="570"/>
      <c r="N112" s="1266"/>
      <c r="O112" s="1266"/>
      <c r="P112" s="22"/>
      <c r="Q112" s="485"/>
    </row>
    <row r="113" spans="1:17" ht="14.4" thickBot="1">
      <c r="A113" s="516"/>
      <c r="B113" s="526"/>
      <c r="C113" s="554"/>
      <c r="D113" s="554"/>
      <c r="E113" s="554"/>
      <c r="F113" s="554"/>
      <c r="G113" s="518"/>
      <c r="H113" s="518"/>
      <c r="I113" s="518"/>
      <c r="J113" s="518"/>
      <c r="K113" s="518"/>
      <c r="L113" s="518"/>
      <c r="M113" s="519"/>
      <c r="N113" s="1267"/>
      <c r="O113" s="1267"/>
      <c r="P113" s="22"/>
      <c r="Q113" s="485"/>
    </row>
    <row r="114" spans="1:17" s="452" customFormat="1" ht="14.4"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4.4" thickBot="1">
      <c r="A115" s="536"/>
      <c r="B115" s="529"/>
      <c r="C115" s="493"/>
      <c r="D115" s="660"/>
      <c r="E115" s="660"/>
      <c r="F115" s="660"/>
      <c r="G115" s="660"/>
      <c r="H115" s="660"/>
      <c r="I115" s="660"/>
      <c r="J115" s="660"/>
      <c r="K115" s="660"/>
      <c r="L115" s="660"/>
      <c r="M115" s="683"/>
      <c r="N115" s="1267"/>
      <c r="O115" s="1267"/>
      <c r="P115" s="542"/>
      <c r="Q115" s="543"/>
    </row>
    <row r="116" spans="1:17" ht="14.4">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c r="A117" s="516"/>
      <c r="B117" s="529"/>
      <c r="C117" s="579"/>
      <c r="D117" s="579"/>
      <c r="E117" s="579"/>
      <c r="F117" s="579"/>
      <c r="G117" s="579"/>
      <c r="H117" s="579"/>
      <c r="I117" s="579"/>
      <c r="J117" s="580"/>
      <c r="K117" s="580"/>
      <c r="L117" s="581"/>
      <c r="M117" s="582"/>
      <c r="N117" s="1266"/>
      <c r="O117" s="1266"/>
      <c r="P117" s="22"/>
      <c r="Q117" s="485"/>
    </row>
    <row r="118" spans="1:17" ht="14.4"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4.4"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4.4"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4.4"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4.4"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4.4" thickTop="1">
      <c r="A127" s="583"/>
      <c r="B127" s="521">
        <f>B43</f>
        <v>111</v>
      </c>
      <c r="C127" s="537"/>
      <c r="D127" s="537"/>
      <c r="E127" s="537"/>
      <c r="F127" s="537"/>
      <c r="G127" s="537"/>
      <c r="H127" s="567"/>
      <c r="I127" s="567"/>
      <c r="J127" s="567"/>
      <c r="K127" s="568"/>
      <c r="L127" s="569"/>
      <c r="M127" s="570"/>
      <c r="N127" s="1266"/>
      <c r="O127" s="1266"/>
      <c r="P127" s="22"/>
      <c r="Q127" s="485"/>
    </row>
    <row r="128" spans="1:17" ht="14.4" thickBot="1">
      <c r="A128" s="516"/>
      <c r="B128" s="526"/>
      <c r="C128" s="544"/>
      <c r="D128" s="544"/>
      <c r="E128" s="544"/>
      <c r="F128" s="544"/>
      <c r="G128" s="518"/>
      <c r="H128" s="518"/>
      <c r="I128" s="518"/>
      <c r="J128" s="518"/>
      <c r="K128" s="518"/>
      <c r="L128" s="518"/>
      <c r="M128" s="519"/>
      <c r="N128" s="1267"/>
      <c r="O128" s="1267"/>
      <c r="P128" s="22"/>
      <c r="Q128" s="485"/>
    </row>
    <row r="129" spans="1:17" ht="14.4" thickTop="1">
      <c r="A129" s="583"/>
      <c r="B129" s="521">
        <f>B44</f>
        <v>111</v>
      </c>
      <c r="C129" s="504"/>
      <c r="D129" s="504"/>
      <c r="E129" s="504"/>
      <c r="F129" s="504"/>
      <c r="G129" s="567"/>
      <c r="H129" s="567"/>
      <c r="I129" s="567"/>
      <c r="J129" s="567"/>
      <c r="K129" s="568"/>
      <c r="L129" s="569"/>
      <c r="M129" s="570"/>
      <c r="N129" s="1266"/>
      <c r="O129" s="1266"/>
      <c r="P129" s="22"/>
      <c r="Q129" s="485"/>
    </row>
    <row r="130" spans="1:17" ht="14.4" thickBot="1">
      <c r="A130" s="516"/>
      <c r="B130" s="526"/>
      <c r="C130" s="554"/>
      <c r="D130" s="554"/>
      <c r="E130" s="554"/>
      <c r="F130" s="554"/>
      <c r="G130" s="518"/>
      <c r="H130" s="518"/>
      <c r="I130" s="518"/>
      <c r="J130" s="518"/>
      <c r="K130" s="518"/>
      <c r="L130" s="518"/>
      <c r="M130" s="519"/>
      <c r="N130" s="1267"/>
      <c r="O130" s="1267"/>
      <c r="P130" s="22"/>
      <c r="Q130" s="485"/>
    </row>
    <row r="131" spans="1:17" s="452" customFormat="1" ht="14.4"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4.4"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377" customFormat="1" ht="28.5" customHeight="1">
      <c r="A1" s="373" t="s">
        <v>2541</v>
      </c>
      <c r="B1" s="374"/>
      <c r="C1" s="375" t="s">
        <v>2589</v>
      </c>
      <c r="D1" s="733"/>
      <c r="E1" s="733"/>
      <c r="F1" s="732" t="s">
        <v>2337</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2008</v>
      </c>
      <c r="B2" s="654" t="e">
        <f>F61</f>
        <v>#DIV/0!</v>
      </c>
      <c r="C2" s="731" t="s">
        <v>2543</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2009</v>
      </c>
      <c r="B3" s="593" t="e">
        <f>ROUND(B2/'数据-取费表'!B5,0)</f>
        <v>#DIV/0!</v>
      </c>
      <c r="C3" s="731" t="s">
        <v>2544</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4.4">
      <c r="A4" s="380" t="s">
        <v>2339</v>
      </c>
      <c r="B4" s="381"/>
      <c r="C4" s="3005" t="s">
        <v>2340</v>
      </c>
      <c r="D4" s="3006"/>
      <c r="E4" s="3007" t="s">
        <v>2341</v>
      </c>
      <c r="F4" s="3008"/>
      <c r="G4" s="3005" t="s">
        <v>2342</v>
      </c>
      <c r="H4" s="3006"/>
      <c r="I4" s="3005" t="s">
        <v>2343</v>
      </c>
      <c r="J4" s="3006"/>
      <c r="K4" s="594" t="s">
        <v>2344</v>
      </c>
      <c r="L4" s="1242"/>
      <c r="M4" s="1243"/>
      <c r="N4" s="1243"/>
      <c r="O4" s="1243"/>
      <c r="P4" s="3009" t="s">
        <v>2345</v>
      </c>
      <c r="Q4" s="3010"/>
      <c r="R4" s="3015" t="s">
        <v>2341</v>
      </c>
      <c r="S4" s="3016"/>
      <c r="T4" s="3015" t="s">
        <v>2342</v>
      </c>
      <c r="U4" s="3016"/>
      <c r="V4" s="3021" t="s">
        <v>2343</v>
      </c>
      <c r="W4" s="3021"/>
      <c r="X4" s="1899"/>
      <c r="Y4" s="3015" t="s">
        <v>2345</v>
      </c>
      <c r="Z4" s="3016"/>
      <c r="AA4" s="3002" t="s">
        <v>2341</v>
      </c>
      <c r="AB4" s="3003" t="s">
        <v>2342</v>
      </c>
      <c r="AC4" s="3002" t="s">
        <v>2343</v>
      </c>
    </row>
    <row r="5" spans="1:29">
      <c r="A5" s="383"/>
      <c r="B5" s="384"/>
      <c r="C5" s="3024" t="s">
        <v>2346</v>
      </c>
      <c r="D5" s="3025"/>
      <c r="E5" s="3022" t="s">
        <v>2347</v>
      </c>
      <c r="F5" s="3023"/>
      <c r="G5" s="3024" t="s">
        <v>2348</v>
      </c>
      <c r="H5" s="3025"/>
      <c r="I5" s="3024" t="s">
        <v>2349</v>
      </c>
      <c r="J5" s="3025"/>
      <c r="K5" s="594"/>
      <c r="L5" s="1242"/>
      <c r="M5" s="1243"/>
      <c r="N5" s="1243"/>
      <c r="O5" s="1243"/>
      <c r="P5" s="3011"/>
      <c r="Q5" s="3012"/>
      <c r="R5" s="3017"/>
      <c r="S5" s="3018"/>
      <c r="T5" s="3017"/>
      <c r="U5" s="3018"/>
      <c r="V5" s="3021"/>
      <c r="W5" s="3021"/>
      <c r="X5" s="1899"/>
      <c r="Y5" s="3017"/>
      <c r="Z5" s="3018"/>
      <c r="AA5" s="3003"/>
      <c r="AB5" s="3003"/>
      <c r="AC5" s="3003"/>
    </row>
    <row r="6" spans="1:29" ht="15" thickBot="1">
      <c r="A6" s="385"/>
      <c r="B6" s="386"/>
      <c r="C6" s="3026" t="s">
        <v>2350</v>
      </c>
      <c r="D6" s="3027"/>
      <c r="E6" s="3028" t="s">
        <v>2350</v>
      </c>
      <c r="F6" s="3029"/>
      <c r="G6" s="3026" t="s">
        <v>2350</v>
      </c>
      <c r="H6" s="3027"/>
      <c r="I6" s="3026" t="s">
        <v>2350</v>
      </c>
      <c r="J6" s="3027"/>
      <c r="K6" s="594" t="s">
        <v>2351</v>
      </c>
      <c r="L6" s="1242"/>
      <c r="M6" s="1243"/>
      <c r="N6" s="1243"/>
      <c r="O6" s="1243"/>
      <c r="P6" s="3013"/>
      <c r="Q6" s="3014"/>
      <c r="R6" s="3017"/>
      <c r="S6" s="3018"/>
      <c r="T6" s="3019"/>
      <c r="U6" s="3020"/>
      <c r="V6" s="3021"/>
      <c r="W6" s="3021"/>
      <c r="X6" s="1899"/>
      <c r="Y6" s="3019"/>
      <c r="Z6" s="3020"/>
      <c r="AA6" s="3004"/>
      <c r="AB6" s="3004"/>
      <c r="AC6" s="3004"/>
    </row>
    <row r="7" spans="1:29" s="35" customFormat="1" ht="15" thickBot="1">
      <c r="A7" s="387" t="s">
        <v>2352</v>
      </c>
      <c r="B7" s="388"/>
      <c r="C7" s="389">
        <f>'数据-取费表'!B2</f>
        <v>43328</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37" t="s">
        <v>2353</v>
      </c>
      <c r="Q7" s="3039"/>
      <c r="R7" s="748" t="s">
        <v>25</v>
      </c>
      <c r="S7" s="749">
        <f t="shared" ref="S7:S15" si="0">F7</f>
        <v>0</v>
      </c>
      <c r="T7" s="748" t="s">
        <v>25</v>
      </c>
      <c r="U7" s="749">
        <f t="shared" ref="U7:U15" si="1">H7</f>
        <v>0</v>
      </c>
      <c r="V7" s="748" t="s">
        <v>25</v>
      </c>
      <c r="W7" s="749">
        <f t="shared" ref="W7:W15" si="2">J7</f>
        <v>0</v>
      </c>
      <c r="X7" s="750"/>
      <c r="Y7" s="3037" t="s">
        <v>2353</v>
      </c>
      <c r="Z7" s="3038"/>
      <c r="AA7" s="751" t="e">
        <f>D7/F7</f>
        <v>#DIV/0!</v>
      </c>
      <c r="AB7" s="751" t="e">
        <f>D7/H7</f>
        <v>#DIV/0!</v>
      </c>
      <c r="AC7" s="751" t="e">
        <f>D7/J7</f>
        <v>#DIV/0!</v>
      </c>
    </row>
    <row r="8" spans="1:29" s="35" customFormat="1" ht="1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7" t="s">
        <v>2356</v>
      </c>
      <c r="Q8" s="3038"/>
      <c r="R8" s="748" t="s">
        <v>25</v>
      </c>
      <c r="S8" s="749">
        <f t="shared" si="0"/>
        <v>0</v>
      </c>
      <c r="T8" s="748" t="s">
        <v>25</v>
      </c>
      <c r="U8" s="749">
        <f t="shared" si="1"/>
        <v>0</v>
      </c>
      <c r="V8" s="748" t="s">
        <v>25</v>
      </c>
      <c r="W8" s="749">
        <f t="shared" si="2"/>
        <v>0</v>
      </c>
      <c r="X8" s="750"/>
      <c r="Y8" s="3037" t="s">
        <v>2356</v>
      </c>
      <c r="Z8" s="3038"/>
      <c r="AA8" s="751" t="e">
        <f t="shared" ref="AA8:AA40" si="3">D8/F8</f>
        <v>#DIV/0!</v>
      </c>
      <c r="AB8" s="751" t="e">
        <f t="shared" ref="AB8:AB40" si="4">D8/H8</f>
        <v>#DIV/0!</v>
      </c>
      <c r="AC8" s="751" t="e">
        <f t="shared" ref="AC8:AC40" si="5">D8/J8</f>
        <v>#DIV/0!</v>
      </c>
    </row>
    <row r="9" spans="1:29" s="35" customFormat="1" ht="14.4">
      <c r="A9" s="395" t="s">
        <v>2357</v>
      </c>
      <c r="B9" s="28" t="s">
        <v>2358</v>
      </c>
      <c r="C9" s="2484" t="s">
        <v>2590</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41" t="s">
        <v>2359</v>
      </c>
      <c r="Q9" s="1886" t="str">
        <f t="shared" ref="Q9:Q15" si="6">B9</f>
        <v>用途</v>
      </c>
      <c r="R9" s="748" t="s">
        <v>25</v>
      </c>
      <c r="S9" s="749">
        <f t="shared" si="0"/>
        <v>100</v>
      </c>
      <c r="T9" s="748" t="s">
        <v>25</v>
      </c>
      <c r="U9" s="749">
        <f t="shared" si="1"/>
        <v>100</v>
      </c>
      <c r="V9" s="748" t="s">
        <v>25</v>
      </c>
      <c r="W9" s="749">
        <f t="shared" si="2"/>
        <v>100</v>
      </c>
      <c r="X9" s="750"/>
      <c r="Y9" s="2853" t="s">
        <v>2360</v>
      </c>
      <c r="Z9" s="23" t="str">
        <f t="shared" ref="Z9:Z15" si="7">Q9</f>
        <v>用途</v>
      </c>
      <c r="AA9" s="751">
        <f t="shared" si="3"/>
        <v>1</v>
      </c>
      <c r="AB9" s="751">
        <f t="shared" si="4"/>
        <v>1</v>
      </c>
      <c r="AC9" s="751">
        <f t="shared" si="5"/>
        <v>1</v>
      </c>
    </row>
    <row r="10" spans="1:29" s="407" customFormat="1" ht="28.8">
      <c r="A10" s="401"/>
      <c r="B10" s="402" t="s">
        <v>2361</v>
      </c>
      <c r="C10" s="412"/>
      <c r="D10" s="52">
        <v>100</v>
      </c>
      <c r="E10" s="412"/>
      <c r="F10" s="52">
        <f>ROUND(100/'数据-取费表'!B14,0)</f>
        <v>105</v>
      </c>
      <c r="G10" s="412"/>
      <c r="H10" s="52">
        <f>ROUND(100/'数据-取费表'!B14,0)</f>
        <v>105</v>
      </c>
      <c r="I10" s="412"/>
      <c r="J10" s="52">
        <f>ROUND(100/'数据-取费表'!B14,0)</f>
        <v>105</v>
      </c>
      <c r="K10" s="655"/>
      <c r="L10" s="1247"/>
      <c r="M10" s="1248"/>
      <c r="N10" s="1248"/>
      <c r="O10" s="1249"/>
      <c r="P10" s="3041"/>
      <c r="Q10" s="1886" t="str">
        <f t="shared" si="6"/>
        <v>土地使用年限（年）</v>
      </c>
      <c r="R10" s="748" t="s">
        <v>25</v>
      </c>
      <c r="S10" s="749">
        <f t="shared" si="0"/>
        <v>105</v>
      </c>
      <c r="T10" s="748" t="s">
        <v>25</v>
      </c>
      <c r="U10" s="749">
        <f t="shared" si="1"/>
        <v>105</v>
      </c>
      <c r="V10" s="748" t="s">
        <v>25</v>
      </c>
      <c r="W10" s="749">
        <f t="shared" si="2"/>
        <v>105</v>
      </c>
      <c r="X10" s="750"/>
      <c r="Y10" s="2853"/>
      <c r="Z10" s="23" t="str">
        <f t="shared" si="7"/>
        <v>土地使用年限（年）</v>
      </c>
      <c r="AA10" s="751">
        <f t="shared" si="3"/>
        <v>0.95238095238095233</v>
      </c>
      <c r="AB10" s="751">
        <f t="shared" si="4"/>
        <v>0.95238095238095233</v>
      </c>
      <c r="AC10" s="751">
        <f t="shared" si="5"/>
        <v>0.95238095238095233</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41"/>
      <c r="Q11" s="1886" t="str">
        <f t="shared" si="6"/>
        <v>容积率</v>
      </c>
      <c r="R11" s="748" t="s">
        <v>25</v>
      </c>
      <c r="S11" s="749" t="e">
        <f t="shared" si="0"/>
        <v>#N/A</v>
      </c>
      <c r="T11" s="748" t="s">
        <v>25</v>
      </c>
      <c r="U11" s="749" t="e">
        <f t="shared" si="1"/>
        <v>#N/A</v>
      </c>
      <c r="V11" s="748" t="s">
        <v>25</v>
      </c>
      <c r="W11" s="749" t="e">
        <f t="shared" si="2"/>
        <v>#N/A</v>
      </c>
      <c r="X11" s="750"/>
      <c r="Y11" s="2853"/>
      <c r="Z11" s="23" t="str">
        <f t="shared" si="7"/>
        <v>容积率</v>
      </c>
      <c r="AA11" s="751" t="e">
        <f t="shared" si="3"/>
        <v>#N/A</v>
      </c>
      <c r="AB11" s="751" t="e">
        <f t="shared" si="4"/>
        <v>#N/A</v>
      </c>
      <c r="AC11" s="751"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41"/>
      <c r="Q12" s="1886">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41"/>
      <c r="Q13" s="1886">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15.6"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41"/>
      <c r="Q14" s="1886">
        <f t="shared" si="6"/>
        <v>111</v>
      </c>
      <c r="R14" s="748" t="s">
        <v>25</v>
      </c>
      <c r="S14" s="749">
        <f t="shared" si="0"/>
        <v>100</v>
      </c>
      <c r="T14" s="748" t="s">
        <v>25</v>
      </c>
      <c r="U14" s="749">
        <f t="shared" si="1"/>
        <v>100</v>
      </c>
      <c r="V14" s="748" t="s">
        <v>25</v>
      </c>
      <c r="W14" s="749">
        <f t="shared" si="2"/>
        <v>100</v>
      </c>
      <c r="X14" s="750"/>
      <c r="Y14" s="2853"/>
      <c r="Z14" s="23">
        <f t="shared" si="7"/>
        <v>111</v>
      </c>
      <c r="AA14" s="751">
        <f t="shared" si="3"/>
        <v>1</v>
      </c>
      <c r="AB14" s="751">
        <f t="shared" si="4"/>
        <v>1</v>
      </c>
      <c r="AC14" s="751">
        <f t="shared" si="5"/>
        <v>1</v>
      </c>
    </row>
    <row r="15" spans="1:29" ht="69">
      <c r="A15" s="419" t="s">
        <v>2363</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30" t="s">
        <v>2364</v>
      </c>
      <c r="Q15" s="1898" t="str">
        <f t="shared" si="6"/>
        <v>产业集聚程度</v>
      </c>
      <c r="R15" s="752" t="s">
        <v>25</v>
      </c>
      <c r="S15" s="753">
        <f t="shared" si="0"/>
        <v>100</v>
      </c>
      <c r="T15" s="752" t="s">
        <v>25</v>
      </c>
      <c r="U15" s="753">
        <f t="shared" si="1"/>
        <v>100</v>
      </c>
      <c r="V15" s="752" t="s">
        <v>25</v>
      </c>
      <c r="W15" s="753">
        <f t="shared" si="2"/>
        <v>100</v>
      </c>
      <c r="X15" s="1899"/>
      <c r="Y15" s="3030" t="s">
        <v>2364</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31"/>
      <c r="Q16" s="1898"/>
      <c r="R16" s="752"/>
      <c r="S16" s="753"/>
      <c r="T16" s="752"/>
      <c r="U16" s="753"/>
      <c r="V16" s="752"/>
      <c r="W16" s="753"/>
      <c r="X16" s="1899"/>
      <c r="Y16" s="3031"/>
      <c r="Z16" s="1901"/>
      <c r="AA16" s="1902">
        <v>1</v>
      </c>
      <c r="AB16" s="1902">
        <v>1</v>
      </c>
      <c r="AC16" s="1902">
        <v>1</v>
      </c>
    </row>
    <row r="17" spans="1:29" ht="96.6">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31"/>
      <c r="Q17" s="1898" t="str">
        <f>B17</f>
        <v>交通便捷度</v>
      </c>
      <c r="R17" s="752" t="s">
        <v>25</v>
      </c>
      <c r="S17" s="753">
        <f>F17</f>
        <v>100</v>
      </c>
      <c r="T17" s="752" t="s">
        <v>25</v>
      </c>
      <c r="U17" s="753">
        <f>H17</f>
        <v>100</v>
      </c>
      <c r="V17" s="752" t="s">
        <v>25</v>
      </c>
      <c r="W17" s="753">
        <f>J17</f>
        <v>100</v>
      </c>
      <c r="X17" s="1899"/>
      <c r="Y17" s="3031"/>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4"/>
      <c r="J18" s="427"/>
      <c r="K18" s="655"/>
      <c r="L18" s="1252"/>
      <c r="M18" s="1243"/>
      <c r="N18" s="1243"/>
      <c r="O18" s="1251"/>
      <c r="P18" s="3031"/>
      <c r="Q18" s="1898"/>
      <c r="R18" s="752"/>
      <c r="S18" s="753"/>
      <c r="T18" s="752"/>
      <c r="U18" s="753"/>
      <c r="V18" s="752"/>
      <c r="W18" s="753"/>
      <c r="X18" s="1899"/>
      <c r="Y18" s="3031"/>
      <c r="Z18" s="1901"/>
      <c r="AA18" s="1902">
        <v>1</v>
      </c>
      <c r="AB18" s="1902">
        <v>1</v>
      </c>
      <c r="AC18" s="1902">
        <v>1</v>
      </c>
    </row>
    <row r="19" spans="1:29" ht="28.8">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31"/>
      <c r="Q19" s="1898" t="str">
        <f t="shared" ref="Q19:Q33" si="8">B19</f>
        <v>区域土地利用方向</v>
      </c>
      <c r="R19" s="752" t="s">
        <v>25</v>
      </c>
      <c r="S19" s="753">
        <f>F19</f>
        <v>100</v>
      </c>
      <c r="T19" s="752" t="s">
        <v>25</v>
      </c>
      <c r="U19" s="753">
        <f>H19</f>
        <v>100</v>
      </c>
      <c r="V19" s="752" t="s">
        <v>25</v>
      </c>
      <c r="W19" s="753">
        <f>J19</f>
        <v>100</v>
      </c>
      <c r="X19" s="1899"/>
      <c r="Y19" s="3031"/>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3"/>
      <c r="L20" s="1252"/>
      <c r="M20" s="1243"/>
      <c r="N20" s="1243"/>
      <c r="O20" s="1251"/>
      <c r="P20" s="3031"/>
      <c r="Q20" s="1898"/>
      <c r="R20" s="752"/>
      <c r="S20" s="753"/>
      <c r="T20" s="752"/>
      <c r="U20" s="753"/>
      <c r="V20" s="752"/>
      <c r="W20" s="753"/>
      <c r="X20" s="1899"/>
      <c r="Y20" s="3031"/>
      <c r="Z20" s="1901"/>
      <c r="AA20" s="1902"/>
      <c r="AB20" s="1902"/>
      <c r="AC20" s="1902"/>
    </row>
    <row r="21" spans="1:29" ht="82.8">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31"/>
      <c r="Q21" s="1898" t="str">
        <f t="shared" si="8"/>
        <v>环境状况</v>
      </c>
      <c r="R21" s="752" t="s">
        <v>25</v>
      </c>
      <c r="S21" s="753">
        <f>F21</f>
        <v>100</v>
      </c>
      <c r="T21" s="752" t="s">
        <v>25</v>
      </c>
      <c r="U21" s="753">
        <f>H21</f>
        <v>100</v>
      </c>
      <c r="V21" s="752" t="s">
        <v>25</v>
      </c>
      <c r="W21" s="753">
        <f>J21</f>
        <v>100</v>
      </c>
      <c r="X21" s="1899"/>
      <c r="Y21" s="3031"/>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31"/>
      <c r="Q22" s="1898"/>
      <c r="R22" s="752"/>
      <c r="S22" s="753"/>
      <c r="T22" s="752"/>
      <c r="U22" s="753"/>
      <c r="V22" s="752"/>
      <c r="W22" s="753"/>
      <c r="X22" s="1899"/>
      <c r="Y22" s="3031"/>
      <c r="Z22" s="1901"/>
      <c r="AA22" s="1902">
        <v>1</v>
      </c>
      <c r="AB22" s="1902">
        <v>1</v>
      </c>
      <c r="AC22" s="1902">
        <v>1</v>
      </c>
    </row>
    <row r="23" spans="1:29" s="35" customFormat="1" ht="41.4">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31"/>
      <c r="Q23" s="1886" t="str">
        <f t="shared" si="8"/>
        <v>公共配套设施</v>
      </c>
      <c r="R23" s="748" t="s">
        <v>25</v>
      </c>
      <c r="S23" s="749">
        <f>F23</f>
        <v>100</v>
      </c>
      <c r="T23" s="748" t="s">
        <v>25</v>
      </c>
      <c r="U23" s="749">
        <f>H23</f>
        <v>100</v>
      </c>
      <c r="V23" s="748" t="s">
        <v>25</v>
      </c>
      <c r="W23" s="749">
        <f>J23</f>
        <v>100</v>
      </c>
      <c r="X23" s="750"/>
      <c r="Y23" s="3031"/>
      <c r="Z23" s="23" t="str">
        <f>Q23</f>
        <v>公共配套设施</v>
      </c>
      <c r="AA23" s="1902">
        <f>D23/F23</f>
        <v>1</v>
      </c>
      <c r="AB23" s="1902">
        <f>D23/H23</f>
        <v>1</v>
      </c>
      <c r="AC23" s="1902">
        <f>D23/J23</f>
        <v>1</v>
      </c>
    </row>
    <row r="24" spans="1:29" s="35" customFormat="1" ht="15">
      <c r="A24" s="633"/>
      <c r="B24" s="616"/>
      <c r="C24" s="2498"/>
      <c r="D24" s="427"/>
      <c r="E24" s="1471"/>
      <c r="F24" s="427"/>
      <c r="G24" s="1471"/>
      <c r="H24" s="427"/>
      <c r="I24" s="426"/>
      <c r="J24" s="427"/>
      <c r="K24" s="655"/>
      <c r="L24" s="1244"/>
      <c r="M24" s="1245"/>
      <c r="N24" s="1245"/>
      <c r="O24" s="1246"/>
      <c r="P24" s="3031"/>
      <c r="Q24" s="1886"/>
      <c r="R24" s="748"/>
      <c r="S24" s="749"/>
      <c r="T24" s="748"/>
      <c r="U24" s="749"/>
      <c r="V24" s="748"/>
      <c r="W24" s="749"/>
      <c r="X24" s="750"/>
      <c r="Y24" s="3031"/>
      <c r="Z24" s="23"/>
      <c r="AA24" s="751">
        <v>1</v>
      </c>
      <c r="AB24" s="751">
        <v>1</v>
      </c>
      <c r="AC24" s="751">
        <v>1</v>
      </c>
    </row>
    <row r="25" spans="1:29" s="35" customFormat="1" ht="41.4">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31"/>
      <c r="Q25" s="1886" t="str">
        <f t="shared" ref="Q25" si="9">B25</f>
        <v>基础设施水平</v>
      </c>
      <c r="R25" s="748" t="s">
        <v>25</v>
      </c>
      <c r="S25" s="749">
        <f>F25</f>
        <v>100</v>
      </c>
      <c r="T25" s="748" t="s">
        <v>25</v>
      </c>
      <c r="U25" s="749">
        <f>H25</f>
        <v>100</v>
      </c>
      <c r="V25" s="748" t="s">
        <v>25</v>
      </c>
      <c r="W25" s="749">
        <f>J25</f>
        <v>100</v>
      </c>
      <c r="X25" s="750"/>
      <c r="Y25" s="3031"/>
      <c r="Z25" s="23" t="str">
        <f>Q25</f>
        <v>基础设施水平</v>
      </c>
      <c r="AA25" s="1902">
        <f>D25/F25</f>
        <v>1</v>
      </c>
      <c r="AB25" s="1902">
        <f>D25/H25</f>
        <v>1</v>
      </c>
      <c r="AC25" s="1902">
        <f>D25/J25</f>
        <v>1</v>
      </c>
    </row>
    <row r="26" spans="1:29" s="35" customFormat="1" ht="15">
      <c r="A26" s="633"/>
      <c r="B26" s="616"/>
      <c r="C26" s="2498"/>
      <c r="D26" s="427"/>
      <c r="E26" s="2487"/>
      <c r="F26" s="427"/>
      <c r="G26" s="2487"/>
      <c r="H26" s="427"/>
      <c r="I26" s="2487"/>
      <c r="J26" s="427"/>
      <c r="K26" s="655"/>
      <c r="L26" s="1244"/>
      <c r="M26" s="1245"/>
      <c r="N26" s="1245"/>
      <c r="O26" s="1246"/>
      <c r="P26" s="3031"/>
      <c r="Q26" s="1886"/>
      <c r="R26" s="748"/>
      <c r="S26" s="749"/>
      <c r="T26" s="748"/>
      <c r="U26" s="749"/>
      <c r="V26" s="748"/>
      <c r="W26" s="749"/>
      <c r="X26" s="750"/>
      <c r="Y26" s="3031"/>
      <c r="Z26" s="23"/>
      <c r="AA26" s="751">
        <v>1</v>
      </c>
      <c r="AB26" s="751">
        <v>1</v>
      </c>
      <c r="AC26" s="751">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31"/>
      <c r="Q27" s="1898" t="str">
        <f t="shared" si="8"/>
        <v>临街状况</v>
      </c>
      <c r="R27" s="752" t="s">
        <v>25</v>
      </c>
      <c r="S27" s="753">
        <f t="shared" ref="S27:S40" si="10">F27</f>
        <v>100</v>
      </c>
      <c r="T27" s="752" t="s">
        <v>25</v>
      </c>
      <c r="U27" s="753">
        <f t="shared" ref="U27:U40" si="11">H27</f>
        <v>100</v>
      </c>
      <c r="V27" s="752" t="s">
        <v>25</v>
      </c>
      <c r="W27" s="753">
        <f t="shared" ref="W27:W40" si="12">J27</f>
        <v>100</v>
      </c>
      <c r="X27" s="1899"/>
      <c r="Y27" s="3031"/>
      <c r="Z27" s="1901" t="str">
        <f t="shared" ref="Z27:Z40" si="13">Q27</f>
        <v>临街状况</v>
      </c>
      <c r="AA27" s="1902">
        <f t="shared" si="3"/>
        <v>1</v>
      </c>
      <c r="AB27" s="1902">
        <f t="shared" si="4"/>
        <v>1</v>
      </c>
      <c r="AC27" s="1902">
        <f t="shared" si="5"/>
        <v>1</v>
      </c>
    </row>
    <row r="28" spans="1:29" ht="28.8">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31"/>
      <c r="Q28" s="1898" t="str">
        <f t="shared" si="8"/>
        <v>毗邻道路的类型与等级</v>
      </c>
      <c r="R28" s="752" t="s">
        <v>25</v>
      </c>
      <c r="S28" s="753">
        <f t="shared" si="10"/>
        <v>100</v>
      </c>
      <c r="T28" s="752" t="s">
        <v>25</v>
      </c>
      <c r="U28" s="753">
        <f t="shared" si="11"/>
        <v>100</v>
      </c>
      <c r="V28" s="752" t="s">
        <v>25</v>
      </c>
      <c r="W28" s="753">
        <f t="shared" si="12"/>
        <v>100</v>
      </c>
      <c r="X28" s="1899"/>
      <c r="Y28" s="3031"/>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31"/>
      <c r="Q29" s="1898"/>
      <c r="R29" s="752"/>
      <c r="S29" s="753"/>
      <c r="T29" s="752"/>
      <c r="U29" s="753"/>
      <c r="V29" s="752"/>
      <c r="W29" s="753"/>
      <c r="X29" s="1899"/>
      <c r="Y29" s="3031"/>
      <c r="Z29" s="1901"/>
      <c r="AA29" s="1902">
        <v>1</v>
      </c>
      <c r="AB29" s="1902">
        <v>1</v>
      </c>
      <c r="AC29" s="1902">
        <v>1</v>
      </c>
    </row>
    <row r="30" spans="1:29" ht="15">
      <c r="A30" s="408"/>
      <c r="B30" s="637" t="s">
        <v>2549</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31"/>
      <c r="Q30" s="1898" t="str">
        <f t="shared" si="8"/>
        <v>土地级别</v>
      </c>
      <c r="R30" s="752" t="s">
        <v>25</v>
      </c>
      <c r="S30" s="753">
        <f t="shared" si="10"/>
        <v>100</v>
      </c>
      <c r="T30" s="752" t="s">
        <v>25</v>
      </c>
      <c r="U30" s="753">
        <f t="shared" si="11"/>
        <v>100</v>
      </c>
      <c r="V30" s="752" t="s">
        <v>25</v>
      </c>
      <c r="W30" s="753">
        <f t="shared" si="12"/>
        <v>100</v>
      </c>
      <c r="X30" s="1899"/>
      <c r="Y30" s="3031"/>
      <c r="Z30" s="1901" t="str">
        <f t="shared" si="13"/>
        <v>土地级别</v>
      </c>
      <c r="AA30" s="1902">
        <f t="shared" si="3"/>
        <v>1</v>
      </c>
      <c r="AB30" s="1902">
        <f t="shared" si="4"/>
        <v>1</v>
      </c>
      <c r="AC30" s="1902">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31"/>
      <c r="Q31" s="1898">
        <f t="shared" si="8"/>
        <v>111</v>
      </c>
      <c r="R31" s="752" t="s">
        <v>25</v>
      </c>
      <c r="S31" s="753">
        <f t="shared" si="10"/>
        <v>100</v>
      </c>
      <c r="T31" s="752" t="s">
        <v>25</v>
      </c>
      <c r="U31" s="753">
        <f t="shared" si="11"/>
        <v>100</v>
      </c>
      <c r="V31" s="752" t="s">
        <v>25</v>
      </c>
      <c r="W31" s="753">
        <f t="shared" si="12"/>
        <v>100</v>
      </c>
      <c r="X31" s="1899"/>
      <c r="Y31" s="3031"/>
      <c r="Z31" s="1901">
        <f t="shared" si="13"/>
        <v>111</v>
      </c>
      <c r="AA31" s="1902">
        <f t="shared" si="3"/>
        <v>1</v>
      </c>
      <c r="AB31" s="1902">
        <f t="shared" si="4"/>
        <v>1</v>
      </c>
      <c r="AC31" s="1902">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59" t="s">
        <v>2370</v>
      </c>
      <c r="Q32" s="1898">
        <f t="shared" si="8"/>
        <v>111</v>
      </c>
      <c r="R32" s="752" t="s">
        <v>25</v>
      </c>
      <c r="S32" s="753">
        <f t="shared" si="10"/>
        <v>100</v>
      </c>
      <c r="T32" s="752" t="s">
        <v>25</v>
      </c>
      <c r="U32" s="753">
        <f t="shared" si="11"/>
        <v>100</v>
      </c>
      <c r="V32" s="752" t="s">
        <v>25</v>
      </c>
      <c r="W32" s="753">
        <f t="shared" si="12"/>
        <v>100</v>
      </c>
      <c r="X32" s="1899"/>
      <c r="Y32" s="3035" t="s">
        <v>2370</v>
      </c>
      <c r="Z32" s="1901">
        <f t="shared" si="13"/>
        <v>111</v>
      </c>
      <c r="AA32" s="1902">
        <f t="shared" si="3"/>
        <v>1</v>
      </c>
      <c r="AB32" s="1902">
        <f t="shared" si="4"/>
        <v>1</v>
      </c>
      <c r="AC32" s="1902">
        <f t="shared" si="5"/>
        <v>1</v>
      </c>
    </row>
    <row r="33" spans="1:29" s="452" customFormat="1" ht="15.6"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35"/>
      <c r="Q33" s="1898">
        <f t="shared" si="8"/>
        <v>111</v>
      </c>
      <c r="R33" s="755" t="s">
        <v>25</v>
      </c>
      <c r="S33" s="756">
        <f t="shared" si="10"/>
        <v>100</v>
      </c>
      <c r="T33" s="755" t="s">
        <v>25</v>
      </c>
      <c r="U33" s="756">
        <f t="shared" si="11"/>
        <v>100</v>
      </c>
      <c r="V33" s="755" t="s">
        <v>25</v>
      </c>
      <c r="W33" s="756">
        <f t="shared" si="12"/>
        <v>100</v>
      </c>
      <c r="X33" s="757"/>
      <c r="Y33" s="3035"/>
      <c r="Z33" s="758">
        <f t="shared" si="13"/>
        <v>111</v>
      </c>
      <c r="AA33" s="1902">
        <f t="shared" si="3"/>
        <v>1</v>
      </c>
      <c r="AB33" s="1902">
        <f t="shared" si="4"/>
        <v>1</v>
      </c>
      <c r="AC33" s="1902">
        <f t="shared" si="5"/>
        <v>1</v>
      </c>
    </row>
    <row r="34" spans="1:29" ht="15.6">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35"/>
      <c r="Q34" s="1898" t="str">
        <f>B34</f>
        <v>宗地面积</v>
      </c>
      <c r="R34" s="752" t="s">
        <v>25</v>
      </c>
      <c r="S34" s="753" t="e">
        <f t="shared" si="10"/>
        <v>#N/A</v>
      </c>
      <c r="T34" s="752" t="s">
        <v>25</v>
      </c>
      <c r="U34" s="753" t="e">
        <f t="shared" si="11"/>
        <v>#N/A</v>
      </c>
      <c r="V34" s="752" t="s">
        <v>25</v>
      </c>
      <c r="W34" s="753" t="e">
        <f t="shared" si="12"/>
        <v>#N/A</v>
      </c>
      <c r="X34" s="1899"/>
      <c r="Y34" s="3035"/>
      <c r="Z34" s="1901" t="str">
        <f t="shared" si="13"/>
        <v>宗地面积</v>
      </c>
      <c r="AA34" s="1902" t="e">
        <f t="shared" si="3"/>
        <v>#N/A</v>
      </c>
      <c r="AB34" s="1902" t="e">
        <f t="shared" si="4"/>
        <v>#N/A</v>
      </c>
      <c r="AC34" s="1902"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35"/>
      <c r="Q35" s="1898" t="str">
        <f t="shared" ref="Q35:Q40" si="14">B35</f>
        <v>宗地形状</v>
      </c>
      <c r="R35" s="752" t="s">
        <v>25</v>
      </c>
      <c r="S35" s="753">
        <f t="shared" si="10"/>
        <v>100</v>
      </c>
      <c r="T35" s="752" t="s">
        <v>25</v>
      </c>
      <c r="U35" s="753">
        <f t="shared" si="11"/>
        <v>100</v>
      </c>
      <c r="V35" s="752" t="s">
        <v>25</v>
      </c>
      <c r="W35" s="753">
        <f t="shared" si="12"/>
        <v>100</v>
      </c>
      <c r="X35" s="1899"/>
      <c r="Y35" s="3035"/>
      <c r="Z35" s="1901" t="str">
        <f t="shared" si="13"/>
        <v>宗地形状</v>
      </c>
      <c r="AA35" s="1902">
        <f t="shared" si="3"/>
        <v>1</v>
      </c>
      <c r="AB35" s="1902">
        <f t="shared" si="4"/>
        <v>1</v>
      </c>
      <c r="AC35" s="1902">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35"/>
      <c r="Q36" s="1898" t="str">
        <f t="shared" si="14"/>
        <v>宗地开发程度</v>
      </c>
      <c r="R36" s="748" t="s">
        <v>25</v>
      </c>
      <c r="S36" s="749">
        <f t="shared" si="10"/>
        <v>100</v>
      </c>
      <c r="T36" s="748" t="s">
        <v>25</v>
      </c>
      <c r="U36" s="749">
        <f t="shared" si="11"/>
        <v>100</v>
      </c>
      <c r="V36" s="748" t="s">
        <v>25</v>
      </c>
      <c r="W36" s="749">
        <f t="shared" si="12"/>
        <v>100</v>
      </c>
      <c r="X36" s="750"/>
      <c r="Y36" s="3035"/>
      <c r="Z36" s="23" t="str">
        <f t="shared" si="13"/>
        <v>宗地开发程度</v>
      </c>
      <c r="AA36" s="751">
        <f t="shared" si="3"/>
        <v>1</v>
      </c>
      <c r="AB36" s="751">
        <f t="shared" si="4"/>
        <v>1</v>
      </c>
      <c r="AC36" s="751">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35" t="s">
        <v>2370</v>
      </c>
      <c r="Q37" s="1898" t="str">
        <f t="shared" si="14"/>
        <v>工程地质条件</v>
      </c>
      <c r="R37" s="752" t="s">
        <v>25</v>
      </c>
      <c r="S37" s="753">
        <f t="shared" si="10"/>
        <v>100</v>
      </c>
      <c r="T37" s="752" t="s">
        <v>25</v>
      </c>
      <c r="U37" s="753">
        <f t="shared" si="11"/>
        <v>100</v>
      </c>
      <c r="V37" s="752" t="s">
        <v>25</v>
      </c>
      <c r="W37" s="753">
        <f t="shared" si="12"/>
        <v>100</v>
      </c>
      <c r="X37" s="1899"/>
      <c r="Y37" s="3035" t="s">
        <v>2370</v>
      </c>
      <c r="Z37" s="1901" t="str">
        <f t="shared" si="13"/>
        <v>工程地质条件</v>
      </c>
      <c r="AA37" s="1902">
        <f t="shared" si="3"/>
        <v>1</v>
      </c>
      <c r="AB37" s="1902">
        <f t="shared" si="4"/>
        <v>1</v>
      </c>
      <c r="AC37" s="1902">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35"/>
      <c r="Q38" s="1898">
        <f t="shared" si="14"/>
        <v>111</v>
      </c>
      <c r="R38" s="752" t="s">
        <v>25</v>
      </c>
      <c r="S38" s="753">
        <f t="shared" si="10"/>
        <v>100</v>
      </c>
      <c r="T38" s="752" t="s">
        <v>25</v>
      </c>
      <c r="U38" s="753">
        <f t="shared" si="11"/>
        <v>100</v>
      </c>
      <c r="V38" s="752" t="s">
        <v>25</v>
      </c>
      <c r="W38" s="753">
        <f t="shared" si="12"/>
        <v>100</v>
      </c>
      <c r="X38" s="1899"/>
      <c r="Y38" s="3035"/>
      <c r="Z38" s="1901">
        <f t="shared" si="13"/>
        <v>111</v>
      </c>
      <c r="AA38" s="1902">
        <f t="shared" si="3"/>
        <v>1</v>
      </c>
      <c r="AB38" s="1902">
        <f t="shared" si="4"/>
        <v>1</v>
      </c>
      <c r="AC38" s="1902">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35"/>
      <c r="Q39" s="1898">
        <f t="shared" si="14"/>
        <v>111</v>
      </c>
      <c r="R39" s="752" t="s">
        <v>25</v>
      </c>
      <c r="S39" s="753">
        <f t="shared" si="10"/>
        <v>100</v>
      </c>
      <c r="T39" s="752" t="s">
        <v>25</v>
      </c>
      <c r="U39" s="753">
        <f t="shared" si="11"/>
        <v>100</v>
      </c>
      <c r="V39" s="752" t="s">
        <v>25</v>
      </c>
      <c r="W39" s="753">
        <f t="shared" si="12"/>
        <v>100</v>
      </c>
      <c r="X39" s="1899"/>
      <c r="Y39" s="3035"/>
      <c r="Z39" s="1901">
        <f t="shared" si="13"/>
        <v>111</v>
      </c>
      <c r="AA39" s="1902">
        <f t="shared" si="3"/>
        <v>1</v>
      </c>
      <c r="AB39" s="1902">
        <f t="shared" si="4"/>
        <v>1</v>
      </c>
      <c r="AC39" s="1902">
        <f t="shared" si="5"/>
        <v>1</v>
      </c>
    </row>
    <row r="40" spans="1:29" s="452" customFormat="1" ht="15.6"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35"/>
      <c r="Q40" s="1898">
        <f t="shared" si="14"/>
        <v>111</v>
      </c>
      <c r="R40" s="755" t="s">
        <v>25</v>
      </c>
      <c r="S40" s="756">
        <f t="shared" si="10"/>
        <v>100</v>
      </c>
      <c r="T40" s="755" t="s">
        <v>25</v>
      </c>
      <c r="U40" s="756">
        <f t="shared" si="11"/>
        <v>100</v>
      </c>
      <c r="V40" s="755" t="s">
        <v>25</v>
      </c>
      <c r="W40" s="756">
        <f t="shared" si="12"/>
        <v>100</v>
      </c>
      <c r="X40" s="757"/>
      <c r="Y40" s="3035"/>
      <c r="Z40" s="758">
        <f t="shared" si="13"/>
        <v>111</v>
      </c>
      <c r="AA40" s="1902">
        <f t="shared" si="3"/>
        <v>1</v>
      </c>
      <c r="AB40" s="1902">
        <f t="shared" si="4"/>
        <v>1</v>
      </c>
      <c r="AC40" s="1902">
        <f t="shared" si="5"/>
        <v>1</v>
      </c>
    </row>
    <row r="41" spans="1:29" ht="14.4">
      <c r="A41" s="460" t="s">
        <v>2518</v>
      </c>
      <c r="B41" s="2492" t="s">
        <v>2593</v>
      </c>
      <c r="C41" s="665" t="s">
        <v>1</v>
      </c>
      <c r="D41" s="462"/>
      <c r="E41" s="463"/>
      <c r="F41" s="464"/>
      <c r="G41" s="465"/>
      <c r="H41" s="466"/>
      <c r="I41" s="463"/>
      <c r="J41" s="466"/>
      <c r="K41" s="761"/>
      <c r="L41" s="1255"/>
      <c r="M41" s="1243"/>
      <c r="N41" s="1243"/>
      <c r="O41" s="1256"/>
      <c r="P41" s="3041" t="str">
        <f>A41</f>
        <v>成交单价</v>
      </c>
      <c r="Q41" s="3041"/>
      <c r="R41" s="3021">
        <f>E41</f>
        <v>0</v>
      </c>
      <c r="S41" s="3021"/>
      <c r="T41" s="3021">
        <f>G41</f>
        <v>0</v>
      </c>
      <c r="U41" s="3021"/>
      <c r="V41" s="3021">
        <f>I41</f>
        <v>0</v>
      </c>
      <c r="W41" s="3021"/>
      <c r="X41" s="737"/>
      <c r="Y41" s="759"/>
      <c r="Z41" s="737"/>
      <c r="AA41" s="737"/>
      <c r="AB41" s="737"/>
      <c r="AC41" s="737"/>
    </row>
    <row r="42" spans="1:29" ht="15" thickBot="1">
      <c r="A42" s="467" t="s">
        <v>2465</v>
      </c>
      <c r="B42" s="666"/>
      <c r="C42" s="471" t="e">
        <f>R43</f>
        <v>#DIV/0!</v>
      </c>
      <c r="D42" s="470"/>
      <c r="E42" s="471" t="e">
        <f>R42</f>
        <v>#DIV/0!</v>
      </c>
      <c r="F42" s="472"/>
      <c r="G42" s="469" t="e">
        <f>T42</f>
        <v>#DIV/0!</v>
      </c>
      <c r="H42" s="470"/>
      <c r="I42" s="471" t="e">
        <f>V42</f>
        <v>#DIV/0!</v>
      </c>
      <c r="J42" s="470"/>
      <c r="K42" s="762"/>
      <c r="L42" s="1255"/>
      <c r="M42" s="1243"/>
      <c r="N42" s="1243"/>
      <c r="O42" s="1256"/>
      <c r="P42" s="3041" t="str">
        <f>A42</f>
        <v>比较价值（元/平方米）</v>
      </c>
      <c r="Q42" s="3041"/>
      <c r="R42" s="3060" t="e">
        <f>ROUND(PRODUCT(R41,AA7:AA40),0)</f>
        <v>#DIV/0!</v>
      </c>
      <c r="S42" s="3060"/>
      <c r="T42" s="3060" t="e">
        <f>ROUND(PRODUCT(T41,AB7:AB40),0)</f>
        <v>#DIV/0!</v>
      </c>
      <c r="U42" s="3060"/>
      <c r="V42" s="3060" t="e">
        <f>ROUND(PRODUCT(V41,AC7:AC40),0)</f>
        <v>#DIV/0!</v>
      </c>
      <c r="W42" s="3060"/>
      <c r="X42" s="737"/>
      <c r="Y42" s="737"/>
      <c r="Z42" s="737"/>
      <c r="AA42" s="737"/>
      <c r="AB42" s="737"/>
      <c r="AC42" s="737"/>
    </row>
    <row r="43" spans="1:29" ht="15" thickBot="1">
      <c r="A43" s="473" t="s">
        <v>2488</v>
      </c>
      <c r="B43" s="474"/>
      <c r="C43" s="475" t="e">
        <f>R43</f>
        <v>#DIV/0!</v>
      </c>
      <c r="D43" s="475"/>
      <c r="E43" s="475"/>
      <c r="F43" s="475"/>
      <c r="G43" s="475"/>
      <c r="H43" s="475"/>
      <c r="I43" s="475"/>
      <c r="J43" s="475"/>
      <c r="K43" s="763"/>
      <c r="L43" s="1255"/>
      <c r="M43" s="1243"/>
      <c r="N43" s="1243"/>
      <c r="O43" s="1256"/>
      <c r="P43" s="3047" t="str">
        <f>A43</f>
        <v>估价对象XX用房的比较价值（楼面单价，元/平方米）</v>
      </c>
      <c r="Q43" s="3048"/>
      <c r="R43" s="3061" t="e">
        <f>ROUND(AVERAGE(R42:V42),0)</f>
        <v>#DIV/0!</v>
      </c>
      <c r="S43" s="3061"/>
      <c r="T43" s="3061"/>
      <c r="U43" s="3061"/>
      <c r="V43" s="3061"/>
      <c r="W43" s="3061"/>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4.4" thickBot="1">
      <c r="A49" s="1258"/>
      <c r="B49" s="1259"/>
      <c r="C49" s="1264"/>
      <c r="D49" s="1258"/>
      <c r="E49" s="1258"/>
      <c r="F49" s="1258"/>
      <c r="G49" s="1258"/>
      <c r="H49" s="1258"/>
      <c r="I49" s="1258"/>
      <c r="J49" s="1258"/>
      <c r="K49" s="1262"/>
      <c r="L49" s="1263"/>
      <c r="M49" s="1258"/>
      <c r="N49" s="1258"/>
      <c r="O49" s="1258"/>
    </row>
    <row r="50" spans="1:17" ht="28.8">
      <c r="A50" s="667" t="s">
        <v>2556</v>
      </c>
      <c r="B50" s="668" t="s">
        <v>2557</v>
      </c>
      <c r="C50" s="2493" t="s">
        <v>2558</v>
      </c>
      <c r="D50" s="2494" t="s">
        <v>2559</v>
      </c>
      <c r="E50" s="669" t="s">
        <v>2560</v>
      </c>
      <c r="F50" s="670" t="s">
        <v>2561</v>
      </c>
      <c r="G50" s="1901" t="s">
        <v>2594</v>
      </c>
      <c r="H50" s="1901">
        <f>项目基本情况!G8</f>
        <v>0</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2565</v>
      </c>
      <c r="B52" s="178" t="e">
        <f>ROUND($C$43*C52*D52,0)</f>
        <v>#DIV/0!</v>
      </c>
      <c r="C52" s="117">
        <f>IF($C$50="北京市系数",G52,H52)</f>
        <v>0</v>
      </c>
      <c r="D52" s="1291">
        <v>0.25</v>
      </c>
      <c r="E52" s="677">
        <v>0</v>
      </c>
      <c r="F52" s="674" t="e">
        <f t="shared" si="15"/>
        <v>#DIV/0!</v>
      </c>
      <c r="G52" s="971">
        <f>SUMIF(修正!$A$45:$A$56,项目基本情况!$F$9,修正!B45:B56)</f>
        <v>0</v>
      </c>
      <c r="H52" s="972"/>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v>
      </c>
      <c r="D53" s="1291">
        <v>0.25</v>
      </c>
      <c r="E53" s="677">
        <v>0</v>
      </c>
      <c r="F53" s="674" t="e">
        <f t="shared" si="15"/>
        <v>#DIV/0!</v>
      </c>
      <c r="G53" s="971">
        <f>SUMIF(修正!$A$45:$A$56,项目基本情况!$F$9,修正!C45:C56)</f>
        <v>0</v>
      </c>
      <c r="H53" s="972"/>
      <c r="I53" s="1258"/>
      <c r="J53" s="1261"/>
      <c r="K53" s="1257"/>
      <c r="L53" s="1257"/>
      <c r="M53" s="1256"/>
      <c r="N53" s="1256"/>
      <c r="O53" s="1256"/>
    </row>
    <row r="54" spans="1:17" s="675" customFormat="1">
      <c r="A54" s="676" t="s">
        <v>2567</v>
      </c>
      <c r="B54" s="178" t="e">
        <f t="shared" si="16"/>
        <v>#DIV/0!</v>
      </c>
      <c r="C54" s="117">
        <f t="shared" si="17"/>
        <v>0</v>
      </c>
      <c r="D54" s="1291">
        <v>0.25</v>
      </c>
      <c r="E54" s="677">
        <v>0</v>
      </c>
      <c r="F54" s="674" t="e">
        <f t="shared" si="15"/>
        <v>#DIV/0!</v>
      </c>
      <c r="G54" s="971">
        <f>SUMIF(修正!$A$45:$A$56,项目基本情况!$F$9,修正!D45:D56)</f>
        <v>0</v>
      </c>
      <c r="H54" s="972"/>
      <c r="I54" s="1256"/>
      <c r="J54" s="1261"/>
      <c r="K54" s="1257"/>
      <c r="L54" s="1257"/>
      <c r="M54" s="1256"/>
      <c r="N54" s="1256"/>
      <c r="O54" s="1256"/>
    </row>
    <row r="55" spans="1:17" s="675" customFormat="1">
      <c r="A55" s="676" t="s">
        <v>2568</v>
      </c>
      <c r="B55" s="178" t="e">
        <f t="shared" si="16"/>
        <v>#DIV/0!</v>
      </c>
      <c r="C55" s="117">
        <f t="shared" si="17"/>
        <v>0</v>
      </c>
      <c r="D55" s="1291">
        <v>0.25</v>
      </c>
      <c r="E55" s="677">
        <v>0</v>
      </c>
      <c r="F55" s="674" t="e">
        <f t="shared" si="15"/>
        <v>#DIV/0!</v>
      </c>
      <c r="G55" s="971">
        <f>SUMIF(修正!$A$45:$A$56,项目基本情况!$F$9,修正!E45:E56)</f>
        <v>0</v>
      </c>
      <c r="H55" s="972"/>
      <c r="I55" s="1258"/>
      <c r="J55" s="1261"/>
      <c r="K55" s="1257"/>
      <c r="L55" s="1257"/>
      <c r="M55" s="1256"/>
      <c r="N55" s="1256"/>
      <c r="O55" s="1256"/>
    </row>
    <row r="56" spans="1:17" s="675" customFormat="1">
      <c r="A56" s="676" t="s">
        <v>2569</v>
      </c>
      <c r="B56" s="178" t="e">
        <f t="shared" si="16"/>
        <v>#DIV/0!</v>
      </c>
      <c r="C56" s="117">
        <f t="shared" si="17"/>
        <v>0</v>
      </c>
      <c r="D56" s="1291">
        <v>0.25</v>
      </c>
      <c r="E56" s="677">
        <v>0</v>
      </c>
      <c r="F56" s="674" t="e">
        <f t="shared" si="15"/>
        <v>#DIV/0!</v>
      </c>
      <c r="G56" s="971">
        <f>SUMIF(修正!A40:A51,项目基本情况!F9,修正!F45:F56)</f>
        <v>0</v>
      </c>
      <c r="H56" s="972"/>
      <c r="I56" s="1256"/>
      <c r="J56" s="1261"/>
      <c r="K56" s="1257"/>
      <c r="L56" s="1257"/>
      <c r="M56" s="1256"/>
      <c r="N56" s="1256"/>
      <c r="O56" s="1256"/>
    </row>
    <row r="57" spans="1:17" s="675" customFormat="1">
      <c r="A57" s="676" t="s">
        <v>2570</v>
      </c>
      <c r="B57" s="178" t="e">
        <f t="shared" si="16"/>
        <v>#DIV/0!</v>
      </c>
      <c r="C57" s="117">
        <f t="shared" si="17"/>
        <v>0</v>
      </c>
      <c r="D57" s="1291">
        <v>0.25</v>
      </c>
      <c r="E57" s="677">
        <v>0</v>
      </c>
      <c r="F57" s="674" t="e">
        <f t="shared" si="15"/>
        <v>#DIV/0!</v>
      </c>
      <c r="G57" s="971">
        <f>SUMIF(修正!A40:A51,项目基本情况!F9,修正!G45:G56)</f>
        <v>0</v>
      </c>
      <c r="H57" s="972"/>
      <c r="I57" s="1258"/>
      <c r="J57" s="1261"/>
      <c r="K57" s="1257"/>
      <c r="L57" s="1257"/>
      <c r="M57" s="1256"/>
      <c r="N57" s="1256"/>
      <c r="O57" s="1256"/>
    </row>
    <row r="58" spans="1:17" s="675" customFormat="1">
      <c r="A58" s="676" t="s">
        <v>2571</v>
      </c>
      <c r="B58" s="178" t="e">
        <f t="shared" si="16"/>
        <v>#DIV/0!</v>
      </c>
      <c r="C58" s="117">
        <f t="shared" si="17"/>
        <v>0</v>
      </c>
      <c r="D58" s="1291">
        <v>0.25</v>
      </c>
      <c r="E58" s="677">
        <v>0</v>
      </c>
      <c r="F58" s="674" t="e">
        <f t="shared" si="15"/>
        <v>#DIV/0!</v>
      </c>
      <c r="G58" s="971">
        <f>SUMIF(修正!A40:A51,项目基本情况!F9,修正!H45:H56)</f>
        <v>0</v>
      </c>
      <c r="H58" s="972"/>
      <c r="I58" s="1256"/>
      <c r="J58" s="1261"/>
      <c r="K58" s="1257"/>
      <c r="L58" s="1257"/>
      <c r="M58" s="1256"/>
      <c r="N58" s="1256"/>
      <c r="O58" s="1256"/>
    </row>
    <row r="59" spans="1:17" s="675" customFormat="1">
      <c r="A59" s="676" t="s">
        <v>2572</v>
      </c>
      <c r="B59" s="178" t="e">
        <f t="shared" si="16"/>
        <v>#DIV/0!</v>
      </c>
      <c r="C59" s="117">
        <f t="shared" si="17"/>
        <v>0</v>
      </c>
      <c r="D59" s="1291">
        <v>0.25</v>
      </c>
      <c r="E59" s="677">
        <v>0</v>
      </c>
      <c r="F59" s="674" t="e">
        <f t="shared" si="15"/>
        <v>#DIV/0!</v>
      </c>
      <c r="G59" s="971">
        <f>G58</f>
        <v>0</v>
      </c>
      <c r="H59" s="972"/>
      <c r="I59" s="1258"/>
      <c r="J59" s="1261"/>
      <c r="K59" s="1257"/>
      <c r="L59" s="1257"/>
      <c r="M59" s="1256"/>
      <c r="N59" s="1256"/>
      <c r="O59" s="1256"/>
    </row>
    <row r="60" spans="1:17" s="675" customFormat="1">
      <c r="A60" s="676" t="s">
        <v>2573</v>
      </c>
      <c r="B60" s="178" t="e">
        <f t="shared" si="16"/>
        <v>#DIV/0!</v>
      </c>
      <c r="C60" s="117">
        <f t="shared" si="17"/>
        <v>0</v>
      </c>
      <c r="D60" s="1291">
        <v>0.25</v>
      </c>
      <c r="E60" s="677">
        <v>0</v>
      </c>
      <c r="F60" s="674" t="e">
        <f t="shared" si="15"/>
        <v>#DIV/0!</v>
      </c>
      <c r="G60" s="971">
        <f>G58</f>
        <v>0</v>
      </c>
      <c r="H60" s="972"/>
      <c r="I60" s="1256"/>
      <c r="J60" s="1261"/>
      <c r="K60" s="1257"/>
      <c r="L60" s="1257"/>
      <c r="M60" s="1256"/>
      <c r="N60" s="1256"/>
      <c r="O60" s="1256"/>
    </row>
    <row r="61" spans="1:17" s="675" customFormat="1" ht="14.4"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2018-8-1</v>
      </c>
      <c r="D63" s="1669">
        <f>EDATE(C63,-3)</f>
        <v>43221</v>
      </c>
      <c r="E63" s="1669">
        <f t="shared" ref="E63:O63" si="18">EDATE(D63,-3)</f>
        <v>43132</v>
      </c>
      <c r="F63" s="1669">
        <f t="shared" si="18"/>
        <v>43040</v>
      </c>
      <c r="G63" s="1669">
        <f t="shared" si="18"/>
        <v>42948</v>
      </c>
      <c r="H63" s="1669">
        <f t="shared" si="18"/>
        <v>42856</v>
      </c>
      <c r="I63" s="1669">
        <f t="shared" si="18"/>
        <v>42767</v>
      </c>
      <c r="J63" s="1669">
        <f t="shared" si="18"/>
        <v>42675</v>
      </c>
      <c r="K63" s="1669">
        <f t="shared" si="18"/>
        <v>42583</v>
      </c>
      <c r="L63" s="1669">
        <f t="shared" si="18"/>
        <v>42491</v>
      </c>
      <c r="M63" s="1669">
        <f t="shared" si="18"/>
        <v>42401</v>
      </c>
      <c r="N63" s="1669">
        <f t="shared" si="18"/>
        <v>42309</v>
      </c>
      <c r="O63" s="1669">
        <f t="shared" si="18"/>
        <v>42217</v>
      </c>
    </row>
    <row r="64" spans="1:17" ht="22.2" thickBot="1">
      <c r="A64" s="741" t="s">
        <v>2470</v>
      </c>
      <c r="B64" s="737"/>
      <c r="C64" s="742"/>
      <c r="D64" s="742"/>
      <c r="E64" s="742"/>
      <c r="F64" s="743"/>
      <c r="G64" s="743"/>
      <c r="H64" s="742"/>
      <c r="I64" s="1272"/>
      <c r="J64" s="1272"/>
      <c r="K64" s="1270"/>
      <c r="L64" s="1271"/>
      <c r="M64" s="1272"/>
      <c r="N64" s="1272"/>
      <c r="O64" s="1272"/>
      <c r="P64" s="484"/>
      <c r="Q64" s="485"/>
    </row>
    <row r="65" spans="1:17" s="489" customFormat="1" ht="14.4">
      <c r="A65" s="2496" t="s">
        <v>2575</v>
      </c>
      <c r="B65" s="1455"/>
      <c r="C65" s="1670" t="str">
        <f>YEAR(C63)&amp;"-"&amp;ROUNDUP(MONTH(C63)/3,0)</f>
        <v>2018-3</v>
      </c>
      <c r="D65" s="1670" t="str">
        <f t="shared" ref="D65:O65" si="19">YEAR(D63)&amp;"-"&amp;ROUNDUP(MONTH(D63)/3,0)</f>
        <v>2018-2</v>
      </c>
      <c r="E65" s="1670" t="str">
        <f t="shared" si="19"/>
        <v>2018-1</v>
      </c>
      <c r="F65" s="1670" t="str">
        <f t="shared" si="19"/>
        <v>2017-4</v>
      </c>
      <c r="G65" s="1670" t="str">
        <f t="shared" si="19"/>
        <v>2017-3</v>
      </c>
      <c r="H65" s="1670" t="str">
        <f t="shared" si="19"/>
        <v>2017-2</v>
      </c>
      <c r="I65" s="1670" t="str">
        <f t="shared" si="19"/>
        <v>2017-1</v>
      </c>
      <c r="J65" s="1670" t="str">
        <f t="shared" si="19"/>
        <v>2016-4</v>
      </c>
      <c r="K65" s="1670" t="str">
        <f t="shared" si="19"/>
        <v>2016-3</v>
      </c>
      <c r="L65" s="1670" t="str">
        <f t="shared" si="19"/>
        <v>2016-2</v>
      </c>
      <c r="M65" s="1670" t="str">
        <f t="shared" si="19"/>
        <v>2016-1</v>
      </c>
      <c r="N65" s="1670" t="str">
        <f t="shared" si="19"/>
        <v>2015-4</v>
      </c>
      <c r="O65" s="1670" t="str">
        <f t="shared" si="19"/>
        <v>2015-3</v>
      </c>
      <c r="P65" s="488"/>
    </row>
    <row r="66" spans="1:17" s="35" customFormat="1" ht="33.75" customHeight="1">
      <c r="A66" s="2502" t="s">
        <v>2595</v>
      </c>
      <c r="B66" s="284" t="str">
        <f>"北京市平均增长率"&amp;TEXT(基准地价修正!P24,"0.00%")</f>
        <v>北京市平均增长率1.41%</v>
      </c>
      <c r="C66" s="587">
        <v>100</v>
      </c>
      <c r="D66" s="579"/>
      <c r="E66" s="579"/>
      <c r="F66" s="579"/>
      <c r="G66" s="579"/>
      <c r="H66" s="579"/>
      <c r="I66" s="579"/>
      <c r="J66" s="579"/>
      <c r="K66" s="579"/>
      <c r="L66" s="579"/>
      <c r="M66" s="1668"/>
      <c r="N66" s="579"/>
      <c r="O66" s="1674"/>
      <c r="P66" s="485"/>
    </row>
    <row r="67" spans="1:17" s="35" customFormat="1" ht="15" thickBot="1">
      <c r="A67" s="496" t="s">
        <v>2390</v>
      </c>
      <c r="B67" s="497"/>
      <c r="C67" s="498"/>
      <c r="D67" s="499"/>
      <c r="E67" s="499"/>
      <c r="F67" s="499"/>
      <c r="G67" s="499"/>
      <c r="H67" s="499"/>
      <c r="I67" s="499"/>
      <c r="J67" s="499"/>
      <c r="K67" s="499"/>
      <c r="L67" s="499"/>
      <c r="M67" s="500"/>
      <c r="N67" s="499"/>
      <c r="O67" s="1675"/>
      <c r="P67" s="485"/>
      <c r="Q67" s="485"/>
    </row>
    <row r="68" spans="1:17" s="35" customFormat="1" ht="14.4">
      <c r="A68" s="502" t="s">
        <v>2354</v>
      </c>
      <c r="B68" s="491"/>
      <c r="C68" s="503" t="s">
        <v>2355</v>
      </c>
      <c r="D68" s="504"/>
      <c r="E68" s="504"/>
      <c r="F68" s="504"/>
      <c r="G68" s="504"/>
      <c r="H68" s="504"/>
      <c r="I68" s="504"/>
      <c r="J68" s="504"/>
      <c r="K68" s="504"/>
      <c r="L68" s="505"/>
      <c r="M68" s="506"/>
      <c r="N68" s="1265"/>
      <c r="O68" s="1265"/>
      <c r="P68" s="507"/>
      <c r="Q68" s="485"/>
    </row>
    <row r="69" spans="1:17" s="35" customFormat="1" ht="14.4" thickBot="1">
      <c r="A69" s="502"/>
      <c r="B69" s="491"/>
      <c r="C69" s="623">
        <v>100</v>
      </c>
      <c r="D69" s="493"/>
      <c r="E69" s="493"/>
      <c r="F69" s="493"/>
      <c r="G69" s="493"/>
      <c r="H69" s="493"/>
      <c r="I69" s="493"/>
      <c r="J69" s="493"/>
      <c r="K69" s="493"/>
      <c r="L69" s="493"/>
      <c r="M69" s="495"/>
      <c r="N69" s="1265"/>
      <c r="O69" s="1265"/>
      <c r="P69" s="485"/>
      <c r="Q69" s="485"/>
    </row>
    <row r="70" spans="1:17" ht="14.4">
      <c r="A70" s="508" t="s">
        <v>2393</v>
      </c>
      <c r="B70" s="509" t="s">
        <v>2358</v>
      </c>
      <c r="C70" s="511"/>
      <c r="D70" s="511"/>
      <c r="E70" s="511"/>
      <c r="F70" s="511"/>
      <c r="G70" s="511"/>
      <c r="H70" s="511"/>
      <c r="I70" s="511"/>
      <c r="J70" s="511"/>
      <c r="K70" s="512"/>
      <c r="L70" s="513"/>
      <c r="M70" s="514"/>
      <c r="N70" s="1266"/>
      <c r="O70" s="1266"/>
      <c r="P70" s="22"/>
      <c r="Q70" s="485"/>
    </row>
    <row r="71" spans="1:17" ht="14.4" thickBot="1">
      <c r="A71" s="516"/>
      <c r="B71" s="517"/>
      <c r="C71" s="518"/>
      <c r="D71" s="518"/>
      <c r="E71" s="518"/>
      <c r="F71" s="518"/>
      <c r="G71" s="518"/>
      <c r="H71" s="518"/>
      <c r="I71" s="518"/>
      <c r="J71" s="518"/>
      <c r="K71" s="518"/>
      <c r="L71" s="518"/>
      <c r="M71" s="519"/>
      <c r="N71" s="1267"/>
      <c r="O71" s="1267"/>
      <c r="P71" s="22"/>
      <c r="Q71" s="485"/>
    </row>
    <row r="72" spans="1:17" ht="29.4" thickTop="1">
      <c r="A72" s="516"/>
      <c r="B72" s="521" t="s">
        <v>2361</v>
      </c>
      <c r="C72" s="522"/>
      <c r="D72" s="522"/>
      <c r="E72" s="522"/>
      <c r="F72" s="522"/>
      <c r="G72" s="522"/>
      <c r="H72" s="522"/>
      <c r="I72" s="522"/>
      <c r="J72" s="522"/>
      <c r="K72" s="523"/>
      <c r="L72" s="524"/>
      <c r="M72" s="525"/>
      <c r="N72" s="1266"/>
      <c r="O72" s="1266"/>
      <c r="P72" s="22"/>
      <c r="Q72" s="485"/>
    </row>
    <row r="73" spans="1:17" ht="14.4" thickBot="1">
      <c r="A73" s="516"/>
      <c r="B73" s="526"/>
      <c r="C73" s="527"/>
      <c r="D73" s="527"/>
      <c r="E73" s="527"/>
      <c r="F73" s="527"/>
      <c r="G73" s="527"/>
      <c r="H73" s="527"/>
      <c r="I73" s="527"/>
      <c r="J73" s="527"/>
      <c r="K73" s="527"/>
      <c r="L73" s="527"/>
      <c r="M73" s="528"/>
      <c r="N73" s="1267"/>
      <c r="O73" s="1267"/>
      <c r="P73" s="22"/>
      <c r="Q73" s="485"/>
    </row>
    <row r="74" spans="1:17" ht="1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c r="A75" s="516"/>
      <c r="B75" s="531"/>
      <c r="C75" s="532"/>
      <c r="D75" s="532"/>
      <c r="E75" s="532"/>
      <c r="F75" s="532"/>
      <c r="G75" s="532"/>
      <c r="H75" s="532"/>
      <c r="I75" s="532"/>
      <c r="J75" s="532"/>
      <c r="K75" s="533"/>
      <c r="L75" s="534"/>
      <c r="M75" s="535"/>
      <c r="N75" s="1266"/>
      <c r="O75" s="1266"/>
      <c r="P75" s="22"/>
      <c r="Q75" s="485"/>
    </row>
    <row r="76" spans="1:17" ht="14.4"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4.4" thickTop="1">
      <c r="A77" s="536"/>
      <c r="B77" s="521">
        <f>B12</f>
        <v>111</v>
      </c>
      <c r="C77" s="537"/>
      <c r="D77" s="537"/>
      <c r="E77" s="537"/>
      <c r="F77" s="537"/>
      <c r="G77" s="537"/>
      <c r="H77" s="538"/>
      <c r="I77" s="538"/>
      <c r="J77" s="538"/>
      <c r="K77" s="538"/>
      <c r="L77" s="539"/>
      <c r="M77" s="540"/>
      <c r="N77" s="1268"/>
      <c r="O77" s="1268"/>
      <c r="P77" s="542"/>
      <c r="Q77" s="543"/>
    </row>
    <row r="78" spans="1:17" s="452" customFormat="1" ht="14.4" thickBot="1">
      <c r="A78" s="536"/>
      <c r="B78" s="526"/>
      <c r="C78" s="544"/>
      <c r="D78" s="518"/>
      <c r="E78" s="518"/>
      <c r="F78" s="518"/>
      <c r="G78" s="518"/>
      <c r="H78" s="518"/>
      <c r="I78" s="518"/>
      <c r="J78" s="518"/>
      <c r="K78" s="518"/>
      <c r="L78" s="518"/>
      <c r="M78" s="519"/>
      <c r="N78" s="1267"/>
      <c r="O78" s="1267"/>
      <c r="P78" s="542"/>
      <c r="Q78" s="543"/>
    </row>
    <row r="79" spans="1:17" s="452" customFormat="1" ht="14.4" thickTop="1">
      <c r="A79" s="536"/>
      <c r="B79" s="521">
        <f>B13</f>
        <v>111</v>
      </c>
      <c r="C79" s="537"/>
      <c r="D79" s="537"/>
      <c r="E79" s="537"/>
      <c r="F79" s="537"/>
      <c r="G79" s="537"/>
      <c r="H79" s="538"/>
      <c r="I79" s="538"/>
      <c r="J79" s="538"/>
      <c r="K79" s="538"/>
      <c r="L79" s="539"/>
      <c r="M79" s="540"/>
      <c r="N79" s="1268"/>
      <c r="O79" s="1268"/>
      <c r="P79" s="451"/>
      <c r="Q79" s="545"/>
    </row>
    <row r="80" spans="1:17" s="452" customFormat="1" ht="14.4" thickBot="1">
      <c r="A80" s="536"/>
      <c r="B80" s="526"/>
      <c r="C80" s="544"/>
      <c r="D80" s="544"/>
      <c r="E80" s="544"/>
      <c r="F80" s="544"/>
      <c r="G80" s="544"/>
      <c r="H80" s="546"/>
      <c r="I80" s="546"/>
      <c r="J80" s="546"/>
      <c r="K80" s="546"/>
      <c r="L80" s="546"/>
      <c r="M80" s="547"/>
      <c r="N80" s="1268"/>
      <c r="O80" s="1268"/>
      <c r="P80" s="542"/>
      <c r="Q80" s="543"/>
    </row>
    <row r="81" spans="1:17" s="452" customFormat="1" ht="14.4" thickTop="1">
      <c r="A81" s="536"/>
      <c r="B81" s="529">
        <f>B14</f>
        <v>111</v>
      </c>
      <c r="C81" s="504"/>
      <c r="D81" s="504"/>
      <c r="E81" s="504"/>
      <c r="F81" s="504"/>
      <c r="G81" s="504"/>
      <c r="H81" s="548"/>
      <c r="I81" s="548"/>
      <c r="J81" s="548"/>
      <c r="K81" s="548"/>
      <c r="L81" s="549"/>
      <c r="M81" s="550"/>
      <c r="N81" s="1268"/>
      <c r="O81" s="1268"/>
      <c r="P81" s="551"/>
      <c r="Q81" s="543"/>
    </row>
    <row r="82" spans="1:17" s="452" customFormat="1" ht="14.4" thickBot="1">
      <c r="A82" s="552"/>
      <c r="B82" s="553"/>
      <c r="C82" s="554"/>
      <c r="D82" s="554"/>
      <c r="E82" s="554"/>
      <c r="F82" s="554"/>
      <c r="G82" s="554"/>
      <c r="H82" s="555"/>
      <c r="I82" s="555"/>
      <c r="J82" s="555"/>
      <c r="K82" s="555"/>
      <c r="L82" s="555"/>
      <c r="M82" s="556"/>
      <c r="N82" s="1268"/>
      <c r="O82" s="1268"/>
      <c r="P82" s="542"/>
      <c r="Q82" s="543"/>
    </row>
    <row r="83" spans="1:17" ht="14.4">
      <c r="A83" s="508" t="s">
        <v>2363</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4.4"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4.4"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29.4"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4.4"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9.4"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4.4"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4.4"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4.4"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4.4"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9.4" thickTop="1">
      <c r="A97" s="516"/>
      <c r="B97" s="521" t="s">
        <v>2482</v>
      </c>
      <c r="C97" s="537"/>
      <c r="D97" s="537"/>
      <c r="E97" s="537"/>
      <c r="F97" s="537"/>
      <c r="G97" s="537"/>
      <c r="H97" s="567"/>
      <c r="I97" s="567"/>
      <c r="J97" s="567"/>
      <c r="K97" s="568"/>
      <c r="L97" s="569"/>
      <c r="M97" s="570"/>
      <c r="N97" s="1266"/>
      <c r="O97" s="1266"/>
      <c r="P97" s="22"/>
      <c r="Q97" s="485"/>
    </row>
    <row r="98" spans="1:17" ht="14.4"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 thickTop="1">
      <c r="A99" s="516"/>
      <c r="B99" s="521" t="s">
        <v>2549</v>
      </c>
      <c r="C99" s="567"/>
      <c r="D99" s="567"/>
      <c r="E99" s="567"/>
      <c r="F99" s="567"/>
      <c r="G99" s="567"/>
      <c r="H99" s="567"/>
      <c r="I99" s="567"/>
      <c r="J99" s="567"/>
      <c r="K99" s="568"/>
      <c r="L99" s="569"/>
      <c r="M99" s="570"/>
      <c r="N99" s="1266"/>
      <c r="O99" s="1266"/>
      <c r="P99" s="22"/>
      <c r="Q99" s="485"/>
    </row>
    <row r="100" spans="1:17" ht="14.4"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4.4" thickTop="1">
      <c r="A101" s="516"/>
      <c r="B101" s="529">
        <f>B31</f>
        <v>111</v>
      </c>
      <c r="C101" s="537"/>
      <c r="D101" s="537"/>
      <c r="E101" s="537"/>
      <c r="F101" s="537"/>
      <c r="G101" s="571"/>
      <c r="H101" s="571"/>
      <c r="I101" s="571"/>
      <c r="J101" s="571"/>
      <c r="K101" s="572"/>
      <c r="L101" s="573"/>
      <c r="M101" s="574"/>
      <c r="N101" s="1266"/>
      <c r="O101" s="1266"/>
      <c r="P101" s="22"/>
      <c r="Q101" s="485"/>
    </row>
    <row r="102" spans="1:17" ht="14.4" thickBot="1">
      <c r="A102" s="516"/>
      <c r="B102" s="553"/>
      <c r="C102" s="544"/>
      <c r="D102" s="518"/>
      <c r="E102" s="518"/>
      <c r="F102" s="518"/>
      <c r="G102" s="575"/>
      <c r="H102" s="575"/>
      <c r="I102" s="575"/>
      <c r="J102" s="575"/>
      <c r="K102" s="575"/>
      <c r="L102" s="575"/>
      <c r="M102" s="576"/>
      <c r="N102" s="1267"/>
      <c r="O102" s="1267"/>
      <c r="P102" s="22"/>
      <c r="Q102" s="485"/>
    </row>
    <row r="103" spans="1:17" ht="14.4" thickTop="1">
      <c r="A103" s="658"/>
      <c r="B103" s="521">
        <f>B32</f>
        <v>111</v>
      </c>
      <c r="C103" s="537"/>
      <c r="D103" s="537"/>
      <c r="E103" s="537"/>
      <c r="F103" s="537"/>
      <c r="G103" s="567"/>
      <c r="H103" s="567"/>
      <c r="I103" s="567"/>
      <c r="J103" s="567"/>
      <c r="K103" s="568"/>
      <c r="L103" s="569"/>
      <c r="M103" s="570"/>
      <c r="N103" s="1266"/>
      <c r="O103" s="1266"/>
      <c r="P103" s="22"/>
      <c r="Q103" s="485"/>
    </row>
    <row r="104" spans="1:17" ht="14.4" thickBot="1">
      <c r="A104" s="516"/>
      <c r="B104" s="526"/>
      <c r="C104" s="544"/>
      <c r="D104" s="544"/>
      <c r="E104" s="544"/>
      <c r="F104" s="544"/>
      <c r="G104" s="518"/>
      <c r="H104" s="518"/>
      <c r="I104" s="518"/>
      <c r="J104" s="518"/>
      <c r="K104" s="518"/>
      <c r="L104" s="518"/>
      <c r="M104" s="519"/>
      <c r="N104" s="1267"/>
      <c r="O104" s="1267"/>
      <c r="P104" s="22"/>
      <c r="Q104" s="485"/>
    </row>
    <row r="105" spans="1:17" s="452" customFormat="1" ht="14.4"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4.4" thickBot="1">
      <c r="A106" s="536"/>
      <c r="B106" s="529"/>
      <c r="C106" s="554"/>
      <c r="D106" s="554"/>
      <c r="E106" s="554"/>
      <c r="F106" s="554"/>
      <c r="G106" s="660"/>
      <c r="H106" s="660"/>
      <c r="I106" s="660"/>
      <c r="J106" s="660"/>
      <c r="K106" s="660"/>
      <c r="L106" s="660"/>
      <c r="M106" s="683"/>
      <c r="N106" s="1267"/>
      <c r="O106" s="1267"/>
      <c r="P106" s="542"/>
      <c r="Q106" s="543"/>
    </row>
    <row r="107" spans="1:17" ht="14.4">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c r="A108" s="516"/>
      <c r="B108" s="529"/>
      <c r="C108" s="579"/>
      <c r="D108" s="579"/>
      <c r="E108" s="579"/>
      <c r="F108" s="579"/>
      <c r="G108" s="579"/>
      <c r="H108" s="579"/>
      <c r="I108" s="579"/>
      <c r="J108" s="580"/>
      <c r="K108" s="580"/>
      <c r="L108" s="581"/>
      <c r="M108" s="582"/>
      <c r="N108" s="1266"/>
      <c r="O108" s="1266"/>
      <c r="P108" s="22"/>
      <c r="Q108" s="485"/>
    </row>
    <row r="109" spans="1:17" ht="14.4"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4.4"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4.4"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4.4"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4.4" thickTop="1">
      <c r="A116" s="583"/>
      <c r="B116" s="521">
        <f>B38</f>
        <v>111</v>
      </c>
      <c r="C116" s="537"/>
      <c r="D116" s="537"/>
      <c r="E116" s="537"/>
      <c r="F116" s="537"/>
      <c r="G116" s="537"/>
      <c r="H116" s="567"/>
      <c r="I116" s="567"/>
      <c r="J116" s="567"/>
      <c r="K116" s="568"/>
      <c r="L116" s="569"/>
      <c r="M116" s="570"/>
      <c r="N116" s="1266"/>
      <c r="O116" s="1266"/>
      <c r="P116" s="22"/>
      <c r="Q116" s="485"/>
    </row>
    <row r="117" spans="1:17" ht="14.4" thickBot="1">
      <c r="A117" s="516"/>
      <c r="B117" s="526"/>
      <c r="C117" s="544"/>
      <c r="D117" s="518"/>
      <c r="E117" s="518"/>
      <c r="F117" s="518"/>
      <c r="G117" s="518"/>
      <c r="H117" s="518"/>
      <c r="I117" s="518"/>
      <c r="J117" s="518"/>
      <c r="K117" s="518"/>
      <c r="L117" s="518"/>
      <c r="M117" s="519"/>
      <c r="N117" s="1267"/>
      <c r="O117" s="1267"/>
      <c r="P117" s="22"/>
      <c r="Q117" s="485"/>
    </row>
    <row r="118" spans="1:17" ht="14.4" thickTop="1">
      <c r="A118" s="583"/>
      <c r="B118" s="521">
        <f>B39</f>
        <v>111</v>
      </c>
      <c r="C118" s="537"/>
      <c r="D118" s="537"/>
      <c r="E118" s="537"/>
      <c r="F118" s="537"/>
      <c r="G118" s="567"/>
      <c r="H118" s="567"/>
      <c r="I118" s="567"/>
      <c r="J118" s="567"/>
      <c r="K118" s="568"/>
      <c r="L118" s="569"/>
      <c r="M118" s="570"/>
      <c r="N118" s="1266"/>
      <c r="O118" s="1266"/>
      <c r="P118" s="22"/>
      <c r="Q118" s="485"/>
    </row>
    <row r="119" spans="1:17" ht="14.4" thickBot="1">
      <c r="A119" s="516"/>
      <c r="B119" s="526"/>
      <c r="C119" s="544"/>
      <c r="D119" s="544"/>
      <c r="E119" s="544"/>
      <c r="F119" s="544"/>
      <c r="G119" s="518"/>
      <c r="H119" s="518"/>
      <c r="I119" s="518"/>
      <c r="J119" s="518"/>
      <c r="K119" s="518"/>
      <c r="L119" s="518"/>
      <c r="M119" s="519"/>
      <c r="N119" s="1267"/>
      <c r="O119" s="1267"/>
      <c r="P119" s="22"/>
      <c r="Q119" s="485"/>
    </row>
    <row r="120" spans="1:17" s="452" customFormat="1" ht="14.4"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4.4"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ColWidth="9" defaultRowHeight="13.2"/>
  <cols>
    <col min="1" max="1" width="9.77734375" style="2584" customWidth="1"/>
    <col min="2" max="2" width="19.21875" style="2697" customWidth="1"/>
    <col min="3" max="3" width="12.44140625" style="2507" customWidth="1"/>
    <col min="4" max="4" width="12" style="2507" customWidth="1"/>
    <col min="5" max="5" width="14.6640625" style="2507" customWidth="1"/>
    <col min="6" max="8" width="12" style="2507" customWidth="1"/>
    <col min="9" max="9" width="12.21875" style="2507" bestFit="1" customWidth="1"/>
    <col min="10" max="10" width="12" style="2507" customWidth="1"/>
    <col min="11" max="11" width="9.44140625" style="1461" customWidth="1"/>
    <col min="12" max="12" width="12" style="2507" customWidth="1"/>
    <col min="13" max="13" width="8.44140625" style="2507" customWidth="1"/>
    <col min="14" max="14" width="9.77734375" style="2507" customWidth="1"/>
    <col min="15" max="25" width="12" style="2507" customWidth="1"/>
    <col min="26" max="26" width="9.33203125" style="2584" customWidth="1"/>
    <col min="27" max="32" width="9.33203125" style="2660" customWidth="1"/>
    <col min="33" max="36" width="9.33203125" style="2584" customWidth="1"/>
    <col min="37" max="38" width="9.33203125" style="2507" customWidth="1"/>
    <col min="39" max="16384" width="9" style="2507"/>
  </cols>
  <sheetData>
    <row r="1" spans="1:36" ht="31.2">
      <c r="A1" s="161" t="s">
        <v>2596</v>
      </c>
      <c r="B1" s="2504"/>
      <c r="C1" s="162" t="s">
        <v>2597</v>
      </c>
      <c r="D1" s="2505">
        <f>SUM(D29:D30,D33:D39)</f>
        <v>0</v>
      </c>
      <c r="E1" s="2505"/>
      <c r="F1" s="2505"/>
      <c r="G1" s="2505"/>
      <c r="H1" s="2505"/>
      <c r="I1" s="2505"/>
      <c r="J1" s="2505"/>
      <c r="L1" s="2506" t="s">
        <v>2598</v>
      </c>
      <c r="M1" s="1118">
        <f>SUMPRODUCT((区片价!B5:B9=I2)*(区片价!C3:F3=E2)*(区片价!C5:F9))</f>
        <v>0</v>
      </c>
      <c r="N1" s="1121">
        <f>SUMPRODUCT((因素修正幅度!B5:B9=I2)*(因素修正幅度!C3:F3=E2)*(因素修正幅度!C5:F9))</f>
        <v>0</v>
      </c>
      <c r="O1" s="1461"/>
      <c r="P1" s="1461"/>
      <c r="Q1" s="1461"/>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5.2">
      <c r="A2" s="165" t="s">
        <v>2604</v>
      </c>
      <c r="B2" s="168" t="e">
        <f>C26</f>
        <v>#DIV/0!</v>
      </c>
      <c r="C2" s="2508" t="s">
        <v>2605</v>
      </c>
      <c r="D2" s="2509" t="s">
        <v>2606</v>
      </c>
      <c r="E2" s="2510"/>
      <c r="F2" s="2509" t="s">
        <v>2607</v>
      </c>
      <c r="G2" s="2511">
        <f>项目基本情况!F9</f>
        <v>0</v>
      </c>
      <c r="H2" s="2512" t="s">
        <v>2608</v>
      </c>
      <c r="I2" s="2511">
        <f>项目基本情况!F10</f>
        <v>0</v>
      </c>
      <c r="J2" s="2513"/>
      <c r="L2" s="2514" t="s">
        <v>2609</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6">
      <c r="A3" s="167" t="s">
        <v>2610</v>
      </c>
      <c r="B3" s="168" t="e">
        <f>ROUND(B2/D1,0)</f>
        <v>#DIV/0!</v>
      </c>
      <c r="C3" s="2508" t="s">
        <v>2611</v>
      </c>
      <c r="D3" s="2509" t="s">
        <v>2612</v>
      </c>
      <c r="E3" s="2515"/>
      <c r="F3" s="2516" t="s">
        <v>2613</v>
      </c>
      <c r="G3" s="940">
        <f>项目基本情况!C15</f>
        <v>0</v>
      </c>
      <c r="H3" s="115" t="s">
        <v>2614</v>
      </c>
      <c r="I3" s="973">
        <v>7</v>
      </c>
      <c r="J3" s="2513" t="s">
        <v>2615</v>
      </c>
      <c r="L3" s="2514" t="s">
        <v>2616</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6">
      <c r="A4" s="3078"/>
      <c r="B4" s="3079"/>
      <c r="C4" s="3079"/>
      <c r="D4" s="3080"/>
      <c r="E4" s="3080"/>
      <c r="F4" s="3080"/>
      <c r="G4" s="3080"/>
      <c r="H4" s="3080"/>
      <c r="I4" s="3080"/>
      <c r="J4" s="3081"/>
      <c r="L4" s="2514" t="s">
        <v>2617</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6" customFormat="1" ht="15.6" thickBot="1">
      <c r="A5" s="2517" t="s">
        <v>2618</v>
      </c>
      <c r="B5" s="2518" t="s">
        <v>2619</v>
      </c>
      <c r="C5" s="941" t="e">
        <f>ROUND(IF(E2="商业",IF(F16="增加",C6*C7+C16,C6*C7-C16),IF(E2="住宅",IF(F16="增加",C6*C12+C16,C6*C12-C16),IF(F16="增加",C6+C16,C6-C16))),0)</f>
        <v>#DIV/0!</v>
      </c>
      <c r="D5" s="1876">
        <f>ROUND(IF(E2="商业",IF(F16="增加",C6+C16,C6-C16)),0)</f>
        <v>0</v>
      </c>
      <c r="E5" s="2519"/>
      <c r="F5" s="2519"/>
      <c r="G5" s="2520"/>
      <c r="H5" s="2520"/>
      <c r="I5" s="2520"/>
      <c r="J5" s="2521"/>
      <c r="K5" s="2522"/>
      <c r="L5" s="2514" t="s">
        <v>2620</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3"/>
      <c r="AD5" s="2524"/>
      <c r="AE5" s="2524"/>
      <c r="AF5" s="2524"/>
      <c r="AG5" s="2524"/>
      <c r="AH5" s="2524"/>
      <c r="AI5" s="2524"/>
      <c r="AJ5" s="2525"/>
    </row>
    <row r="6" spans="1:36" ht="15.6" thickBot="1">
      <c r="A6" s="2527">
        <v>1</v>
      </c>
      <c r="B6" s="2528" t="s">
        <v>2621</v>
      </c>
      <c r="C6" s="942">
        <f>SUMIF(L1:L12,G2,M1:M12)</f>
        <v>0</v>
      </c>
      <c r="D6" s="2529" t="s">
        <v>2622</v>
      </c>
      <c r="E6" s="2530"/>
      <c r="F6" s="2530"/>
      <c r="G6" s="2531"/>
      <c r="H6" s="2531"/>
      <c r="I6" s="2531"/>
      <c r="J6" s="2532"/>
      <c r="K6" s="2533"/>
      <c r="L6" s="2514" t="s">
        <v>2623</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3"/>
      <c r="AD6" s="2524"/>
      <c r="AE6" s="2524"/>
      <c r="AF6" s="2524"/>
      <c r="AG6" s="2524"/>
      <c r="AH6" s="2524"/>
      <c r="AI6" s="2524"/>
      <c r="AJ6" s="2525"/>
    </row>
    <row r="7" spans="1:36" ht="24">
      <c r="A7" s="3062" t="str">
        <f>IF(E2="商业",IF(C8="不临58条商业街","",2),"")</f>
        <v/>
      </c>
      <c r="B7" s="2534" t="s">
        <v>2624</v>
      </c>
      <c r="C7" s="943" t="e">
        <f>IF(C8="不临58条商业街",1,ROUND(1+(1.6*E8+1.2*E9+0.8*E10+0.4*E11)*C9,4))</f>
        <v>#DIV/0!</v>
      </c>
      <c r="D7" s="2535" t="s">
        <v>2625</v>
      </c>
      <c r="E7" s="974"/>
      <c r="F7" s="2536"/>
      <c r="G7" s="2537"/>
      <c r="H7" s="2537"/>
      <c r="I7" s="2537"/>
      <c r="J7" s="2538"/>
      <c r="K7" s="2533"/>
      <c r="L7" s="2514" t="s">
        <v>2626</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2627</v>
      </c>
      <c r="X7" s="1710">
        <f>G2</f>
        <v>0</v>
      </c>
      <c r="Y7" s="1710" t="s">
        <v>2628</v>
      </c>
      <c r="Z7" s="1711">
        <f>G3</f>
        <v>0</v>
      </c>
      <c r="AA7" s="1712"/>
      <c r="AB7" s="1712"/>
      <c r="AC7" s="1713"/>
      <c r="AD7" s="1714"/>
      <c r="AE7" s="1714"/>
      <c r="AF7" s="1714"/>
      <c r="AG7" s="1714"/>
      <c r="AH7" s="1714"/>
      <c r="AI7" s="1714"/>
      <c r="AJ7" s="1715"/>
    </row>
    <row r="8" spans="1:36" ht="15">
      <c r="A8" s="3063"/>
      <c r="B8" s="115" t="s">
        <v>2629</v>
      </c>
      <c r="C8" s="2539"/>
      <c r="D8" s="944" t="s">
        <v>89</v>
      </c>
      <c r="E8" s="945" t="e">
        <f>ROUND(C11/E7,4)</f>
        <v>#DIV/0!</v>
      </c>
      <c r="F8" s="2540" t="s">
        <v>2630</v>
      </c>
      <c r="G8" s="2541"/>
      <c r="H8" s="2541"/>
      <c r="I8" s="2541"/>
      <c r="J8" s="2542"/>
      <c r="L8" s="2514" t="s">
        <v>2631</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5" t="s">
        <v>2632</v>
      </c>
      <c r="X8" s="3076"/>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63"/>
      <c r="B9" s="115" t="s">
        <v>2645</v>
      </c>
      <c r="C9" s="946">
        <f>SUMIF(修正!C59:C119,C8,修正!E59:E119)</f>
        <v>0</v>
      </c>
      <c r="D9" s="117" t="s">
        <v>90</v>
      </c>
      <c r="E9" s="117" t="e">
        <f>ROUND(C11/E7,4)</f>
        <v>#DIV/0!</v>
      </c>
      <c r="F9" s="2540" t="s">
        <v>2646</v>
      </c>
      <c r="G9" s="2541"/>
      <c r="H9" s="2541"/>
      <c r="I9" s="2541"/>
      <c r="J9" s="2542"/>
      <c r="L9" s="2514" t="s">
        <v>2647</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7"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63"/>
      <c r="B10" s="115" t="s">
        <v>2650</v>
      </c>
      <c r="C10" s="117">
        <f>SUMIF(修正!C59:C119,C8,修正!F59:F119)</f>
        <v>0</v>
      </c>
      <c r="D10" s="117" t="s">
        <v>91</v>
      </c>
      <c r="E10" s="117" t="e">
        <f>ROUND(C11/E7,4)</f>
        <v>#DIV/0!</v>
      </c>
      <c r="F10" s="2540" t="s">
        <v>2651</v>
      </c>
      <c r="G10" s="2541"/>
      <c r="H10" s="2541"/>
      <c r="I10" s="2541"/>
      <c r="J10" s="2542"/>
      <c r="L10" s="2514" t="s">
        <v>2652</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7"/>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6" thickBot="1">
      <c r="A11" s="3063"/>
      <c r="B11" s="2543" t="s">
        <v>2653</v>
      </c>
      <c r="C11" s="947">
        <f>C10/4</f>
        <v>0</v>
      </c>
      <c r="D11" s="947" t="s">
        <v>92</v>
      </c>
      <c r="E11" s="947" t="e">
        <f>ROUND(C11/E7,4)</f>
        <v>#DIV/0!</v>
      </c>
      <c r="F11" s="2544" t="s">
        <v>2654</v>
      </c>
      <c r="G11" s="2545"/>
      <c r="H11" s="2545"/>
      <c r="I11" s="2545"/>
      <c r="J11" s="2546"/>
      <c r="L11" s="2514" t="s">
        <v>2655</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7" t="s">
        <v>2656</v>
      </c>
      <c r="X11" s="1721" t="s">
        <v>2657</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8" thickBot="1">
      <c r="A12" s="3062" t="str">
        <f>IF(E2="住宅",2,"")</f>
        <v/>
      </c>
      <c r="B12" s="2547" t="s">
        <v>2658</v>
      </c>
      <c r="C12" s="943">
        <f>ROUND(C15*D15*E15*F15*G15*H15*I15*J15,4)</f>
        <v>1.32</v>
      </c>
      <c r="D12" s="2548" t="s">
        <v>2659</v>
      </c>
      <c r="E12" s="2549"/>
      <c r="F12" s="2549"/>
      <c r="G12" s="2550"/>
      <c r="H12" s="2550"/>
      <c r="I12" s="2550"/>
      <c r="J12" s="2551"/>
      <c r="L12" s="2552" t="s">
        <v>2660</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7"/>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2"/>
      <c r="B13" s="2553" t="s">
        <v>2662</v>
      </c>
      <c r="C13" s="2554" t="s">
        <v>2663</v>
      </c>
      <c r="D13" s="2555" t="s">
        <v>2664</v>
      </c>
      <c r="E13" s="2555" t="s">
        <v>2665</v>
      </c>
      <c r="F13" s="20" t="s">
        <v>2666</v>
      </c>
      <c r="G13" s="2556" t="s">
        <v>2667</v>
      </c>
      <c r="H13" s="2556" t="s">
        <v>2667</v>
      </c>
      <c r="I13" s="2556" t="s">
        <v>2667</v>
      </c>
      <c r="J13" s="2557" t="s">
        <v>2667</v>
      </c>
      <c r="L13" s="1461"/>
      <c r="M13" s="1461"/>
      <c r="N13" s="1461"/>
      <c r="O13" s="1461"/>
      <c r="P13" s="1461"/>
      <c r="Q13" s="1461"/>
      <c r="R13" s="1708">
        <v>12</v>
      </c>
      <c r="S13" s="1709"/>
      <c r="T13" s="1708" t="e">
        <f t="shared" si="0"/>
        <v>#DIV/0!</v>
      </c>
      <c r="U13" s="1709"/>
      <c r="V13" s="1708" t="e">
        <f t="shared" si="1"/>
        <v>#DIV/0!</v>
      </c>
      <c r="W13" s="3077"/>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2"/>
      <c r="B14" s="2558"/>
      <c r="C14" s="2559" t="s">
        <v>2668</v>
      </c>
      <c r="D14" s="2560" t="s">
        <v>2669</v>
      </c>
      <c r="E14" s="2560" t="s">
        <v>2669</v>
      </c>
      <c r="F14" s="2561" t="s">
        <v>2670</v>
      </c>
      <c r="G14" s="2562" t="s">
        <v>2671</v>
      </c>
      <c r="H14" s="2563"/>
      <c r="I14" s="2564"/>
      <c r="J14" s="2565"/>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6" thickBot="1">
      <c r="A15" s="3083"/>
      <c r="B15" s="2566" t="s">
        <v>2672</v>
      </c>
      <c r="C15" s="150">
        <f>IF(C14="有",1.1,1)</f>
        <v>1.1000000000000001</v>
      </c>
      <c r="D15" s="150">
        <f>IF(D14="有",1.1,1)</f>
        <v>1</v>
      </c>
      <c r="E15" s="150">
        <f>IF(E14="有",1.1,1)</f>
        <v>1</v>
      </c>
      <c r="F15" s="150">
        <f>IF(F14="500米范围内",1.2,IF(F14="500-1000米",1.1,1))</f>
        <v>1.2</v>
      </c>
      <c r="G15" s="975">
        <v>1</v>
      </c>
      <c r="H15" s="975">
        <v>1</v>
      </c>
      <c r="I15" s="975">
        <v>1</v>
      </c>
      <c r="J15" s="976">
        <v>1</v>
      </c>
      <c r="L15" s="2567" t="s">
        <v>2673</v>
      </c>
      <c r="M15" s="944" t="s">
        <v>2674</v>
      </c>
      <c r="N15" s="944" t="s">
        <v>2675</v>
      </c>
      <c r="O15" s="944" t="s">
        <v>2676</v>
      </c>
      <c r="P15" s="2568" t="s">
        <v>2677</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62" t="b">
        <f>IF(E2="办公",2,IF(E2="工业",2,IF(E2="住宅",3,IF(E2="商业",IF(C8="不临58条商业街",2,3)))))</f>
        <v>0</v>
      </c>
      <c r="B16" s="2534" t="s">
        <v>2678</v>
      </c>
      <c r="C16" s="1884" t="e">
        <f>ROUND(SUM(G17:J17)/C17,0)</f>
        <v>#DIV/0!</v>
      </c>
      <c r="D16" s="2569" t="s">
        <v>2679</v>
      </c>
      <c r="E16" s="2570"/>
      <c r="F16" s="2571"/>
      <c r="G16" s="2572"/>
      <c r="H16" s="2572"/>
      <c r="I16" s="2572"/>
      <c r="J16" s="2573"/>
      <c r="L16" s="1459" t="s">
        <v>2680</v>
      </c>
      <c r="M16" s="946">
        <v>0.25</v>
      </c>
      <c r="N16" s="946">
        <v>0.2</v>
      </c>
      <c r="O16" s="946">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24.6" thickBot="1">
      <c r="A17" s="3063"/>
      <c r="B17" s="2574" t="s">
        <v>2681</v>
      </c>
      <c r="C17" s="948">
        <f>SUMPRODUCT((修正!A2:A5=E2)*(修正!B1:M1=G2)*(修正!B2:M5))</f>
        <v>0</v>
      </c>
      <c r="D17" s="2575" t="s">
        <v>2682</v>
      </c>
      <c r="E17" s="947" t="str">
        <f>IF(OR(G2="八级",G2="九级",G2="十级",G2="十一级",G2="十二级"),"五通一平","七通一平")</f>
        <v>七通一平</v>
      </c>
      <c r="F17" s="948" t="s">
        <v>2683</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6" customFormat="1" ht="15" thickBot="1">
      <c r="A18" s="2576" t="s">
        <v>2685</v>
      </c>
      <c r="B18" s="2577" t="s">
        <v>2686</v>
      </c>
      <c r="C18" s="950">
        <f>SUMIF(修正!C18:C39,E3,修正!E18:E39)</f>
        <v>0</v>
      </c>
      <c r="D18" s="2578"/>
      <c r="E18" s="2579"/>
      <c r="F18" s="2580"/>
      <c r="G18" s="2581"/>
      <c r="H18" s="2581"/>
      <c r="I18" s="2581"/>
      <c r="J18" s="2582"/>
      <c r="K18" s="2583"/>
      <c r="O18" s="1461"/>
      <c r="P18" s="1461"/>
      <c r="Q18" s="1461"/>
      <c r="R18" s="1461"/>
      <c r="S18" s="1461"/>
      <c r="T18" s="1461"/>
      <c r="U18" s="1461"/>
      <c r="V18" s="1461"/>
      <c r="W18" s="1461"/>
      <c r="X18" s="1461"/>
      <c r="Y18" s="1461"/>
      <c r="Z18" s="1461"/>
      <c r="AA18" s="1461"/>
      <c r="AB18" s="1461"/>
      <c r="AC18" s="1461"/>
      <c r="AD18" s="1461"/>
      <c r="AE18" s="1462"/>
      <c r="AF18" s="1462"/>
      <c r="AG18" s="2584"/>
      <c r="AH18" s="2584"/>
      <c r="AI18" s="2584"/>
    </row>
    <row r="19" spans="1:37" s="2526" customFormat="1" ht="29.4" thickBot="1">
      <c r="A19" s="2576" t="s">
        <v>2687</v>
      </c>
      <c r="B19" s="2577" t="s">
        <v>2688</v>
      </c>
      <c r="C19" s="951" t="e">
        <f>ROUND(IF(H19="按公示增长率计算",SUMPRODUCT((地价!A3:A23=YEAR(G19)&amp;"-"&amp;ROUNDUP(MONTH(G19)/3,0))*(地价!X2:AB2=E2)*(地价!X3:AB23)),IF(H19="地价指数",M20/M19,(1+I19)^O19)),4)</f>
        <v>#DIV/0!</v>
      </c>
      <c r="D19" s="2585" t="s">
        <v>2689</v>
      </c>
      <c r="E19" s="952">
        <v>41640</v>
      </c>
      <c r="F19" s="2585" t="s">
        <v>2690</v>
      </c>
      <c r="G19" s="953">
        <f>'数据-取费表'!B2</f>
        <v>43328</v>
      </c>
      <c r="H19" s="2586" t="s">
        <v>2691</v>
      </c>
      <c r="I19" s="954" t="str">
        <f>IF(H19="季度增幅（自定义）",SUMIF(N21:N24,E2,O21:O24),"")</f>
        <v/>
      </c>
      <c r="J19" s="2582"/>
      <c r="K19" s="2583"/>
      <c r="L19" s="2587" t="s">
        <v>2692</v>
      </c>
      <c r="M19" s="1825">
        <f>ROUND(SUMIF(地价!B2:F2,E2,地价!B23:F23),0)</f>
        <v>0</v>
      </c>
      <c r="N19" s="1465" t="s">
        <v>2693</v>
      </c>
      <c r="O19" s="955">
        <f>ROUNDDOWN(DATEDIF(E19,G19,"M")/3,0)</f>
        <v>18</v>
      </c>
      <c r="P19" s="1462"/>
      <c r="R19" s="1461"/>
      <c r="S19" s="1461"/>
      <c r="T19" s="1461"/>
      <c r="U19" s="1461"/>
      <c r="V19" s="1461"/>
      <c r="W19" s="1461"/>
      <c r="X19" s="1461"/>
      <c r="Y19" s="1461"/>
      <c r="Z19" s="1461"/>
      <c r="AA19" s="1461"/>
      <c r="AB19" s="1461"/>
      <c r="AC19" s="1461"/>
      <c r="AD19" s="1461"/>
      <c r="AE19" s="2583"/>
      <c r="AF19" s="2588"/>
      <c r="AG19" s="2589"/>
      <c r="AH19" s="2584"/>
      <c r="AI19" s="2590"/>
      <c r="AJ19" s="2590"/>
      <c r="AK19" s="2590"/>
    </row>
    <row r="20" spans="1:37" s="2526" customFormat="1" ht="29.4" thickBot="1">
      <c r="A20" s="2591" t="s">
        <v>2694</v>
      </c>
      <c r="B20" s="2592" t="s">
        <v>2695</v>
      </c>
      <c r="C20" s="956" t="e">
        <f>ROUND(POWER(1+G20,J20-I20)*(POWER(1+G20,I20)-1)/(POWER(1+G20,J20)-1),4)</f>
        <v>#DIV/0!</v>
      </c>
      <c r="D20" s="2593" t="s">
        <v>2696</v>
      </c>
      <c r="E20" s="1855">
        <f ca="1">存贷款利率!D4/100</f>
        <v>4.3499999999999997E-2</v>
      </c>
      <c r="F20" s="2593" t="s">
        <v>2684</v>
      </c>
      <c r="G20" s="962">
        <f>SUMIF(M15:P15,E2,M17:P17)</f>
        <v>0</v>
      </c>
      <c r="H20" s="2593" t="s">
        <v>2697</v>
      </c>
      <c r="I20" s="963">
        <f>'数据-取费表'!B13</f>
        <v>42</v>
      </c>
      <c r="J20" s="964">
        <f>IF(E2="住宅",70,IF(E2="商业",40,50))</f>
        <v>50</v>
      </c>
      <c r="K20" s="2583"/>
      <c r="L20" s="2594" t="s">
        <v>2698</v>
      </c>
      <c r="M20" s="1826">
        <f>ROUND(SUMPRODUCT((地价!A4:A23=YEAR(G19)&amp;"-"&amp;ROUNDUP(MONTH(G19)/3,0))*(地价!B2:F2=E2)*(地价!B4:F23)),0)</f>
        <v>0</v>
      </c>
      <c r="N20" s="2595" t="s">
        <v>2699</v>
      </c>
      <c r="O20" s="2596" t="s">
        <v>2700</v>
      </c>
      <c r="P20" s="2597" t="s">
        <v>2701</v>
      </c>
      <c r="R20" s="1461"/>
      <c r="S20" s="1461"/>
      <c r="T20" s="1461"/>
      <c r="U20" s="1461"/>
      <c r="V20" s="1461"/>
      <c r="W20" s="1461"/>
      <c r="X20" s="1461"/>
      <c r="Y20" s="1461"/>
      <c r="Z20" s="1461"/>
      <c r="AA20" s="1461"/>
      <c r="AB20" s="1461"/>
      <c r="AC20" s="1461"/>
      <c r="AD20" s="1461"/>
      <c r="AE20" s="2583"/>
      <c r="AF20" s="2583"/>
    </row>
    <row r="21" spans="1:37" s="2526" customFormat="1" ht="14.4">
      <c r="A21" s="2598" t="s">
        <v>2702</v>
      </c>
      <c r="B21" s="2599" t="s">
        <v>2703</v>
      </c>
      <c r="C21" s="965" t="b">
        <f>IF(B21="容积率修正",IF(G3&lt;=10,D22,J22),C23)</f>
        <v>0</v>
      </c>
      <c r="D21" s="2600"/>
      <c r="E21" s="2600"/>
      <c r="F21" s="2600"/>
      <c r="G21" s="2600"/>
      <c r="H21" s="2600"/>
      <c r="I21" s="2600"/>
      <c r="J21" s="2601"/>
      <c r="K21" s="2583"/>
      <c r="N21" s="2602" t="s">
        <v>2704</v>
      </c>
      <c r="O21" s="1663"/>
      <c r="P21" s="1664">
        <f>SUMPRODUCT((地价!A3:A23=YEAR(G19)&amp;"-"&amp;ROUNDUP(MONTH(G19)/3,0))*(地价!AD2:AH2=N21)*(地价!AD3:AH23))</f>
        <v>1.54E-2</v>
      </c>
      <c r="R21" s="1461"/>
      <c r="S21" s="1461"/>
      <c r="T21" s="1461"/>
      <c r="U21" s="1461"/>
      <c r="V21" s="1461"/>
      <c r="W21" s="1461"/>
      <c r="X21" s="1461"/>
      <c r="Y21" s="1461"/>
      <c r="Z21" s="1461"/>
      <c r="AA21" s="1461"/>
      <c r="AB21" s="1461"/>
      <c r="AC21" s="1461"/>
      <c r="AD21" s="1461"/>
      <c r="AE21" s="2583"/>
      <c r="AF21" s="2583"/>
    </row>
    <row r="22" spans="1:37" s="2526" customFormat="1" ht="14.4">
      <c r="A22" s="2603">
        <v>1</v>
      </c>
      <c r="B22" s="2604" t="s">
        <v>2705</v>
      </c>
      <c r="C22" s="1898" t="s">
        <v>2706</v>
      </c>
      <c r="D22" s="1898" t="b">
        <f>IF(E22=G22,F22,IF(G3&lt;=10,ROUND(F22+(H22-F22)*(G3-E22)/(G22-E22),4),"——"))</f>
        <v>0</v>
      </c>
      <c r="E22" s="940">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6" t="str">
        <f>IF(G3&gt;10,D113,"——")</f>
        <v>——</v>
      </c>
      <c r="K22" s="2583"/>
      <c r="N22" s="2602" t="s">
        <v>2707</v>
      </c>
      <c r="O22" s="1663"/>
      <c r="P22" s="1664">
        <f>SUMPRODUCT((地价!A3:A23=YEAR(G19)&amp;"-"&amp;ROUNDUP(MONTH(G19)/3,0))*(地价!AD2:AH2=N22)*(地价!AD3:AH23))</f>
        <v>1.54E-2</v>
      </c>
      <c r="R22" s="1461"/>
      <c r="S22" s="1461"/>
      <c r="T22" s="1461"/>
      <c r="U22" s="1461"/>
      <c r="V22" s="1461"/>
      <c r="W22" s="1461"/>
      <c r="X22" s="1461"/>
      <c r="Y22" s="1461"/>
      <c r="Z22" s="1461"/>
      <c r="AA22" s="1461"/>
      <c r="AB22" s="1461"/>
      <c r="AC22" s="1461"/>
      <c r="AD22" s="1461"/>
      <c r="AE22" s="2583"/>
      <c r="AF22" s="2583"/>
    </row>
    <row r="23" spans="1:37" ht="28.8">
      <c r="A23" s="2603">
        <v>2</v>
      </c>
      <c r="B23" s="2604" t="s">
        <v>2708</v>
      </c>
      <c r="C23" s="957">
        <f>ROUND(IF(G3&gt;1,IF(I3&lt;7,SUMPRODUCT((B93:B98=I3)*(C92:N92=G2)*(C93:N98)),SUMIF(C92:N92,G2,C100:N100)),IF(I3&lt;7,SUMPRODUCT((B102:B107=I3)*(C92:N92=G2)*(C102:N107)),SUMIF(C92:N92,G2,C109:N109))),4)</f>
        <v>0</v>
      </c>
      <c r="D23" s="2563"/>
      <c r="E23" s="2563"/>
      <c r="F23" s="2605"/>
      <c r="G23" s="2606"/>
      <c r="H23" s="2607"/>
      <c r="I23" s="2608"/>
      <c r="J23" s="2609"/>
      <c r="N23" s="2602" t="s">
        <v>2709</v>
      </c>
      <c r="O23" s="1663"/>
      <c r="P23" s="1664">
        <f>SUMPRODUCT((地价!A3:A23=YEAR(G19)&amp;"-"&amp;ROUNDUP(MONTH(G19)/3,0))*(地价!AD2:AH2=N23)*(地价!AD3:AH23))</f>
        <v>2.4500000000000001E-2</v>
      </c>
      <c r="R23" s="1461"/>
      <c r="S23" s="1461"/>
      <c r="T23" s="1461"/>
      <c r="U23" s="1461"/>
      <c r="V23" s="1461"/>
      <c r="W23" s="1461"/>
      <c r="X23" s="1461"/>
      <c r="Y23" s="1461"/>
      <c r="Z23" s="1461"/>
      <c r="AA23" s="1461"/>
      <c r="AB23" s="1461"/>
      <c r="AC23" s="1461"/>
      <c r="AD23" s="1461"/>
      <c r="AE23" s="1462"/>
      <c r="AF23" s="1462"/>
      <c r="AK23" s="2584"/>
    </row>
    <row r="24" spans="1:37" s="2526" customFormat="1" ht="15" thickBot="1">
      <c r="A24" s="2610" t="s">
        <v>2710</v>
      </c>
      <c r="B24" s="2611" t="s">
        <v>2711</v>
      </c>
      <c r="C24" s="967">
        <f>SUMIF(A46:A88,E2,B46:B88)</f>
        <v>0</v>
      </c>
      <c r="D24" s="2612"/>
      <c r="E24" s="2613"/>
      <c r="F24" s="2613"/>
      <c r="G24" s="2613"/>
      <c r="H24" s="2613"/>
      <c r="I24" s="2613"/>
      <c r="J24" s="2614"/>
      <c r="K24" s="2583"/>
      <c r="N24" s="2615" t="s">
        <v>2712</v>
      </c>
      <c r="O24" s="1665"/>
      <c r="P24" s="1666">
        <f>SUMPRODUCT((地价!A3:A23=YEAR(G19)&amp;"-"&amp;ROUNDUP(MONTH(G19)/3,0))*(地价!AD2:AH2=N24)*(地价!AD3:AH23))</f>
        <v>1.41E-2</v>
      </c>
      <c r="R24" s="1461"/>
      <c r="S24" s="1461"/>
      <c r="T24" s="1461"/>
      <c r="U24" s="1461"/>
      <c r="V24" s="1461"/>
      <c r="W24" s="1461"/>
      <c r="X24" s="1461"/>
      <c r="Y24" s="1461"/>
      <c r="Z24" s="1461"/>
      <c r="AA24" s="1461"/>
      <c r="AB24" s="1461"/>
      <c r="AC24" s="1461"/>
      <c r="AD24" s="1461"/>
      <c r="AE24" s="2583"/>
      <c r="AF24" s="2583"/>
    </row>
    <row r="25" spans="1:37" ht="15" thickBot="1">
      <c r="A25" s="2591" t="s">
        <v>2713</v>
      </c>
      <c r="B25" s="2616" t="s">
        <v>2714</v>
      </c>
      <c r="C25" s="958"/>
      <c r="D25" s="2537"/>
      <c r="E25" s="2537"/>
      <c r="F25" s="2617"/>
      <c r="G25" s="2537"/>
      <c r="H25" s="2537"/>
      <c r="I25" s="2537"/>
      <c r="J25" s="2538"/>
      <c r="L25" s="1461"/>
      <c r="M25" s="1461"/>
      <c r="N25" s="2618" t="s">
        <v>2715</v>
      </c>
      <c r="O25" s="1667"/>
      <c r="P25" s="1666">
        <f>SUMPRODUCT((地价!A3:A23=YEAR(G19)&amp;"-"&amp;ROUNDUP(MONTH(G19)/3,0))*(地价!AD2:AH2=N25)*(地价!AD3:AH23))</f>
        <v>2.23E-2</v>
      </c>
      <c r="R25" s="1461"/>
      <c r="S25" s="1461"/>
      <c r="T25" s="1461"/>
      <c r="U25" s="1461"/>
      <c r="V25" s="1461"/>
      <c r="W25" s="1461"/>
      <c r="X25" s="1461"/>
      <c r="Y25" s="1461"/>
      <c r="Z25" s="1461"/>
      <c r="AA25" s="1461"/>
      <c r="AB25" s="1461"/>
      <c r="AC25" s="1461"/>
      <c r="AD25" s="1461"/>
      <c r="AE25" s="1462"/>
      <c r="AF25" s="1462"/>
    </row>
    <row r="26" spans="1:37" ht="14.4">
      <c r="A26" s="2619"/>
      <c r="B26" s="2604" t="s">
        <v>2716</v>
      </c>
      <c r="C26" s="123" t="e">
        <f>E29+SUM(E33:E39)</f>
        <v>#DIV/0!</v>
      </c>
      <c r="D26" s="2620"/>
      <c r="E26" s="2563"/>
      <c r="F26" s="2621"/>
      <c r="G26" s="2563"/>
      <c r="H26" s="2563"/>
      <c r="I26" s="2563"/>
      <c r="J26" s="2622"/>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 thickBot="1">
      <c r="A27" s="2619"/>
      <c r="B27" s="2623" t="s">
        <v>2717</v>
      </c>
      <c r="C27" s="959" t="e">
        <f>E30+SUM(I33:I39)</f>
        <v>#DIV/0!</v>
      </c>
      <c r="D27" s="2624"/>
      <c r="E27" s="2625"/>
      <c r="F27" s="2626"/>
      <c r="G27" s="2625"/>
      <c r="H27" s="2625"/>
      <c r="I27" s="2625"/>
      <c r="J27" s="2627"/>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4.4">
      <c r="A28" s="2591"/>
      <c r="B28" s="2628" t="s">
        <v>2718</v>
      </c>
      <c r="C28" s="2629" t="s">
        <v>2719</v>
      </c>
      <c r="D28" s="2629" t="s">
        <v>2720</v>
      </c>
      <c r="E28" s="2630" t="s">
        <v>2721</v>
      </c>
      <c r="F28" s="2631"/>
      <c r="G28" s="2550"/>
      <c r="H28" s="2550"/>
      <c r="I28" s="2550"/>
      <c r="J28" s="2551"/>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ht="25.2">
      <c r="A29" s="2632"/>
      <c r="B29" s="2633" t="s">
        <v>2722</v>
      </c>
      <c r="C29" s="123" t="e">
        <f>ROUND(C5*C18*C19*C20*C21*C24,0)</f>
        <v>#DIV/0!</v>
      </c>
      <c r="D29" s="2634"/>
      <c r="E29" s="971" t="e">
        <f>ROUND(C29*D29,0)</f>
        <v>#DIV/0!</v>
      </c>
      <c r="F29" s="2635" t="s">
        <v>2723</v>
      </c>
      <c r="G29" s="2636"/>
      <c r="H29" s="2636"/>
      <c r="I29" s="2636"/>
      <c r="J29" s="2637"/>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8" thickBot="1">
      <c r="A30" s="2638"/>
      <c r="B30" s="2639" t="s">
        <v>2724</v>
      </c>
      <c r="C30" s="150" t="e">
        <f>ROUND(IF(E2="工业",C29*M39,C29*M38),0)</f>
        <v>#DIV/0!</v>
      </c>
      <c r="D30" s="2640"/>
      <c r="E30" s="971" t="e">
        <f>ROUND(C30*D30,0)</f>
        <v>#DIV/0!</v>
      </c>
      <c r="F30" s="2641" t="s">
        <v>2725</v>
      </c>
      <c r="G30" s="2642"/>
      <c r="H30" s="2642"/>
      <c r="I30" s="2642"/>
      <c r="J30" s="2643"/>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4"/>
      <c r="B31" s="2645" t="s">
        <v>2726</v>
      </c>
      <c r="C31" s="2646" t="s">
        <v>2727</v>
      </c>
      <c r="D31" s="2550"/>
      <c r="E31" s="2646"/>
      <c r="F31" s="2646"/>
      <c r="G31" s="2548" t="s">
        <v>2728</v>
      </c>
      <c r="H31" s="2550"/>
      <c r="I31" s="2647"/>
      <c r="J31" s="2551"/>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36">
      <c r="A32" s="2632"/>
      <c r="B32" s="2648"/>
      <c r="C32" s="482" t="s">
        <v>2719</v>
      </c>
      <c r="D32" s="479" t="s">
        <v>2720</v>
      </c>
      <c r="E32" s="479" t="s">
        <v>2721</v>
      </c>
      <c r="F32" s="367" t="s">
        <v>2729</v>
      </c>
      <c r="G32" s="957" t="s">
        <v>2719</v>
      </c>
      <c r="H32" s="957" t="s">
        <v>2720</v>
      </c>
      <c r="I32" s="957" t="s">
        <v>2721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072" t="s">
        <v>2730</v>
      </c>
      <c r="B33" s="2649" t="s">
        <v>2731</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73"/>
      <c r="B34" s="2554" t="s">
        <v>2732</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73"/>
      <c r="B35" s="2554" t="s">
        <v>2733</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8" thickBot="1">
      <c r="A36" s="3074"/>
      <c r="B36" s="2554" t="s">
        <v>2734</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2"/>
      <c r="B37" s="2554" t="s">
        <v>2735</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2736</v>
      </c>
      <c r="M37" s="2538"/>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2"/>
      <c r="B38" s="2554" t="s">
        <v>2737</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2738</v>
      </c>
      <c r="M38" s="2655">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8" thickBot="1">
      <c r="A39" s="2638"/>
      <c r="B39" s="2656" t="s">
        <v>2739</v>
      </c>
      <c r="C39" s="150" t="e">
        <f>ROUND(C5*C19*C20*C24*F39,0)</f>
        <v>#DIV/0!</v>
      </c>
      <c r="D39" s="2640"/>
      <c r="E39" s="150" t="e">
        <f t="shared" si="6"/>
        <v>#DIV/0!</v>
      </c>
      <c r="F39" s="960">
        <f>SUMIF(修正!A45:A56,G2,修正!H45:H56)</f>
        <v>0</v>
      </c>
      <c r="G39" s="150" t="e">
        <f>ROUND(IF(E2="工业",C39*$M$39,C39*$M$38),0)</f>
        <v>#DIV/0!</v>
      </c>
      <c r="H39" s="150">
        <f t="shared" si="9"/>
        <v>0</v>
      </c>
      <c r="I39" s="150" t="e">
        <f t="shared" si="8"/>
        <v>#DIV/0!</v>
      </c>
      <c r="J39" s="2657"/>
      <c r="L39" s="2658" t="s">
        <v>2677</v>
      </c>
      <c r="M39" s="2659">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1"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60"/>
      <c r="AH40" s="2660"/>
      <c r="AI40" s="2660"/>
      <c r="AJ40" s="2660"/>
    </row>
    <row r="41" spans="1:37" s="2661" customFormat="1">
      <c r="A41" s="1462"/>
      <c r="B41" s="2662"/>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60"/>
      <c r="AH41" s="2660"/>
      <c r="AI41" s="2660"/>
      <c r="AJ41" s="2660"/>
    </row>
    <row r="42" spans="1:37" s="2661" customFormat="1">
      <c r="A42" s="1462"/>
      <c r="B42" s="2662"/>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60"/>
      <c r="AH42" s="2660"/>
      <c r="AI42" s="2660"/>
      <c r="AJ42" s="2660"/>
    </row>
    <row r="43" spans="1:37" s="2661" customFormat="1">
      <c r="A43" s="1462"/>
      <c r="B43" s="2662"/>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60"/>
      <c r="AH43" s="2660"/>
      <c r="AI43" s="2660"/>
      <c r="AJ43" s="2660"/>
    </row>
    <row r="44" spans="1:37" s="2661" customFormat="1">
      <c r="A44" s="1462"/>
      <c r="B44" s="2662"/>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60"/>
      <c r="AH44" s="2660"/>
      <c r="AI44" s="2660"/>
      <c r="AJ44" s="2660"/>
    </row>
    <row r="45" spans="1:37" s="2661" customFormat="1" ht="15" thickBot="1">
      <c r="A45" s="2663" t="s">
        <v>2740</v>
      </c>
      <c r="B45" s="2664"/>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60"/>
      <c r="AH45" s="2660"/>
      <c r="AI45" s="2660"/>
      <c r="AJ45" s="2660"/>
    </row>
    <row r="46" spans="1:37" s="2661" customFormat="1" ht="14.4">
      <c r="A46" s="2665" t="s">
        <v>2741</v>
      </c>
      <c r="B46" s="2666">
        <f>1+E48</f>
        <v>1</v>
      </c>
      <c r="C46" s="2667"/>
      <c r="D46" s="816"/>
      <c r="E46" s="817"/>
      <c r="F46" s="2668"/>
      <c r="G46" s="7"/>
      <c r="H46" s="9"/>
      <c r="I46" s="9"/>
      <c r="J46" s="9"/>
      <c r="K46" s="9"/>
      <c r="L46" s="9"/>
      <c r="M46" s="2505"/>
      <c r="N46" s="2669"/>
      <c r="O46" s="1461"/>
      <c r="P46" s="1461"/>
      <c r="Q46" s="1461"/>
      <c r="R46" s="1461"/>
      <c r="S46" s="1461"/>
      <c r="T46" s="1461"/>
      <c r="U46" s="1461"/>
      <c r="V46" s="1461"/>
      <c r="W46" s="1461"/>
      <c r="X46" s="1461"/>
      <c r="Y46" s="1462"/>
      <c r="Z46" s="1462"/>
      <c r="AA46" s="1462"/>
      <c r="AB46" s="1462"/>
      <c r="AC46" s="1462"/>
      <c r="AD46" s="1462"/>
      <c r="AE46" s="1462"/>
      <c r="AF46" s="2660"/>
      <c r="AG46" s="2660"/>
      <c r="AH46" s="2660"/>
      <c r="AI46" s="2660"/>
    </row>
    <row r="47" spans="1:37" s="2661" customFormat="1" ht="25.2">
      <c r="A47" s="2670" t="s">
        <v>2742</v>
      </c>
      <c r="B47" s="822" t="s">
        <v>2743</v>
      </c>
      <c r="C47" s="822" t="s">
        <v>2744</v>
      </c>
      <c r="D47" s="822" t="s">
        <v>2745</v>
      </c>
      <c r="E47" s="823" t="s">
        <v>2746</v>
      </c>
      <c r="F47" s="2671" t="s">
        <v>2747</v>
      </c>
      <c r="G47" s="822" t="s">
        <v>2748</v>
      </c>
      <c r="H47" s="2672" t="s">
        <v>2749</v>
      </c>
      <c r="I47" s="822" t="s">
        <v>2750</v>
      </c>
      <c r="J47" s="587" t="s">
        <v>2751</v>
      </c>
      <c r="K47" s="587" t="s">
        <v>2752</v>
      </c>
      <c r="L47" s="587" t="s">
        <v>2753</v>
      </c>
      <c r="M47" s="587" t="s">
        <v>2754</v>
      </c>
      <c r="N47" s="587" t="s">
        <v>2755</v>
      </c>
      <c r="O47" s="1461"/>
      <c r="P47" s="1461"/>
      <c r="Q47" s="1461"/>
      <c r="R47" s="1461"/>
      <c r="S47" s="1461"/>
      <c r="T47" s="1461"/>
      <c r="U47" s="1461"/>
      <c r="V47" s="1461"/>
      <c r="W47" s="1461"/>
      <c r="X47" s="1461"/>
      <c r="Y47" s="1461"/>
      <c r="Z47" s="1461"/>
      <c r="AA47" s="1462"/>
      <c r="AB47" s="1462"/>
      <c r="AC47" s="1462"/>
      <c r="AD47" s="1462"/>
      <c r="AE47" s="1462"/>
      <c r="AF47" s="1462"/>
      <c r="AG47" s="1462"/>
      <c r="AH47" s="2660"/>
      <c r="AI47" s="2660"/>
      <c r="AJ47" s="2660"/>
      <c r="AK47" s="2660"/>
    </row>
    <row r="48" spans="1:37" s="2661" customFormat="1" ht="52.8">
      <c r="A48" s="2670" t="s">
        <v>2756</v>
      </c>
      <c r="B48" s="2673" t="str">
        <f>估价对象房地状况!C16</f>
        <v>估价对象位于XX商圈，周边商业氛围成熟，人流量大，商业繁华度好</v>
      </c>
      <c r="C48" s="2560"/>
      <c r="D48" s="1375">
        <f t="shared" ref="D48:D56" si="10">SUMIF($J$47:$N$47,C48,J48:N48)</f>
        <v>0</v>
      </c>
      <c r="E48" s="828">
        <f>ROUND(SUM(D48:D56),4)</f>
        <v>0</v>
      </c>
      <c r="F48" s="2277" t="str">
        <f>IF(E2="商业",SUMIF(L1:L12,G2,N1:N12),"——")</f>
        <v>——</v>
      </c>
      <c r="G48" s="1376"/>
      <c r="H48" s="1380" t="str">
        <f t="shared" ref="H48:H56" si="11">IFERROR(ROUNDDOWN($F$48*I48/2,4),"——")</f>
        <v>——</v>
      </c>
      <c r="I48" s="827">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60"/>
      <c r="AI48" s="2660"/>
      <c r="AJ48" s="2660"/>
      <c r="AK48" s="2660"/>
    </row>
    <row r="49" spans="1:37" s="2661" customFormat="1" ht="66">
      <c r="A49" s="2670" t="s">
        <v>2757</v>
      </c>
      <c r="B49" s="2674" t="str">
        <f>估价对象房地状况!C18</f>
        <v>估价对象周边道路状况、公共交通通达情况、停车便捷程度，综合评价交通便捷度较好</v>
      </c>
      <c r="C49" s="2560"/>
      <c r="D49" s="1375">
        <f t="shared" si="10"/>
        <v>0</v>
      </c>
      <c r="E49" s="831"/>
      <c r="F49" s="2277"/>
      <c r="G49" s="1376"/>
      <c r="H49" s="1380" t="str">
        <f t="shared" si="11"/>
        <v>——</v>
      </c>
      <c r="I49" s="827">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60"/>
      <c r="AI49" s="2660"/>
      <c r="AJ49" s="2660"/>
      <c r="AK49" s="2660"/>
    </row>
    <row r="50" spans="1:37" s="2661" customFormat="1" ht="24">
      <c r="A50" s="2670" t="s">
        <v>2758</v>
      </c>
      <c r="B50" s="2674">
        <f>估价对象房地状况!C19</f>
        <v>0</v>
      </c>
      <c r="C50" s="2560"/>
      <c r="D50" s="1375">
        <f t="shared" si="10"/>
        <v>0</v>
      </c>
      <c r="E50" s="831"/>
      <c r="F50" s="2277"/>
      <c r="G50" s="1376"/>
      <c r="H50" s="1380" t="str">
        <f t="shared" si="11"/>
        <v>——</v>
      </c>
      <c r="I50" s="827">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60"/>
      <c r="AI50" s="2660"/>
      <c r="AJ50" s="2660"/>
      <c r="AK50" s="2660"/>
    </row>
    <row r="51" spans="1:37" s="2661" customFormat="1" ht="50.4">
      <c r="A51" s="2670" t="s">
        <v>2759</v>
      </c>
      <c r="B51" s="2675" t="s">
        <v>2760</v>
      </c>
      <c r="C51" s="2560"/>
      <c r="D51" s="1375">
        <f t="shared" si="10"/>
        <v>0</v>
      </c>
      <c r="E51" s="831"/>
      <c r="F51" s="2277"/>
      <c r="G51" s="1376"/>
      <c r="H51" s="1380" t="str">
        <f t="shared" si="11"/>
        <v>——</v>
      </c>
      <c r="I51" s="827">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60"/>
      <c r="AI51" s="2660"/>
      <c r="AJ51" s="2660"/>
      <c r="AK51" s="2660"/>
    </row>
    <row r="52" spans="1:37" s="2661" customFormat="1" ht="24">
      <c r="A52" s="2670" t="s">
        <v>2761</v>
      </c>
      <c r="B52" s="2674">
        <f>估价对象房地状况!C24</f>
        <v>0</v>
      </c>
      <c r="C52" s="2560"/>
      <c r="D52" s="1375">
        <f t="shared" si="10"/>
        <v>0</v>
      </c>
      <c r="E52" s="831"/>
      <c r="F52" s="2277"/>
      <c r="G52" s="1376"/>
      <c r="H52" s="1380" t="str">
        <f t="shared" si="11"/>
        <v>——</v>
      </c>
      <c r="I52" s="827">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60"/>
      <c r="AI52" s="2660"/>
      <c r="AJ52" s="2660"/>
      <c r="AK52" s="2660"/>
    </row>
    <row r="53" spans="1:37" s="2661" customFormat="1" ht="36">
      <c r="A53" s="2670" t="s">
        <v>2762</v>
      </c>
      <c r="B53" s="2676" t="s">
        <v>2763</v>
      </c>
      <c r="C53" s="2560"/>
      <c r="D53" s="1375">
        <f t="shared" si="10"/>
        <v>0</v>
      </c>
      <c r="E53" s="831"/>
      <c r="F53" s="2277"/>
      <c r="G53" s="1376"/>
      <c r="H53" s="1380" t="str">
        <f t="shared" si="11"/>
        <v>——</v>
      </c>
      <c r="I53" s="827">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60"/>
      <c r="AI53" s="2660"/>
      <c r="AJ53" s="2660"/>
      <c r="AK53" s="2660"/>
    </row>
    <row r="54" spans="1:37" s="2661" customFormat="1" ht="26.4">
      <c r="A54" s="2677" t="s">
        <v>2764</v>
      </c>
      <c r="B54" s="2678" t="str">
        <f>估价对象房地状况!C21</f>
        <v>估价对象所在区域公共配套设施齐备情况</v>
      </c>
      <c r="C54" s="2560"/>
      <c r="D54" s="1375">
        <f t="shared" si="10"/>
        <v>0</v>
      </c>
      <c r="E54" s="831"/>
      <c r="F54" s="2277"/>
      <c r="G54" s="1376"/>
      <c r="H54" s="1380" t="str">
        <f t="shared" si="11"/>
        <v>——</v>
      </c>
      <c r="I54" s="827">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60"/>
      <c r="AI54" s="2660"/>
      <c r="AJ54" s="2660"/>
      <c r="AK54" s="2660"/>
    </row>
    <row r="55" spans="1:37" s="2661" customFormat="1" ht="26.4">
      <c r="A55" s="2677" t="s">
        <v>2765</v>
      </c>
      <c r="B55" s="2674" t="str">
        <f>估价对象房地状况!C22</f>
        <v>估价对象所在区域基础设施水平</v>
      </c>
      <c r="C55" s="2560"/>
      <c r="D55" s="1375">
        <f t="shared" si="10"/>
        <v>0</v>
      </c>
      <c r="E55" s="831"/>
      <c r="F55" s="2277"/>
      <c r="G55" s="1376"/>
      <c r="H55" s="1380" t="str">
        <f t="shared" si="11"/>
        <v>——</v>
      </c>
      <c r="I55" s="827">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60"/>
      <c r="AI55" s="2660"/>
      <c r="AJ55" s="2660"/>
      <c r="AK55" s="2660"/>
    </row>
    <row r="56" spans="1:37" s="2661" customFormat="1" ht="40.200000000000003" thickBot="1">
      <c r="A56" s="2679" t="s">
        <v>2766</v>
      </c>
      <c r="B56" s="2680" t="str">
        <f>估价对象房地状况!C20</f>
        <v>区域自然环境：；人文环境；综合评价环境状况一般</v>
      </c>
      <c r="C56" s="2560"/>
      <c r="D56" s="1375">
        <f t="shared" si="10"/>
        <v>0</v>
      </c>
      <c r="E56" s="837"/>
      <c r="F56" s="2277"/>
      <c r="G56" s="1376"/>
      <c r="H56" s="1380" t="str">
        <f t="shared" si="11"/>
        <v>——</v>
      </c>
      <c r="I56" s="836">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60"/>
      <c r="AI56" s="2660"/>
      <c r="AJ56" s="2660"/>
      <c r="AK56" s="2660"/>
    </row>
    <row r="57" spans="1:37" s="2661" customFormat="1" ht="14.4">
      <c r="A57" s="2665" t="s">
        <v>2767</v>
      </c>
      <c r="B57" s="2681">
        <f>1+E59</f>
        <v>1</v>
      </c>
      <c r="C57" s="816"/>
      <c r="D57" s="816"/>
      <c r="E57" s="817"/>
      <c r="F57" s="2668"/>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60"/>
      <c r="AI57" s="2660"/>
      <c r="AJ57" s="2660"/>
      <c r="AK57" s="2660"/>
    </row>
    <row r="58" spans="1:37" s="2661" customFormat="1" ht="25.2">
      <c r="A58" s="2670" t="s">
        <v>2742</v>
      </c>
      <c r="B58" s="2674"/>
      <c r="C58" s="822" t="s">
        <v>2744</v>
      </c>
      <c r="D58" s="822" t="s">
        <v>2745</v>
      </c>
      <c r="E58" s="823" t="s">
        <v>2746</v>
      </c>
      <c r="F58" s="2671" t="s">
        <v>2747</v>
      </c>
      <c r="G58" s="822" t="s">
        <v>2768</v>
      </c>
      <c r="H58" s="2672" t="s">
        <v>2769</v>
      </c>
      <c r="I58" s="822" t="s">
        <v>2770</v>
      </c>
      <c r="J58" s="587" t="s">
        <v>2402</v>
      </c>
      <c r="K58" s="587" t="s">
        <v>2403</v>
      </c>
      <c r="L58" s="587" t="s">
        <v>2404</v>
      </c>
      <c r="M58" s="587" t="s">
        <v>2405</v>
      </c>
      <c r="N58" s="587" t="s">
        <v>2406</v>
      </c>
      <c r="O58" s="1461"/>
      <c r="P58" s="1461"/>
      <c r="Q58" s="1461"/>
      <c r="R58" s="1461"/>
      <c r="S58" s="1461"/>
      <c r="T58" s="1461"/>
      <c r="U58" s="1461"/>
      <c r="V58" s="1461"/>
      <c r="W58" s="1461"/>
      <c r="X58" s="1461"/>
      <c r="Y58" s="1461"/>
      <c r="Z58" s="1461"/>
      <c r="AA58" s="1462"/>
      <c r="AB58" s="1462"/>
      <c r="AC58" s="1462"/>
      <c r="AD58" s="1462"/>
      <c r="AE58" s="1462"/>
      <c r="AF58" s="1462"/>
      <c r="AG58" s="1462"/>
      <c r="AH58" s="2660"/>
      <c r="AI58" s="2660"/>
      <c r="AJ58" s="2660"/>
      <c r="AK58" s="2660"/>
    </row>
    <row r="59" spans="1:37" s="2661" customFormat="1" ht="52.8">
      <c r="A59" s="2670" t="s">
        <v>2771</v>
      </c>
      <c r="B59" s="2673" t="str">
        <f>估价对象房地状况!C17</f>
        <v>估价对象位于XX商圈，周边办公楼项目较多，入驻率高，办公集聚程度较好</v>
      </c>
      <c r="C59" s="2560"/>
      <c r="D59" s="1375">
        <f t="shared" ref="D59:D67" si="15">SUMIF($J$58:$N$58,C59,J59:N59)</f>
        <v>0</v>
      </c>
      <c r="E59" s="828">
        <f>ROUND(SUM(D59:D67),4)</f>
        <v>0</v>
      </c>
      <c r="F59" s="2277" t="str">
        <f>IF(E2="办公",SUMIF(L1:L12,G2,N1:N12),"——")</f>
        <v>——</v>
      </c>
      <c r="G59" s="1376"/>
      <c r="H59" s="1380" t="str">
        <f t="shared" ref="H59:H67" si="16">IFERROR(ROUNDDOWN($F$59*I59/2,4),"——")</f>
        <v>——</v>
      </c>
      <c r="I59" s="827">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60"/>
      <c r="AI59" s="2660"/>
      <c r="AJ59" s="2660"/>
      <c r="AK59" s="2660"/>
    </row>
    <row r="60" spans="1:37" s="2661" customFormat="1" ht="66">
      <c r="A60" s="2670" t="s">
        <v>2757</v>
      </c>
      <c r="B60" s="2674" t="str">
        <f>估价对象房地状况!C18</f>
        <v>估价对象周边道路状况、公共交通通达情况、停车便捷程度，综合评价交通便捷度较好</v>
      </c>
      <c r="C60" s="2560"/>
      <c r="D60" s="1375">
        <f t="shared" si="15"/>
        <v>0</v>
      </c>
      <c r="E60" s="831"/>
      <c r="F60" s="2277"/>
      <c r="G60" s="1376"/>
      <c r="H60" s="1380" t="str">
        <f t="shared" si="16"/>
        <v>——</v>
      </c>
      <c r="I60" s="827">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60"/>
      <c r="AI60" s="2660"/>
      <c r="AJ60" s="2660"/>
      <c r="AK60" s="2660"/>
    </row>
    <row r="61" spans="1:37" s="2661" customFormat="1" ht="24">
      <c r="A61" s="2670" t="s">
        <v>2758</v>
      </c>
      <c r="B61" s="2674">
        <f>估价对象房地状况!C19</f>
        <v>0</v>
      </c>
      <c r="C61" s="2560"/>
      <c r="D61" s="1375">
        <f t="shared" si="15"/>
        <v>0</v>
      </c>
      <c r="E61" s="831"/>
      <c r="F61" s="2277"/>
      <c r="G61" s="1376"/>
      <c r="H61" s="1380" t="str">
        <f t="shared" si="16"/>
        <v>——</v>
      </c>
      <c r="I61" s="827">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60"/>
      <c r="AI61" s="2660"/>
      <c r="AJ61" s="2660"/>
      <c r="AK61" s="2660"/>
    </row>
    <row r="62" spans="1:37" s="2661" customFormat="1" ht="50.4">
      <c r="A62" s="2670" t="s">
        <v>2759</v>
      </c>
      <c r="B62" s="2675" t="s">
        <v>2760</v>
      </c>
      <c r="C62" s="2560"/>
      <c r="D62" s="1375">
        <f t="shared" si="15"/>
        <v>0</v>
      </c>
      <c r="E62" s="831"/>
      <c r="F62" s="2277"/>
      <c r="G62" s="1376"/>
      <c r="H62" s="1380" t="str">
        <f t="shared" si="16"/>
        <v>——</v>
      </c>
      <c r="I62" s="827">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60"/>
      <c r="AI62" s="2660"/>
      <c r="AJ62" s="2660"/>
      <c r="AK62" s="2660"/>
    </row>
    <row r="63" spans="1:37" s="2661" customFormat="1" ht="24">
      <c r="A63" s="2670" t="s">
        <v>2761</v>
      </c>
      <c r="B63" s="2674">
        <f>估价对象房地状况!C24</f>
        <v>0</v>
      </c>
      <c r="C63" s="2560"/>
      <c r="D63" s="1375">
        <f t="shared" si="15"/>
        <v>0</v>
      </c>
      <c r="E63" s="831"/>
      <c r="F63" s="2277"/>
      <c r="G63" s="1376"/>
      <c r="H63" s="1380" t="str">
        <f t="shared" si="16"/>
        <v>——</v>
      </c>
      <c r="I63" s="827">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60"/>
      <c r="AI63" s="2660"/>
      <c r="AJ63" s="2660"/>
      <c r="AK63" s="2660"/>
    </row>
    <row r="64" spans="1:37" s="2661" customFormat="1" ht="36">
      <c r="A64" s="2670" t="s">
        <v>2762</v>
      </c>
      <c r="B64" s="2676" t="s">
        <v>2763</v>
      </c>
      <c r="C64" s="2560"/>
      <c r="D64" s="1375">
        <f t="shared" si="15"/>
        <v>0</v>
      </c>
      <c r="E64" s="831"/>
      <c r="F64" s="2277"/>
      <c r="G64" s="1376"/>
      <c r="H64" s="1380" t="str">
        <f t="shared" si="16"/>
        <v>——</v>
      </c>
      <c r="I64" s="827">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60"/>
      <c r="AI64" s="2660"/>
      <c r="AJ64" s="2660"/>
      <c r="AK64" s="2660"/>
    </row>
    <row r="65" spans="1:37" s="2661" customFormat="1" ht="26.4">
      <c r="A65" s="2670" t="s">
        <v>2764</v>
      </c>
      <c r="B65" s="2678" t="str">
        <f>估价对象房地状况!C21</f>
        <v>估价对象所在区域公共配套设施齐备情况</v>
      </c>
      <c r="C65" s="2560"/>
      <c r="D65" s="1375">
        <f t="shared" si="15"/>
        <v>0</v>
      </c>
      <c r="E65" s="831"/>
      <c r="F65" s="2277"/>
      <c r="G65" s="1376"/>
      <c r="H65" s="1380" t="str">
        <f t="shared" si="16"/>
        <v>——</v>
      </c>
      <c r="I65" s="827">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60"/>
      <c r="AI65" s="2660"/>
      <c r="AJ65" s="2660"/>
      <c r="AK65" s="2660"/>
    </row>
    <row r="66" spans="1:37" s="2661" customFormat="1" ht="26.4">
      <c r="A66" s="2670" t="s">
        <v>2765</v>
      </c>
      <c r="B66" s="2678" t="str">
        <f>估价对象房地状况!C22</f>
        <v>估价对象所在区域基础设施水平</v>
      </c>
      <c r="C66" s="2560"/>
      <c r="D66" s="1375">
        <f t="shared" si="15"/>
        <v>0</v>
      </c>
      <c r="E66" s="831"/>
      <c r="F66" s="2277"/>
      <c r="G66" s="1376"/>
      <c r="H66" s="1380" t="str">
        <f t="shared" si="16"/>
        <v>——</v>
      </c>
      <c r="I66" s="827">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60"/>
      <c r="AI66" s="2660"/>
      <c r="AJ66" s="2660"/>
      <c r="AK66" s="2660"/>
    </row>
    <row r="67" spans="1:37" s="2661" customFormat="1" ht="40.200000000000003" thickBot="1">
      <c r="A67" s="2679" t="s">
        <v>2766</v>
      </c>
      <c r="B67" s="2682" t="str">
        <f>估价对象房地状况!C20</f>
        <v>区域自然环境：；人文环境；综合评价环境状况一般</v>
      </c>
      <c r="C67" s="2560"/>
      <c r="D67" s="1375">
        <f t="shared" si="15"/>
        <v>0</v>
      </c>
      <c r="E67" s="837"/>
      <c r="F67" s="2277"/>
      <c r="G67" s="1376"/>
      <c r="H67" s="1380" t="str">
        <f t="shared" si="16"/>
        <v>——</v>
      </c>
      <c r="I67" s="836">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60"/>
      <c r="AI67" s="2660"/>
      <c r="AJ67" s="2660"/>
      <c r="AK67" s="2660"/>
    </row>
    <row r="68" spans="1:37" s="2661" customFormat="1" ht="14.4">
      <c r="A68" s="2665" t="s">
        <v>2772</v>
      </c>
      <c r="B68" s="2681">
        <f>1+E70</f>
        <v>1</v>
      </c>
      <c r="C68" s="816"/>
      <c r="D68" s="816"/>
      <c r="E68" s="817"/>
      <c r="F68" s="2668"/>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60"/>
      <c r="AI68" s="2660"/>
      <c r="AJ68" s="2660"/>
      <c r="AK68" s="2660"/>
    </row>
    <row r="69" spans="1:37" s="2661" customFormat="1" ht="25.2">
      <c r="A69" s="2670" t="s">
        <v>2742</v>
      </c>
      <c r="B69" s="2674"/>
      <c r="C69" s="822" t="s">
        <v>2744</v>
      </c>
      <c r="D69" s="822" t="s">
        <v>2745</v>
      </c>
      <c r="E69" s="823" t="s">
        <v>2746</v>
      </c>
      <c r="F69" s="2671" t="s">
        <v>2747</v>
      </c>
      <c r="G69" s="822" t="s">
        <v>2768</v>
      </c>
      <c r="H69" s="2672" t="s">
        <v>2769</v>
      </c>
      <c r="I69" s="822" t="s">
        <v>2770</v>
      </c>
      <c r="J69" s="587" t="s">
        <v>2402</v>
      </c>
      <c r="K69" s="587" t="s">
        <v>2403</v>
      </c>
      <c r="L69" s="587" t="s">
        <v>2404</v>
      </c>
      <c r="M69" s="587" t="s">
        <v>2405</v>
      </c>
      <c r="N69" s="587" t="s">
        <v>2406</v>
      </c>
      <c r="O69" s="1461"/>
      <c r="P69" s="1461"/>
      <c r="Q69" s="1461"/>
      <c r="R69" s="1461"/>
      <c r="S69" s="1461"/>
      <c r="T69" s="1461"/>
      <c r="U69" s="1461"/>
      <c r="V69" s="1461"/>
      <c r="W69" s="1461"/>
      <c r="X69" s="1461"/>
      <c r="Y69" s="1461"/>
      <c r="Z69" s="1461"/>
      <c r="AA69" s="1462"/>
      <c r="AB69" s="1462"/>
      <c r="AC69" s="1462"/>
      <c r="AD69" s="1462"/>
      <c r="AE69" s="1462"/>
      <c r="AF69" s="1462"/>
      <c r="AG69" s="1462"/>
      <c r="AH69" s="2660"/>
      <c r="AI69" s="2660"/>
      <c r="AJ69" s="2660"/>
      <c r="AK69" s="2660"/>
    </row>
    <row r="70" spans="1:37" s="2661" customFormat="1" ht="66">
      <c r="A70" s="2670" t="s">
        <v>2773</v>
      </c>
      <c r="B70" s="2673" t="str">
        <f>估价对象房地状况!C15</f>
        <v>估价对象周边居住用地比例、居住小区规模和社区发展完善程度，综合评价居住社区成熟度一般</v>
      </c>
      <c r="C70" s="2560"/>
      <c r="D70" s="1375">
        <f t="shared" ref="D70:D78" si="20">SUMIF($J$69:$N$69,C70,J70:N70)</f>
        <v>0</v>
      </c>
      <c r="E70" s="828">
        <f>ROUND(SUM(D70:D78),4)</f>
        <v>0</v>
      </c>
      <c r="F70" s="2277" t="str">
        <f>IF(E2="住宅",SUMIF(L1:L12,G2,N1:N12),"——")</f>
        <v>——</v>
      </c>
      <c r="G70" s="1376"/>
      <c r="H70" s="1380" t="str">
        <f t="shared" ref="H70:H78" si="21">IFERROR(ROUNDDOWN($F$70*I70/2,4),"——")</f>
        <v>——</v>
      </c>
      <c r="I70" s="827">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60"/>
      <c r="AI70" s="2660"/>
      <c r="AJ70" s="2660"/>
      <c r="AK70" s="2660"/>
    </row>
    <row r="71" spans="1:37" s="2661" customFormat="1" ht="66">
      <c r="A71" s="2670" t="s">
        <v>2757</v>
      </c>
      <c r="B71" s="2674" t="str">
        <f>估价对象房地状况!C18</f>
        <v>估价对象周边道路状况、公共交通通达情况、停车便捷程度，综合评价交通便捷度较好</v>
      </c>
      <c r="C71" s="2560"/>
      <c r="D71" s="1375">
        <f t="shared" si="20"/>
        <v>0</v>
      </c>
      <c r="E71" s="839"/>
      <c r="F71" s="2683"/>
      <c r="G71" s="1376"/>
      <c r="H71" s="1380" t="str">
        <f t="shared" si="21"/>
        <v>——</v>
      </c>
      <c r="I71" s="827">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60"/>
      <c r="AI71" s="2660"/>
      <c r="AJ71" s="2660"/>
      <c r="AK71" s="2660"/>
    </row>
    <row r="72" spans="1:37" s="2661" customFormat="1" ht="24">
      <c r="A72" s="2670" t="s">
        <v>2758</v>
      </c>
      <c r="B72" s="2674">
        <f>估价对象房地状况!C19</f>
        <v>0</v>
      </c>
      <c r="C72" s="2560"/>
      <c r="D72" s="1375">
        <f t="shared" si="20"/>
        <v>0</v>
      </c>
      <c r="E72" s="839"/>
      <c r="F72" s="2683"/>
      <c r="G72" s="1376"/>
      <c r="H72" s="1380" t="str">
        <f t="shared" si="21"/>
        <v>——</v>
      </c>
      <c r="I72" s="827">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60"/>
      <c r="AI72" s="2660"/>
      <c r="AJ72" s="2660"/>
      <c r="AK72" s="2660"/>
    </row>
    <row r="73" spans="1:37" s="2661" customFormat="1" ht="13.8">
      <c r="A73" s="2670" t="s">
        <v>2774</v>
      </c>
      <c r="B73" s="2674">
        <f>估价对象房地状况!C24</f>
        <v>0</v>
      </c>
      <c r="C73" s="2560"/>
      <c r="D73" s="1375">
        <f t="shared" si="20"/>
        <v>0</v>
      </c>
      <c r="E73" s="839"/>
      <c r="F73" s="2683"/>
      <c r="G73" s="1376"/>
      <c r="H73" s="1380" t="str">
        <f t="shared" si="21"/>
        <v>——</v>
      </c>
      <c r="I73" s="827">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60"/>
      <c r="AI73" s="2660"/>
      <c r="AJ73" s="2660"/>
      <c r="AK73" s="2660"/>
    </row>
    <row r="74" spans="1:37" s="2661" customFormat="1" ht="26.4">
      <c r="A74" s="2670" t="s">
        <v>2764</v>
      </c>
      <c r="B74" s="2678" t="str">
        <f>估价对象房地状况!C21</f>
        <v>估价对象所在区域公共配套设施齐备情况</v>
      </c>
      <c r="C74" s="2560"/>
      <c r="D74" s="1375">
        <f t="shared" si="20"/>
        <v>0</v>
      </c>
      <c r="E74" s="839"/>
      <c r="F74" s="2683"/>
      <c r="G74" s="1376"/>
      <c r="H74" s="1380" t="str">
        <f t="shared" si="21"/>
        <v>——</v>
      </c>
      <c r="I74" s="827">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60"/>
      <c r="AI74" s="2660"/>
      <c r="AJ74" s="2660"/>
      <c r="AK74" s="2660"/>
    </row>
    <row r="75" spans="1:37" s="2661" customFormat="1" ht="26.4">
      <c r="A75" s="2670" t="s">
        <v>2765</v>
      </c>
      <c r="B75" s="2678" t="str">
        <f>估价对象房地状况!C22</f>
        <v>估价对象所在区域基础设施水平</v>
      </c>
      <c r="C75" s="2560"/>
      <c r="D75" s="1375">
        <f t="shared" si="20"/>
        <v>0</v>
      </c>
      <c r="E75" s="839"/>
      <c r="F75" s="2683"/>
      <c r="G75" s="1376"/>
      <c r="H75" s="1380" t="str">
        <f t="shared" si="21"/>
        <v>——</v>
      </c>
      <c r="I75" s="827">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60"/>
      <c r="AI75" s="2660"/>
      <c r="AJ75" s="2660"/>
      <c r="AK75" s="2660"/>
    </row>
    <row r="76" spans="1:37" ht="36">
      <c r="A76" s="2670" t="s">
        <v>2762</v>
      </c>
      <c r="B76" s="2676" t="s">
        <v>2763</v>
      </c>
      <c r="C76" s="2560"/>
      <c r="D76" s="1375">
        <f t="shared" si="20"/>
        <v>0</v>
      </c>
      <c r="E76" s="839"/>
      <c r="F76" s="2683"/>
      <c r="G76" s="1376"/>
      <c r="H76" s="1380" t="str">
        <f t="shared" si="21"/>
        <v>——</v>
      </c>
      <c r="I76" s="827">
        <v>0.05</v>
      </c>
      <c r="J76" s="1377">
        <f t="shared" si="22"/>
        <v>0</v>
      </c>
      <c r="K76" s="1377">
        <f t="shared" si="23"/>
        <v>0</v>
      </c>
      <c r="L76" s="1377">
        <v>0</v>
      </c>
      <c r="M76" s="1377">
        <f t="shared" si="24"/>
        <v>0</v>
      </c>
      <c r="N76" s="1377">
        <f t="shared" si="24"/>
        <v>0</v>
      </c>
      <c r="Z76" s="2507"/>
      <c r="AA76" s="2584"/>
      <c r="AG76" s="2660"/>
      <c r="AK76" s="2584"/>
    </row>
    <row r="77" spans="1:37" ht="39.6">
      <c r="A77" s="2670" t="s">
        <v>2766</v>
      </c>
      <c r="B77" s="2673" t="str">
        <f>估价对象房地状况!C20</f>
        <v>区域自然环境：；人文环境；综合评价环境状况一般</v>
      </c>
      <c r="C77" s="2560"/>
      <c r="D77" s="1375">
        <f t="shared" si="20"/>
        <v>0</v>
      </c>
      <c r="E77" s="839"/>
      <c r="F77" s="2683"/>
      <c r="G77" s="1376"/>
      <c r="H77" s="1380" t="str">
        <f t="shared" si="21"/>
        <v>——</v>
      </c>
      <c r="I77" s="827">
        <v>0.15</v>
      </c>
      <c r="J77" s="1377">
        <f t="shared" si="22"/>
        <v>0</v>
      </c>
      <c r="K77" s="1377">
        <f t="shared" si="23"/>
        <v>0</v>
      </c>
      <c r="L77" s="1377">
        <v>0</v>
      </c>
      <c r="M77" s="1377">
        <f t="shared" si="24"/>
        <v>0</v>
      </c>
      <c r="N77" s="1377">
        <f t="shared" si="24"/>
        <v>0</v>
      </c>
      <c r="Z77" s="2507"/>
      <c r="AA77" s="2584"/>
      <c r="AG77" s="2660"/>
      <c r="AK77" s="2584"/>
    </row>
    <row r="78" spans="1:37" ht="36.6" thickBot="1">
      <c r="A78" s="2679" t="s">
        <v>2775</v>
      </c>
      <c r="B78" s="2684"/>
      <c r="C78" s="2560"/>
      <c r="D78" s="1375">
        <f t="shared" si="20"/>
        <v>0</v>
      </c>
      <c r="E78" s="840"/>
      <c r="F78" s="2683"/>
      <c r="G78" s="1376"/>
      <c r="H78" s="1380" t="str">
        <f t="shared" si="21"/>
        <v>——</v>
      </c>
      <c r="I78" s="836">
        <v>0.04</v>
      </c>
      <c r="J78" s="1377">
        <f t="shared" si="22"/>
        <v>0</v>
      </c>
      <c r="K78" s="1377">
        <f t="shared" si="23"/>
        <v>0</v>
      </c>
      <c r="L78" s="1377">
        <v>0</v>
      </c>
      <c r="M78" s="1377">
        <f t="shared" si="24"/>
        <v>0</v>
      </c>
      <c r="N78" s="1377">
        <f t="shared" si="24"/>
        <v>0</v>
      </c>
      <c r="Z78" s="2507"/>
      <c r="AA78" s="2584"/>
      <c r="AG78" s="2660"/>
      <c r="AK78" s="2584"/>
    </row>
    <row r="79" spans="1:37" ht="14.4">
      <c r="A79" s="2665" t="s">
        <v>2776</v>
      </c>
      <c r="B79" s="2681">
        <f>1+E81</f>
        <v>1</v>
      </c>
      <c r="C79" s="816"/>
      <c r="D79" s="816"/>
      <c r="E79" s="817"/>
      <c r="F79" s="2668"/>
      <c r="G79" s="7"/>
      <c r="H79" s="7"/>
      <c r="I79" s="7"/>
      <c r="J79" s="9"/>
      <c r="K79" s="9"/>
      <c r="L79" s="9"/>
      <c r="M79" s="9"/>
      <c r="N79" s="9"/>
      <c r="Z79" s="2507"/>
      <c r="AA79" s="2584"/>
      <c r="AG79" s="2660"/>
      <c r="AK79" s="2584"/>
    </row>
    <row r="80" spans="1:37" ht="25.2">
      <c r="A80" s="2670" t="s">
        <v>2742</v>
      </c>
      <c r="B80" s="2674"/>
      <c r="C80" s="822" t="s">
        <v>2744</v>
      </c>
      <c r="D80" s="822" t="s">
        <v>2745</v>
      </c>
      <c r="E80" s="823" t="s">
        <v>2746</v>
      </c>
      <c r="F80" s="2671" t="s">
        <v>2747</v>
      </c>
      <c r="G80" s="822" t="s">
        <v>2768</v>
      </c>
      <c r="H80" s="2672" t="s">
        <v>2769</v>
      </c>
      <c r="I80" s="822" t="s">
        <v>2770</v>
      </c>
      <c r="J80" s="587" t="s">
        <v>2402</v>
      </c>
      <c r="K80" s="587" t="s">
        <v>2403</v>
      </c>
      <c r="L80" s="587" t="s">
        <v>2404</v>
      </c>
      <c r="M80" s="587" t="s">
        <v>2405</v>
      </c>
      <c r="N80" s="587" t="s">
        <v>2406</v>
      </c>
      <c r="Z80" s="2507"/>
      <c r="AA80" s="2584"/>
      <c r="AG80" s="2660"/>
      <c r="AK80" s="2584"/>
    </row>
    <row r="81" spans="1:37" ht="39.6">
      <c r="A81" s="2670" t="s">
        <v>2777</v>
      </c>
      <c r="B81" s="2674" t="str">
        <f>估价对象房地状况!G15</f>
        <v>估价对象位于XX开发区，园区建设成熟度XX，产业集聚程度XX</v>
      </c>
      <c r="C81" s="2560"/>
      <c r="D81" s="1375">
        <f t="shared" ref="D81:D88" si="25">SUMIF($J$80:$N$80,C81,J81:N81)</f>
        <v>0</v>
      </c>
      <c r="E81" s="828">
        <f>ROUND(SUM(D81:D88),4)</f>
        <v>0</v>
      </c>
      <c r="F81" s="2277" t="str">
        <f>IF(E2="工业",SUMIF(L1:L12,G2,N1:N12),"——")</f>
        <v>——</v>
      </c>
      <c r="G81" s="1376"/>
      <c r="H81" s="1380" t="str">
        <f t="shared" ref="H81:H88" si="26">IFERROR(ROUNDDOWN($F$81*I81/2,4),"——")</f>
        <v>——</v>
      </c>
      <c r="I81" s="827">
        <v>0.26</v>
      </c>
      <c r="J81" s="1377">
        <f t="shared" ref="J81:J88" si="27">K81+$G81</f>
        <v>0</v>
      </c>
      <c r="K81" s="1377">
        <f t="shared" ref="K81:K88" si="28">$L81+$G81</f>
        <v>0</v>
      </c>
      <c r="L81" s="1377">
        <v>0</v>
      </c>
      <c r="M81" s="1377">
        <f t="shared" ref="M81:N88" si="29">L81-$G81</f>
        <v>0</v>
      </c>
      <c r="N81" s="1377">
        <f t="shared" si="29"/>
        <v>0</v>
      </c>
      <c r="Z81" s="2507"/>
      <c r="AA81" s="2584"/>
      <c r="AG81" s="2660"/>
      <c r="AK81" s="2584"/>
    </row>
    <row r="82" spans="1:37" ht="66">
      <c r="A82" s="2670" t="s">
        <v>2757</v>
      </c>
      <c r="B82" s="2674" t="str">
        <f>估价对象房地状况!G16</f>
        <v>估价对象周边道路状况、公共交通通达情况、停车便捷程度，综合评价交通便捷度较好</v>
      </c>
      <c r="C82" s="2560"/>
      <c r="D82" s="1375">
        <f t="shared" si="25"/>
        <v>0</v>
      </c>
      <c r="E82" s="839"/>
      <c r="F82" s="2683"/>
      <c r="G82" s="1376"/>
      <c r="H82" s="1380" t="str">
        <f t="shared" si="26"/>
        <v>——</v>
      </c>
      <c r="I82" s="827">
        <v>0.33</v>
      </c>
      <c r="J82" s="1377">
        <f t="shared" si="27"/>
        <v>0</v>
      </c>
      <c r="K82" s="1377">
        <f t="shared" si="28"/>
        <v>0</v>
      </c>
      <c r="L82" s="1377">
        <v>0</v>
      </c>
      <c r="M82" s="1377">
        <f t="shared" si="29"/>
        <v>0</v>
      </c>
      <c r="N82" s="1377">
        <f t="shared" si="29"/>
        <v>0</v>
      </c>
      <c r="Z82" s="2507"/>
      <c r="AA82" s="2584"/>
      <c r="AG82" s="2660"/>
      <c r="AK82" s="2584"/>
    </row>
    <row r="83" spans="1:37" ht="24">
      <c r="A83" s="2670" t="s">
        <v>2758</v>
      </c>
      <c r="B83" s="2674">
        <f>估价对象房地状况!G17</f>
        <v>0</v>
      </c>
      <c r="C83" s="2560"/>
      <c r="D83" s="1375">
        <f t="shared" si="25"/>
        <v>0</v>
      </c>
      <c r="E83" s="839"/>
      <c r="F83" s="2683"/>
      <c r="G83" s="1376"/>
      <c r="H83" s="1380" t="str">
        <f t="shared" si="26"/>
        <v>——</v>
      </c>
      <c r="I83" s="827">
        <v>0.05</v>
      </c>
      <c r="J83" s="1377">
        <f t="shared" si="27"/>
        <v>0</v>
      </c>
      <c r="K83" s="1377">
        <f t="shared" si="28"/>
        <v>0</v>
      </c>
      <c r="L83" s="1377">
        <v>0</v>
      </c>
      <c r="M83" s="1377">
        <f t="shared" si="29"/>
        <v>0</v>
      </c>
      <c r="N83" s="1377">
        <f t="shared" si="29"/>
        <v>0</v>
      </c>
      <c r="Z83" s="2507"/>
      <c r="AA83" s="2584"/>
      <c r="AG83" s="2660"/>
      <c r="AK83" s="2584"/>
    </row>
    <row r="84" spans="1:37" ht="13.8">
      <c r="A84" s="2670" t="s">
        <v>2774</v>
      </c>
      <c r="B84" s="2674">
        <f>估价对象房地状况!G22</f>
        <v>0</v>
      </c>
      <c r="C84" s="2560"/>
      <c r="D84" s="1375">
        <f t="shared" si="25"/>
        <v>0</v>
      </c>
      <c r="E84" s="839"/>
      <c r="F84" s="2683"/>
      <c r="G84" s="1376"/>
      <c r="H84" s="1380" t="str">
        <f t="shared" si="26"/>
        <v>——</v>
      </c>
      <c r="I84" s="827">
        <v>0.04</v>
      </c>
      <c r="J84" s="1377">
        <f t="shared" si="27"/>
        <v>0</v>
      </c>
      <c r="K84" s="1377">
        <f t="shared" si="28"/>
        <v>0</v>
      </c>
      <c r="L84" s="1377">
        <v>0</v>
      </c>
      <c r="M84" s="1377">
        <f t="shared" si="29"/>
        <v>0</v>
      </c>
      <c r="N84" s="1377">
        <f t="shared" si="29"/>
        <v>0</v>
      </c>
      <c r="Z84" s="2507"/>
      <c r="AA84" s="2584"/>
      <c r="AG84" s="2660"/>
      <c r="AK84" s="2584"/>
    </row>
    <row r="85" spans="1:37" ht="26.4">
      <c r="A85" s="2670" t="s">
        <v>2764</v>
      </c>
      <c r="B85" s="2678" t="str">
        <f>估价对象房地状况!G19</f>
        <v>估价对象所在区域公共配套设施齐备情况</v>
      </c>
      <c r="C85" s="2560"/>
      <c r="D85" s="1375">
        <f t="shared" si="25"/>
        <v>0</v>
      </c>
      <c r="E85" s="839"/>
      <c r="F85" s="2683"/>
      <c r="G85" s="1376"/>
      <c r="H85" s="1380" t="str">
        <f t="shared" si="26"/>
        <v>——</v>
      </c>
      <c r="I85" s="827">
        <v>0.06</v>
      </c>
      <c r="J85" s="1377">
        <f t="shared" si="27"/>
        <v>0</v>
      </c>
      <c r="K85" s="1377">
        <f t="shared" si="28"/>
        <v>0</v>
      </c>
      <c r="L85" s="1377">
        <v>0</v>
      </c>
      <c r="M85" s="1377">
        <f t="shared" si="29"/>
        <v>0</v>
      </c>
      <c r="N85" s="1377">
        <f t="shared" si="29"/>
        <v>0</v>
      </c>
      <c r="Z85" s="2507"/>
      <c r="AA85" s="2584"/>
      <c r="AG85" s="2660"/>
      <c r="AK85" s="2584"/>
    </row>
    <row r="86" spans="1:37" ht="26.4">
      <c r="A86" s="2670" t="s">
        <v>2765</v>
      </c>
      <c r="B86" s="2678" t="str">
        <f>估价对象房地状况!G20</f>
        <v>估价对象所在区域基础设施水平</v>
      </c>
      <c r="C86" s="2560"/>
      <c r="D86" s="1375">
        <f t="shared" si="25"/>
        <v>0</v>
      </c>
      <c r="E86" s="839"/>
      <c r="F86" s="2683"/>
      <c r="G86" s="1376"/>
      <c r="H86" s="1380" t="str">
        <f t="shared" si="26"/>
        <v>——</v>
      </c>
      <c r="I86" s="827">
        <v>0.15</v>
      </c>
      <c r="J86" s="1377">
        <f t="shared" si="27"/>
        <v>0</v>
      </c>
      <c r="K86" s="1377">
        <f t="shared" si="28"/>
        <v>0</v>
      </c>
      <c r="L86" s="1377">
        <v>0</v>
      </c>
      <c r="M86" s="1377">
        <f t="shared" si="29"/>
        <v>0</v>
      </c>
      <c r="N86" s="1377">
        <f t="shared" si="29"/>
        <v>0</v>
      </c>
      <c r="Z86" s="2507"/>
      <c r="AA86" s="2584"/>
      <c r="AG86" s="2660"/>
      <c r="AK86" s="2584"/>
    </row>
    <row r="87" spans="1:37" ht="36">
      <c r="A87" s="2670" t="s">
        <v>2762</v>
      </c>
      <c r="B87" s="2676" t="s">
        <v>2763</v>
      </c>
      <c r="C87" s="2560"/>
      <c r="D87" s="1375">
        <f t="shared" si="25"/>
        <v>0</v>
      </c>
      <c r="E87" s="839"/>
      <c r="F87" s="2683"/>
      <c r="G87" s="1376"/>
      <c r="H87" s="1380" t="str">
        <f t="shared" si="26"/>
        <v>——</v>
      </c>
      <c r="I87" s="827">
        <v>0.05</v>
      </c>
      <c r="J87" s="1377">
        <f t="shared" si="27"/>
        <v>0</v>
      </c>
      <c r="K87" s="1377">
        <f t="shared" si="28"/>
        <v>0</v>
      </c>
      <c r="L87" s="1377">
        <v>0</v>
      </c>
      <c r="M87" s="1377">
        <f t="shared" si="29"/>
        <v>0</v>
      </c>
      <c r="N87" s="1377">
        <f t="shared" si="29"/>
        <v>0</v>
      </c>
      <c r="Z87" s="2507"/>
      <c r="AA87" s="2584"/>
      <c r="AG87" s="2660"/>
      <c r="AK87" s="2584"/>
    </row>
    <row r="88" spans="1:37" ht="53.4" thickBot="1">
      <c r="A88" s="2679" t="s">
        <v>2778</v>
      </c>
      <c r="B88" s="2685" t="str">
        <f>估价对象房地状况!G18</f>
        <v>该园区内是否有污染型企业，绿化情况，卫生条件，整体环境状况判断</v>
      </c>
      <c r="C88" s="2686"/>
      <c r="D88" s="1381">
        <f t="shared" si="25"/>
        <v>0</v>
      </c>
      <c r="E88" s="840"/>
      <c r="F88" s="2683"/>
      <c r="G88" s="1376"/>
      <c r="H88" s="1380" t="str">
        <f t="shared" si="26"/>
        <v>——</v>
      </c>
      <c r="I88" s="836">
        <v>0.06</v>
      </c>
      <c r="J88" s="1377">
        <f t="shared" si="27"/>
        <v>0</v>
      </c>
      <c r="K88" s="1377">
        <f t="shared" si="28"/>
        <v>0</v>
      </c>
      <c r="L88" s="1377">
        <v>0</v>
      </c>
      <c r="M88" s="1377">
        <f t="shared" si="29"/>
        <v>0</v>
      </c>
      <c r="N88" s="1377">
        <f t="shared" si="29"/>
        <v>0</v>
      </c>
      <c r="Z88" s="2507"/>
      <c r="AA88" s="2584"/>
      <c r="AG88" s="2660"/>
      <c r="AK88" s="2584"/>
    </row>
    <row r="90" spans="1:37">
      <c r="A90" s="3064" t="s">
        <v>2779</v>
      </c>
      <c r="B90" s="3064"/>
      <c r="C90" s="3064"/>
      <c r="D90" s="3064"/>
      <c r="E90" s="3064"/>
      <c r="F90" s="3064"/>
      <c r="G90" s="3064"/>
      <c r="H90" s="3064"/>
      <c r="I90" s="3064"/>
      <c r="J90" s="3064"/>
      <c r="K90" s="2687"/>
      <c r="L90" s="2687"/>
      <c r="M90" s="2687"/>
      <c r="N90" s="2687"/>
    </row>
    <row r="91" spans="1:37">
      <c r="A91" s="3066" t="s">
        <v>2780</v>
      </c>
      <c r="B91" s="3066" t="s">
        <v>2781</v>
      </c>
      <c r="C91" s="2635" t="s">
        <v>2782</v>
      </c>
      <c r="D91" s="2636"/>
      <c r="E91" s="2636"/>
      <c r="F91" s="2636"/>
      <c r="G91" s="2636"/>
      <c r="H91" s="2636"/>
      <c r="I91" s="2636"/>
      <c r="J91" s="2688"/>
      <c r="K91" s="2689"/>
      <c r="L91" s="2689"/>
      <c r="M91" s="2689"/>
      <c r="N91" s="2689"/>
    </row>
    <row r="92" spans="1:37">
      <c r="A92" s="3066"/>
      <c r="B92" s="3066"/>
      <c r="C92" s="971" t="s">
        <v>2633</v>
      </c>
      <c r="D92" s="971" t="s">
        <v>2634</v>
      </c>
      <c r="E92" s="971" t="s">
        <v>2635</v>
      </c>
      <c r="F92" s="971" t="s">
        <v>2636</v>
      </c>
      <c r="G92" s="971" t="s">
        <v>2637</v>
      </c>
      <c r="H92" s="971" t="s">
        <v>2638</v>
      </c>
      <c r="I92" s="971" t="s">
        <v>2639</v>
      </c>
      <c r="J92" s="971" t="s">
        <v>2640</v>
      </c>
      <c r="K92" s="971" t="s">
        <v>2641</v>
      </c>
      <c r="L92" s="971" t="s">
        <v>2642</v>
      </c>
      <c r="M92" s="971" t="s">
        <v>2643</v>
      </c>
      <c r="N92" s="971" t="s">
        <v>2644</v>
      </c>
    </row>
    <row r="93" spans="1:37">
      <c r="A93" s="3067"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68"/>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68"/>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68"/>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68"/>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68"/>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68"/>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69"/>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67" t="s">
        <v>2784</v>
      </c>
      <c r="B101" s="2694" t="s">
        <v>2785</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68"/>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68"/>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68"/>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68"/>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68"/>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68"/>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68"/>
      <c r="B108" s="3070"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69"/>
      <c r="B109" s="3071"/>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65" t="s">
        <v>2787</v>
      </c>
      <c r="B110" s="3065"/>
      <c r="C110" s="3065"/>
      <c r="D110" s="3065"/>
      <c r="E110" s="3065"/>
      <c r="F110" s="3065"/>
      <c r="G110" s="3065"/>
      <c r="H110" s="3065"/>
      <c r="I110" s="3065"/>
      <c r="J110" s="3065"/>
      <c r="K110" s="2696"/>
      <c r="L110" s="2696"/>
      <c r="M110" s="2696"/>
      <c r="N110" s="2696"/>
    </row>
    <row r="112" spans="1:14" ht="13.8" thickBot="1"/>
    <row r="113" spans="1:13" ht="25.8" thickBot="1">
      <c r="A113" s="927" t="s">
        <v>2788</v>
      </c>
      <c r="B113" s="1378">
        <f>G3</f>
        <v>0</v>
      </c>
      <c r="C113" s="928" t="s">
        <v>2789</v>
      </c>
      <c r="D113" s="929">
        <f>SUMPRODUCT((A115:A118=F113)*(B114:M114=H113)*B115:M118)</f>
        <v>0</v>
      </c>
      <c r="E113" s="2698" t="s">
        <v>2673</v>
      </c>
      <c r="F113" s="2699">
        <f>E2</f>
        <v>0</v>
      </c>
      <c r="G113" s="2698" t="s">
        <v>2607</v>
      </c>
      <c r="H113" s="2699">
        <f>G2</f>
        <v>0</v>
      </c>
      <c r="I113" s="2698"/>
      <c r="J113" s="2700"/>
      <c r="K113" s="2700"/>
      <c r="L113" s="2700"/>
      <c r="M113" s="2700"/>
    </row>
    <row r="114" spans="1:13">
      <c r="A114" s="932"/>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3" t="s">
        <v>2674</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2675</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2676</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8" thickBot="1">
      <c r="A118" s="702" t="s">
        <v>2677</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879" customWidth="1"/>
    <col min="2" max="2" width="10.21875" style="812" customWidth="1"/>
  </cols>
  <sheetData>
    <row r="1" spans="1:6">
      <c r="A1" s="3084" t="s">
        <v>787</v>
      </c>
      <c r="B1" s="3084"/>
    </row>
    <row r="2" spans="1:6" ht="15" thickBot="1">
      <c r="A2" s="1094"/>
      <c r="B2" s="1094"/>
    </row>
    <row r="3" spans="1:6" ht="15" thickBot="1">
      <c r="A3" s="1094"/>
      <c r="B3" s="1094"/>
      <c r="C3" s="1097" t="s">
        <v>788</v>
      </c>
      <c r="D3" s="1097" t="s">
        <v>789</v>
      </c>
      <c r="E3" s="1097" t="s">
        <v>790</v>
      </c>
      <c r="F3" s="1097" t="s">
        <v>791</v>
      </c>
    </row>
    <row r="4" spans="1:6" ht="15" thickBot="1">
      <c r="A4" s="1098" t="s">
        <v>792</v>
      </c>
      <c r="B4" s="1099" t="s">
        <v>793</v>
      </c>
      <c r="C4" s="1097"/>
      <c r="D4" s="1097"/>
      <c r="E4" s="1097"/>
      <c r="F4" s="1097"/>
    </row>
    <row r="5" spans="1:6" ht="15" thickBot="1">
      <c r="A5" s="855" t="s">
        <v>794</v>
      </c>
      <c r="B5" s="856" t="s">
        <v>795</v>
      </c>
      <c r="C5" s="1100">
        <v>8.8999999999999996E-2</v>
      </c>
      <c r="D5" s="1100">
        <v>7.3999999999999996E-2</v>
      </c>
      <c r="E5" s="1100">
        <v>7.4999999999999997E-2</v>
      </c>
      <c r="F5" s="1101">
        <v>0.1</v>
      </c>
    </row>
    <row r="6" spans="1:6" ht="15" thickBot="1">
      <c r="A6" s="855" t="s">
        <v>161</v>
      </c>
      <c r="B6" s="849" t="s">
        <v>796</v>
      </c>
      <c r="C6" s="1102">
        <v>0.1</v>
      </c>
      <c r="D6" s="1102">
        <v>9.0999999999999998E-2</v>
      </c>
      <c r="E6" s="1102">
        <v>9.0999999999999998E-2</v>
      </c>
      <c r="F6" s="1103">
        <v>0.1</v>
      </c>
    </row>
    <row r="7" spans="1:6" ht="15" thickBot="1">
      <c r="A7" s="855" t="s">
        <v>161</v>
      </c>
      <c r="B7" s="863" t="s">
        <v>150</v>
      </c>
      <c r="C7" s="1102">
        <v>8.5999999999999993E-2</v>
      </c>
      <c r="D7" s="1102">
        <v>9.6000000000000002E-2</v>
      </c>
      <c r="E7" s="1102">
        <v>7.5999999999999998E-2</v>
      </c>
      <c r="F7" s="1103">
        <v>0.1</v>
      </c>
    </row>
    <row r="8" spans="1:6" ht="15" thickBot="1">
      <c r="A8" s="855" t="s">
        <v>161</v>
      </c>
      <c r="B8" s="849" t="s">
        <v>162</v>
      </c>
      <c r="C8" s="1102">
        <v>9.9000000000000005E-2</v>
      </c>
      <c r="D8" s="1102">
        <v>9.8000000000000004E-2</v>
      </c>
      <c r="E8" s="1102">
        <v>9.8000000000000004E-2</v>
      </c>
      <c r="F8" s="1103">
        <v>0.1</v>
      </c>
    </row>
    <row r="9" spans="1:6" ht="15" thickBot="1">
      <c r="A9" s="872" t="s">
        <v>161</v>
      </c>
      <c r="B9" s="864" t="s">
        <v>174</v>
      </c>
      <c r="C9" s="1104">
        <v>0.05</v>
      </c>
      <c r="D9" s="1105"/>
      <c r="E9" s="1105"/>
      <c r="F9" s="1106"/>
    </row>
    <row r="10" spans="1:6" ht="15" thickBot="1">
      <c r="A10" s="855" t="s">
        <v>221</v>
      </c>
      <c r="B10" s="856" t="s">
        <v>797</v>
      </c>
      <c r="C10" s="1100">
        <v>8.8999999999999996E-2</v>
      </c>
      <c r="D10" s="1100">
        <v>7.2999999999999995E-2</v>
      </c>
      <c r="E10" s="1100">
        <v>8.2000000000000003E-2</v>
      </c>
      <c r="F10" s="1101">
        <v>0.1</v>
      </c>
    </row>
    <row r="11" spans="1:6" ht="15" thickBot="1">
      <c r="A11" s="855" t="s">
        <v>221</v>
      </c>
      <c r="B11" s="863" t="s">
        <v>137</v>
      </c>
      <c r="C11" s="1102">
        <v>8.8999999999999996E-2</v>
      </c>
      <c r="D11" s="1102">
        <v>7.2999999999999995E-2</v>
      </c>
      <c r="E11" s="1102">
        <v>8.2000000000000003E-2</v>
      </c>
      <c r="F11" s="1103">
        <v>0.1</v>
      </c>
    </row>
    <row r="12" spans="1:6" ht="15" thickBot="1">
      <c r="A12" s="855" t="s">
        <v>221</v>
      </c>
      <c r="B12" s="863" t="s">
        <v>88</v>
      </c>
      <c r="C12" s="1102">
        <v>6.0999999999999999E-2</v>
      </c>
      <c r="D12" s="1102">
        <v>7.0999999999999994E-2</v>
      </c>
      <c r="E12" s="1102">
        <v>9.6000000000000002E-2</v>
      </c>
      <c r="F12" s="1103">
        <v>0.1</v>
      </c>
    </row>
    <row r="13" spans="1:6" ht="15" thickBot="1">
      <c r="A13" s="855" t="s">
        <v>221</v>
      </c>
      <c r="B13" s="863" t="s">
        <v>163</v>
      </c>
      <c r="C13" s="1102">
        <v>6.9000000000000006E-2</v>
      </c>
      <c r="D13" s="1102">
        <v>6.5000000000000002E-2</v>
      </c>
      <c r="E13" s="1102">
        <v>6.6000000000000003E-2</v>
      </c>
      <c r="F13" s="1103">
        <v>0.1</v>
      </c>
    </row>
    <row r="14" spans="1:6" ht="15" thickBot="1">
      <c r="A14" s="855" t="s">
        <v>221</v>
      </c>
      <c r="B14" s="863" t="s">
        <v>175</v>
      </c>
      <c r="C14" s="1102">
        <v>0.1</v>
      </c>
      <c r="D14" s="1102">
        <v>6.5000000000000002E-2</v>
      </c>
      <c r="E14" s="1102">
        <v>7.0000000000000007E-2</v>
      </c>
      <c r="F14" s="1103">
        <v>0.1</v>
      </c>
    </row>
    <row r="15" spans="1:6" ht="15" thickBot="1">
      <c r="A15" s="855" t="s">
        <v>221</v>
      </c>
      <c r="B15" s="863" t="s">
        <v>187</v>
      </c>
      <c r="C15" s="1102">
        <v>9.8000000000000004E-2</v>
      </c>
      <c r="D15" s="1102">
        <v>8.8999999999999996E-2</v>
      </c>
      <c r="E15" s="1102">
        <v>8.8999999999999996E-2</v>
      </c>
      <c r="F15" s="1103">
        <v>0.1</v>
      </c>
    </row>
    <row r="16" spans="1:6" ht="15" thickBot="1">
      <c r="A16" s="855" t="s">
        <v>221</v>
      </c>
      <c r="B16" s="863" t="s">
        <v>199</v>
      </c>
      <c r="C16" s="1102">
        <v>7.0000000000000007E-2</v>
      </c>
      <c r="D16" s="1102">
        <v>9.2999999999999999E-2</v>
      </c>
      <c r="E16" s="1102">
        <v>9.6000000000000002E-2</v>
      </c>
      <c r="F16" s="1103">
        <v>0.1</v>
      </c>
    </row>
    <row r="17" spans="1:6" ht="15" thickBot="1">
      <c r="A17" s="855" t="s">
        <v>221</v>
      </c>
      <c r="B17" s="863" t="s">
        <v>211</v>
      </c>
      <c r="C17" s="1102">
        <v>9.5000000000000001E-2</v>
      </c>
      <c r="D17" s="1102">
        <v>0.1</v>
      </c>
      <c r="E17" s="1102">
        <v>0.1</v>
      </c>
      <c r="F17" s="1107"/>
    </row>
    <row r="18" spans="1:6" ht="15" thickBot="1">
      <c r="A18" s="855" t="s">
        <v>221</v>
      </c>
      <c r="B18" s="863" t="s">
        <v>224</v>
      </c>
      <c r="C18" s="1102">
        <v>7.3999999999999996E-2</v>
      </c>
      <c r="D18" s="1102">
        <v>9.9000000000000005E-2</v>
      </c>
      <c r="E18" s="1102">
        <v>0.1</v>
      </c>
      <c r="F18" s="1107"/>
    </row>
    <row r="19" spans="1:6" ht="15" thickBot="1">
      <c r="A19" s="855" t="s">
        <v>221</v>
      </c>
      <c r="B19" s="863" t="s">
        <v>235</v>
      </c>
      <c r="C19" s="1102">
        <v>9.9000000000000005E-2</v>
      </c>
      <c r="D19" s="1102">
        <v>7.5999999999999998E-2</v>
      </c>
      <c r="E19" s="1102">
        <v>8.6999999999999994E-2</v>
      </c>
      <c r="F19" s="1107"/>
    </row>
    <row r="20" spans="1:6" ht="15" thickBot="1">
      <c r="A20" s="855" t="s">
        <v>221</v>
      </c>
      <c r="B20" s="863" t="s">
        <v>246</v>
      </c>
      <c r="C20" s="1102">
        <v>9.8000000000000004E-2</v>
      </c>
      <c r="D20" s="1102">
        <v>8.5000000000000006E-2</v>
      </c>
      <c r="E20" s="1102">
        <v>8.2000000000000003E-2</v>
      </c>
      <c r="F20" s="1107"/>
    </row>
    <row r="21" spans="1:6" ht="15" thickBot="1">
      <c r="A21" s="855" t="s">
        <v>221</v>
      </c>
      <c r="B21" s="863" t="s">
        <v>257</v>
      </c>
      <c r="C21" s="1102">
        <v>6.6000000000000003E-2</v>
      </c>
      <c r="D21" s="1102">
        <v>6.4000000000000001E-2</v>
      </c>
      <c r="E21" s="1102">
        <v>6.5000000000000002E-2</v>
      </c>
      <c r="F21" s="1107"/>
    </row>
    <row r="22" spans="1:6" ht="15" thickBot="1">
      <c r="A22" s="855" t="s">
        <v>221</v>
      </c>
      <c r="B22" s="863" t="s">
        <v>798</v>
      </c>
      <c r="C22" s="1102">
        <v>0.08</v>
      </c>
      <c r="D22" s="1102">
        <v>9.8000000000000004E-2</v>
      </c>
      <c r="E22" s="1102">
        <v>9.8000000000000004E-2</v>
      </c>
      <c r="F22" s="1107"/>
    </row>
    <row r="23" spans="1:6" ht="15" thickBot="1">
      <c r="A23" s="855" t="s">
        <v>221</v>
      </c>
      <c r="B23" s="863" t="s">
        <v>279</v>
      </c>
      <c r="C23" s="1102">
        <v>9.9000000000000005E-2</v>
      </c>
      <c r="D23" s="1102">
        <v>9.8000000000000004E-2</v>
      </c>
      <c r="E23" s="1102">
        <v>9.0999999999999998E-2</v>
      </c>
      <c r="F23" s="1107"/>
    </row>
    <row r="24" spans="1:6" ht="15" thickBot="1">
      <c r="A24" s="855" t="s">
        <v>221</v>
      </c>
      <c r="B24" s="863" t="s">
        <v>290</v>
      </c>
      <c r="C24" s="1102">
        <v>8.8999999999999996E-2</v>
      </c>
      <c r="D24" s="1102">
        <v>9.7000000000000003E-2</v>
      </c>
      <c r="E24" s="1102">
        <v>7.0000000000000007E-2</v>
      </c>
      <c r="F24" s="1107"/>
    </row>
    <row r="25" spans="1:6" ht="15" thickBot="1">
      <c r="A25" s="855" t="s">
        <v>221</v>
      </c>
      <c r="B25" s="863" t="s">
        <v>300</v>
      </c>
      <c r="C25" s="1102">
        <v>8.8999999999999996E-2</v>
      </c>
      <c r="D25" s="1102">
        <v>0.1</v>
      </c>
      <c r="E25" s="1102">
        <v>8.1000000000000003E-2</v>
      </c>
      <c r="F25" s="1107"/>
    </row>
    <row r="26" spans="1:6" ht="15" thickBot="1">
      <c r="A26" s="855" t="s">
        <v>221</v>
      </c>
      <c r="B26" s="863" t="s">
        <v>310</v>
      </c>
      <c r="C26" s="1108"/>
      <c r="D26" s="1102">
        <v>9.6000000000000002E-2</v>
      </c>
      <c r="E26" s="1102">
        <v>9.2999999999999999E-2</v>
      </c>
      <c r="F26" s="1107"/>
    </row>
    <row r="27" spans="1:6" ht="15" thickBot="1">
      <c r="A27" s="855" t="s">
        <v>221</v>
      </c>
      <c r="B27" s="863" t="s">
        <v>320</v>
      </c>
      <c r="C27" s="1108"/>
      <c r="D27" s="1102">
        <v>7.5999999999999998E-2</v>
      </c>
      <c r="E27" s="1102">
        <v>9.1999999999999998E-2</v>
      </c>
      <c r="F27" s="1107"/>
    </row>
    <row r="28" spans="1:6" ht="15" thickBot="1">
      <c r="A28" s="872" t="s">
        <v>221</v>
      </c>
      <c r="B28" s="864" t="s">
        <v>330</v>
      </c>
      <c r="C28" s="1105"/>
      <c r="D28" s="1104">
        <v>7.5999999999999998E-2</v>
      </c>
      <c r="E28" s="1104">
        <v>9.1999999999999998E-2</v>
      </c>
      <c r="F28" s="1106"/>
    </row>
    <row r="29" spans="1:6" ht="15" thickBot="1">
      <c r="A29" s="855" t="s">
        <v>399</v>
      </c>
      <c r="B29" s="856" t="s">
        <v>799</v>
      </c>
      <c r="C29" s="1100">
        <v>6.4000000000000001E-2</v>
      </c>
      <c r="D29" s="1100">
        <v>6.5000000000000002E-2</v>
      </c>
      <c r="E29" s="1100">
        <v>6.9000000000000006E-2</v>
      </c>
      <c r="F29" s="1101">
        <v>0.1</v>
      </c>
    </row>
    <row r="30" spans="1:6" ht="15" thickBot="1">
      <c r="A30" s="855" t="s">
        <v>399</v>
      </c>
      <c r="B30" s="863" t="s">
        <v>138</v>
      </c>
      <c r="C30" s="1102">
        <v>6.4000000000000001E-2</v>
      </c>
      <c r="D30" s="1102">
        <v>9.9000000000000005E-2</v>
      </c>
      <c r="E30" s="1102">
        <v>0.1</v>
      </c>
      <c r="F30" s="1103">
        <v>0.1</v>
      </c>
    </row>
    <row r="31" spans="1:6" ht="15" thickBot="1">
      <c r="A31" s="855" t="s">
        <v>399</v>
      </c>
      <c r="B31" s="863" t="s">
        <v>151</v>
      </c>
      <c r="C31" s="1102">
        <v>0.1</v>
      </c>
      <c r="D31" s="1102">
        <v>9.5000000000000001E-2</v>
      </c>
      <c r="E31" s="1102">
        <v>8.8999999999999996E-2</v>
      </c>
      <c r="F31" s="1103">
        <v>0.1</v>
      </c>
    </row>
    <row r="32" spans="1:6" ht="15" thickBot="1">
      <c r="A32" s="855" t="s">
        <v>399</v>
      </c>
      <c r="B32" s="863" t="s">
        <v>164</v>
      </c>
      <c r="C32" s="1102">
        <v>0.05</v>
      </c>
      <c r="D32" s="1102">
        <v>0.05</v>
      </c>
      <c r="E32" s="1102">
        <v>8.7999999999999995E-2</v>
      </c>
      <c r="F32" s="1103">
        <v>0.1</v>
      </c>
    </row>
    <row r="33" spans="1:6" ht="15" thickBot="1">
      <c r="A33" s="855" t="s">
        <v>399</v>
      </c>
      <c r="B33" s="863" t="s">
        <v>176</v>
      </c>
      <c r="C33" s="1102">
        <v>7.4999999999999997E-2</v>
      </c>
      <c r="D33" s="1102">
        <v>9.4E-2</v>
      </c>
      <c r="E33" s="1102">
        <v>9.7000000000000003E-2</v>
      </c>
      <c r="F33" s="1103">
        <v>0.1</v>
      </c>
    </row>
    <row r="34" spans="1:6" ht="15" thickBot="1">
      <c r="A34" s="855" t="s">
        <v>399</v>
      </c>
      <c r="B34" s="863" t="s">
        <v>188</v>
      </c>
      <c r="C34" s="1102">
        <v>9.8000000000000004E-2</v>
      </c>
      <c r="D34" s="1102">
        <v>8.5999999999999993E-2</v>
      </c>
      <c r="E34" s="1102">
        <v>9.7000000000000003E-2</v>
      </c>
      <c r="F34" s="1103">
        <v>0.1</v>
      </c>
    </row>
    <row r="35" spans="1:6" ht="15" thickBot="1">
      <c r="A35" s="855" t="s">
        <v>399</v>
      </c>
      <c r="B35" s="863" t="s">
        <v>200</v>
      </c>
      <c r="C35" s="1102">
        <v>5.8999999999999997E-2</v>
      </c>
      <c r="D35" s="1102">
        <v>6.5000000000000002E-2</v>
      </c>
      <c r="E35" s="1102">
        <v>7.0000000000000007E-2</v>
      </c>
      <c r="F35" s="1103">
        <v>0.1</v>
      </c>
    </row>
    <row r="36" spans="1:6" ht="15" thickBot="1">
      <c r="A36" s="855" t="s">
        <v>399</v>
      </c>
      <c r="B36" s="863" t="s">
        <v>212</v>
      </c>
      <c r="C36" s="1102">
        <v>6.3E-2</v>
      </c>
      <c r="D36" s="1102">
        <v>0.1</v>
      </c>
      <c r="E36" s="1102">
        <v>0.1</v>
      </c>
      <c r="F36" s="1103">
        <v>0.1</v>
      </c>
    </row>
    <row r="37" spans="1:6" ht="15" thickBot="1">
      <c r="A37" s="855" t="s">
        <v>399</v>
      </c>
      <c r="B37" s="863" t="s">
        <v>225</v>
      </c>
      <c r="C37" s="1102">
        <v>7.3999999999999996E-2</v>
      </c>
      <c r="D37" s="1102">
        <v>0.1</v>
      </c>
      <c r="E37" s="1102">
        <v>0.1</v>
      </c>
      <c r="F37" s="1103">
        <v>0.1</v>
      </c>
    </row>
    <row r="38" spans="1:6" ht="15" thickBot="1">
      <c r="A38" s="855" t="s">
        <v>399</v>
      </c>
      <c r="B38" s="863" t="s">
        <v>236</v>
      </c>
      <c r="C38" s="1102">
        <v>0.1</v>
      </c>
      <c r="D38" s="1102">
        <v>9.6000000000000002E-2</v>
      </c>
      <c r="E38" s="1102">
        <v>9.6000000000000002E-2</v>
      </c>
      <c r="F38" s="1107"/>
    </row>
    <row r="39" spans="1:6" ht="15" thickBot="1">
      <c r="A39" s="855" t="s">
        <v>399</v>
      </c>
      <c r="B39" s="863" t="s">
        <v>247</v>
      </c>
      <c r="C39" s="1102">
        <v>0.1</v>
      </c>
      <c r="D39" s="1102">
        <v>9.6000000000000002E-2</v>
      </c>
      <c r="E39" s="1102">
        <v>9.6000000000000002E-2</v>
      </c>
      <c r="F39" s="1107"/>
    </row>
    <row r="40" spans="1:6" ht="15" thickBot="1">
      <c r="A40" s="855" t="s">
        <v>399</v>
      </c>
      <c r="B40" s="863" t="s">
        <v>258</v>
      </c>
      <c r="C40" s="1102">
        <v>9.6000000000000002E-2</v>
      </c>
      <c r="D40" s="1102">
        <v>0.1</v>
      </c>
      <c r="E40" s="1102">
        <v>9.9000000000000005E-2</v>
      </c>
      <c r="F40" s="1107"/>
    </row>
    <row r="41" spans="1:6" ht="15" thickBot="1">
      <c r="A41" s="855" t="s">
        <v>399</v>
      </c>
      <c r="B41" s="863" t="s">
        <v>269</v>
      </c>
      <c r="C41" s="1102">
        <v>9.6000000000000002E-2</v>
      </c>
      <c r="D41" s="1102">
        <v>9.8000000000000004E-2</v>
      </c>
      <c r="E41" s="1102">
        <v>9.8000000000000004E-2</v>
      </c>
      <c r="F41" s="1107"/>
    </row>
    <row r="42" spans="1:6" ht="15" thickBot="1">
      <c r="A42" s="855" t="s">
        <v>399</v>
      </c>
      <c r="B42" s="863" t="s">
        <v>280</v>
      </c>
      <c r="C42" s="1102">
        <v>0.1</v>
      </c>
      <c r="D42" s="1102">
        <v>8.7999999999999995E-2</v>
      </c>
      <c r="E42" s="1102">
        <v>0.1</v>
      </c>
      <c r="F42" s="1107"/>
    </row>
    <row r="43" spans="1:6" ht="15" thickBot="1">
      <c r="A43" s="855" t="s">
        <v>399</v>
      </c>
      <c r="B43" s="863" t="s">
        <v>291</v>
      </c>
      <c r="C43" s="1102">
        <v>9.8000000000000004E-2</v>
      </c>
      <c r="D43" s="1102">
        <v>9.7000000000000003E-2</v>
      </c>
      <c r="E43" s="1102">
        <v>9.6000000000000002E-2</v>
      </c>
      <c r="F43" s="1107"/>
    </row>
    <row r="44" spans="1:6" ht="15" thickBot="1">
      <c r="A44" s="855" t="s">
        <v>399</v>
      </c>
      <c r="B44" s="863" t="s">
        <v>301</v>
      </c>
      <c r="C44" s="1102">
        <v>8.5999999999999993E-2</v>
      </c>
      <c r="D44" s="1102">
        <v>7.9000000000000001E-2</v>
      </c>
      <c r="E44" s="1102">
        <v>7.0999999999999994E-2</v>
      </c>
      <c r="F44" s="1107"/>
    </row>
    <row r="45" spans="1:6" ht="15" thickBot="1">
      <c r="A45" s="855" t="s">
        <v>399</v>
      </c>
      <c r="B45" s="863" t="s">
        <v>311</v>
      </c>
      <c r="C45" s="1102">
        <v>9.8000000000000004E-2</v>
      </c>
      <c r="D45" s="1102">
        <v>9.6000000000000002E-2</v>
      </c>
      <c r="E45" s="1102">
        <v>9.6000000000000002E-2</v>
      </c>
      <c r="F45" s="1107"/>
    </row>
    <row r="46" spans="1:6" ht="15" thickBot="1">
      <c r="A46" s="855" t="s">
        <v>399</v>
      </c>
      <c r="B46" s="863" t="s">
        <v>321</v>
      </c>
      <c r="C46" s="1102">
        <v>8.5999999999999993E-2</v>
      </c>
      <c r="D46" s="1102">
        <v>9.8000000000000004E-2</v>
      </c>
      <c r="E46" s="1102">
        <v>8.7999999999999995E-2</v>
      </c>
      <c r="F46" s="1107"/>
    </row>
    <row r="47" spans="1:6" ht="15" thickBot="1">
      <c r="A47" s="855" t="s">
        <v>399</v>
      </c>
      <c r="B47" s="863" t="s">
        <v>331</v>
      </c>
      <c r="C47" s="1102">
        <v>9.6000000000000002E-2</v>
      </c>
      <c r="D47" s="1108"/>
      <c r="E47" s="1102">
        <v>6.9000000000000006E-2</v>
      </c>
      <c r="F47" s="1107"/>
    </row>
    <row r="48" spans="1:6" ht="15" thickBot="1">
      <c r="A48" s="872" t="s">
        <v>399</v>
      </c>
      <c r="B48" s="864" t="s">
        <v>340</v>
      </c>
      <c r="C48" s="1104">
        <v>9.8000000000000004E-2</v>
      </c>
      <c r="D48" s="1105"/>
      <c r="E48" s="1104">
        <v>9.5000000000000001E-2</v>
      </c>
      <c r="F48" s="1106"/>
    </row>
    <row r="49" spans="1:6" ht="15" thickBot="1">
      <c r="A49" s="855" t="s">
        <v>87</v>
      </c>
      <c r="B49" s="856" t="s">
        <v>800</v>
      </c>
      <c r="C49" s="1100">
        <v>9.7000000000000003E-2</v>
      </c>
      <c r="D49" s="1100">
        <v>9.5000000000000001E-2</v>
      </c>
      <c r="E49" s="1100">
        <v>9.7000000000000003E-2</v>
      </c>
      <c r="F49" s="1101">
        <v>0.1</v>
      </c>
    </row>
    <row r="50" spans="1:6" ht="15" thickBot="1">
      <c r="A50" s="855" t="s">
        <v>87</v>
      </c>
      <c r="B50" s="849" t="s">
        <v>139</v>
      </c>
      <c r="C50" s="1102">
        <v>7.4999999999999997E-2</v>
      </c>
      <c r="D50" s="1102">
        <v>9.5000000000000001E-2</v>
      </c>
      <c r="E50" s="1102">
        <v>0.1</v>
      </c>
      <c r="F50" s="1103">
        <v>0.1</v>
      </c>
    </row>
    <row r="51" spans="1:6" ht="15" thickBot="1">
      <c r="A51" s="855" t="s">
        <v>87</v>
      </c>
      <c r="B51" s="849" t="s">
        <v>152</v>
      </c>
      <c r="C51" s="1102">
        <v>9.8000000000000004E-2</v>
      </c>
      <c r="D51" s="1102">
        <v>8.8999999999999996E-2</v>
      </c>
      <c r="E51" s="1102">
        <v>0.1</v>
      </c>
      <c r="F51" s="1103">
        <v>0.1</v>
      </c>
    </row>
    <row r="52" spans="1:6" ht="15" thickBot="1">
      <c r="A52" s="855" t="s">
        <v>87</v>
      </c>
      <c r="B52" s="849" t="s">
        <v>165</v>
      </c>
      <c r="C52" s="1102">
        <v>9.8000000000000004E-2</v>
      </c>
      <c r="D52" s="1102">
        <v>9.7000000000000003E-2</v>
      </c>
      <c r="E52" s="1102">
        <v>8.1000000000000003E-2</v>
      </c>
      <c r="F52" s="1103">
        <v>0.1</v>
      </c>
    </row>
    <row r="53" spans="1:6" ht="15" thickBot="1">
      <c r="A53" s="855" t="s">
        <v>87</v>
      </c>
      <c r="B53" s="849" t="s">
        <v>177</v>
      </c>
      <c r="C53" s="1102">
        <v>9.7000000000000003E-2</v>
      </c>
      <c r="D53" s="1102">
        <v>7.5999999999999998E-2</v>
      </c>
      <c r="E53" s="1102">
        <v>7.0999999999999994E-2</v>
      </c>
      <c r="F53" s="1103">
        <v>0.1</v>
      </c>
    </row>
    <row r="54" spans="1:6" ht="15" thickBot="1">
      <c r="A54" s="855" t="s">
        <v>87</v>
      </c>
      <c r="B54" s="849" t="s">
        <v>189</v>
      </c>
      <c r="C54" s="1102">
        <v>7.5999999999999998E-2</v>
      </c>
      <c r="D54" s="1102">
        <v>0.1</v>
      </c>
      <c r="E54" s="1102">
        <v>9.9000000000000005E-2</v>
      </c>
      <c r="F54" s="1103">
        <v>0.1</v>
      </c>
    </row>
    <row r="55" spans="1:6" ht="15" thickBot="1">
      <c r="A55" s="855" t="s">
        <v>87</v>
      </c>
      <c r="B55" s="849" t="s">
        <v>201</v>
      </c>
      <c r="C55" s="1102">
        <v>0.1</v>
      </c>
      <c r="D55" s="1102">
        <v>0.1</v>
      </c>
      <c r="E55" s="1102">
        <v>9.6000000000000002E-2</v>
      </c>
      <c r="F55" s="1103">
        <v>0.1</v>
      </c>
    </row>
    <row r="56" spans="1:6" ht="15" thickBot="1">
      <c r="A56" s="855" t="s">
        <v>87</v>
      </c>
      <c r="B56" s="849" t="s">
        <v>213</v>
      </c>
      <c r="C56" s="1102">
        <v>0.1</v>
      </c>
      <c r="D56" s="1102">
        <v>9.6000000000000002E-2</v>
      </c>
      <c r="E56" s="1102">
        <v>5.1999999999999998E-2</v>
      </c>
      <c r="F56" s="1103">
        <v>0.1</v>
      </c>
    </row>
    <row r="57" spans="1:6" ht="15" thickBot="1">
      <c r="A57" s="855" t="s">
        <v>87</v>
      </c>
      <c r="B57" s="849" t="s">
        <v>226</v>
      </c>
      <c r="C57" s="1102">
        <v>9.7000000000000003E-2</v>
      </c>
      <c r="D57" s="1102">
        <v>9.6000000000000002E-2</v>
      </c>
      <c r="E57" s="1102">
        <v>9.6000000000000002E-2</v>
      </c>
      <c r="F57" s="1103">
        <v>0.1</v>
      </c>
    </row>
    <row r="58" spans="1:6" ht="15" thickBot="1">
      <c r="A58" s="855" t="s">
        <v>87</v>
      </c>
      <c r="B58" s="849" t="s">
        <v>237</v>
      </c>
      <c r="C58" s="1102">
        <v>9.6000000000000002E-2</v>
      </c>
      <c r="D58" s="1102">
        <v>9.9000000000000005E-2</v>
      </c>
      <c r="E58" s="1102">
        <v>9.6000000000000002E-2</v>
      </c>
      <c r="F58" s="1103">
        <v>0.1</v>
      </c>
    </row>
    <row r="59" spans="1:6" ht="15" thickBot="1">
      <c r="A59" s="855" t="s">
        <v>87</v>
      </c>
      <c r="B59" s="849" t="s">
        <v>248</v>
      </c>
      <c r="C59" s="1102">
        <v>7.1999999999999995E-2</v>
      </c>
      <c r="D59" s="1102">
        <v>9.6000000000000002E-2</v>
      </c>
      <c r="E59" s="1102">
        <v>7.0999999999999994E-2</v>
      </c>
      <c r="F59" s="1103">
        <v>0.1</v>
      </c>
    </row>
    <row r="60" spans="1:6" ht="15" thickBot="1">
      <c r="A60" s="855" t="s">
        <v>87</v>
      </c>
      <c r="B60" s="849" t="s">
        <v>259</v>
      </c>
      <c r="C60" s="1102">
        <v>9.6000000000000002E-2</v>
      </c>
      <c r="D60" s="1102">
        <v>8.8999999999999996E-2</v>
      </c>
      <c r="E60" s="1102">
        <v>9.6000000000000002E-2</v>
      </c>
      <c r="F60" s="1103">
        <v>0.1</v>
      </c>
    </row>
    <row r="61" spans="1:6" ht="15" thickBot="1">
      <c r="A61" s="855" t="s">
        <v>87</v>
      </c>
      <c r="B61" s="849" t="s">
        <v>270</v>
      </c>
      <c r="C61" s="1102">
        <v>8.8999999999999996E-2</v>
      </c>
      <c r="D61" s="1102">
        <v>9.8000000000000004E-2</v>
      </c>
      <c r="E61" s="1102">
        <v>8.7999999999999995E-2</v>
      </c>
      <c r="F61" s="1107"/>
    </row>
    <row r="62" spans="1:6" ht="15" thickBot="1">
      <c r="A62" s="855" t="s">
        <v>87</v>
      </c>
      <c r="B62" s="849" t="s">
        <v>281</v>
      </c>
      <c r="C62" s="1102">
        <v>9.8000000000000004E-2</v>
      </c>
      <c r="D62" s="1102">
        <v>9.2999999999999999E-2</v>
      </c>
      <c r="E62" s="1102">
        <v>9.7000000000000003E-2</v>
      </c>
      <c r="F62" s="1107"/>
    </row>
    <row r="63" spans="1:6" ht="15" thickBot="1">
      <c r="A63" s="855" t="s">
        <v>87</v>
      </c>
      <c r="B63" s="849" t="s">
        <v>292</v>
      </c>
      <c r="C63" s="1102">
        <v>9.6000000000000002E-2</v>
      </c>
      <c r="D63" s="1102">
        <v>9.8000000000000004E-2</v>
      </c>
      <c r="E63" s="1102">
        <v>0.09</v>
      </c>
      <c r="F63" s="1107"/>
    </row>
    <row r="64" spans="1:6" ht="15" thickBot="1">
      <c r="A64" s="855" t="s">
        <v>87</v>
      </c>
      <c r="B64" s="849" t="s">
        <v>302</v>
      </c>
      <c r="C64" s="1102">
        <v>9.9000000000000005E-2</v>
      </c>
      <c r="D64" s="1102">
        <v>9.7000000000000003E-2</v>
      </c>
      <c r="E64" s="1102">
        <v>9.9000000000000005E-2</v>
      </c>
      <c r="F64" s="1107"/>
    </row>
    <row r="65" spans="1:6" ht="15" thickBot="1">
      <c r="A65" s="855" t="s">
        <v>87</v>
      </c>
      <c r="B65" s="849" t="s">
        <v>312</v>
      </c>
      <c r="C65" s="1102">
        <v>9.8000000000000004E-2</v>
      </c>
      <c r="D65" s="1102">
        <v>9.6000000000000002E-2</v>
      </c>
      <c r="E65" s="1102">
        <v>9.6000000000000002E-2</v>
      </c>
      <c r="F65" s="1107"/>
    </row>
    <row r="66" spans="1:6" ht="15" thickBot="1">
      <c r="A66" s="855" t="s">
        <v>87</v>
      </c>
      <c r="B66" s="849" t="s">
        <v>322</v>
      </c>
      <c r="C66" s="1102">
        <v>9.6000000000000002E-2</v>
      </c>
      <c r="D66" s="1102">
        <v>9.1999999999999998E-2</v>
      </c>
      <c r="E66" s="1102">
        <v>9.6000000000000002E-2</v>
      </c>
      <c r="F66" s="1107"/>
    </row>
    <row r="67" spans="1:6" ht="15" thickBot="1">
      <c r="A67" s="855" t="s">
        <v>87</v>
      </c>
      <c r="B67" s="849" t="s">
        <v>332</v>
      </c>
      <c r="C67" s="1102">
        <v>9.4E-2</v>
      </c>
      <c r="D67" s="1102">
        <v>0.1</v>
      </c>
      <c r="E67" s="1102">
        <v>8.7999999999999995E-2</v>
      </c>
      <c r="F67" s="1107"/>
    </row>
    <row r="68" spans="1:6" ht="15" thickBot="1">
      <c r="A68" s="855" t="s">
        <v>87</v>
      </c>
      <c r="B68" s="849" t="s">
        <v>341</v>
      </c>
      <c r="C68" s="1102">
        <v>0.1</v>
      </c>
      <c r="D68" s="1102">
        <v>8.7999999999999995E-2</v>
      </c>
      <c r="E68" s="1102">
        <v>9.7000000000000003E-2</v>
      </c>
      <c r="F68" s="1107"/>
    </row>
    <row r="69" spans="1:6" ht="15" thickBot="1">
      <c r="A69" s="855" t="s">
        <v>87</v>
      </c>
      <c r="B69" s="849" t="s">
        <v>350</v>
      </c>
      <c r="C69" s="1102">
        <v>6.4000000000000001E-2</v>
      </c>
      <c r="D69" s="1102">
        <v>0.1</v>
      </c>
      <c r="E69" s="1102">
        <v>0.1</v>
      </c>
      <c r="F69" s="1107"/>
    </row>
    <row r="70" spans="1:6" ht="15" thickBot="1">
      <c r="A70" s="855" t="s">
        <v>87</v>
      </c>
      <c r="B70" s="849" t="s">
        <v>358</v>
      </c>
      <c r="C70" s="1102">
        <v>9.0999999999999998E-2</v>
      </c>
      <c r="D70" s="1108"/>
      <c r="E70" s="1108"/>
      <c r="F70" s="1107"/>
    </row>
    <row r="71" spans="1:6" ht="15" thickBot="1">
      <c r="A71" s="855" t="s">
        <v>87</v>
      </c>
      <c r="B71" s="849" t="s">
        <v>365</v>
      </c>
      <c r="C71" s="1102">
        <v>0.1</v>
      </c>
      <c r="D71" s="1108"/>
      <c r="E71" s="1108"/>
      <c r="F71" s="1107"/>
    </row>
    <row r="72" spans="1:6" ht="24.6" thickBot="1">
      <c r="A72" s="855" t="s">
        <v>87</v>
      </c>
      <c r="B72" s="849" t="s">
        <v>801</v>
      </c>
      <c r="C72" s="1108"/>
      <c r="D72" s="1108"/>
      <c r="E72" s="1108"/>
      <c r="F72" s="1103">
        <v>0.05</v>
      </c>
    </row>
    <row r="73" spans="1:6" ht="24.6" thickBot="1">
      <c r="A73" s="855" t="s">
        <v>87</v>
      </c>
      <c r="B73" s="849" t="s">
        <v>802</v>
      </c>
      <c r="C73" s="1108"/>
      <c r="D73" s="1108"/>
      <c r="E73" s="1108"/>
      <c r="F73" s="1103">
        <v>0.05</v>
      </c>
    </row>
    <row r="74" spans="1:6" ht="24.6" thickBot="1">
      <c r="A74" s="855" t="s">
        <v>87</v>
      </c>
      <c r="B74" s="849" t="s">
        <v>803</v>
      </c>
      <c r="C74" s="1108"/>
      <c r="D74" s="1108"/>
      <c r="E74" s="1108"/>
      <c r="F74" s="1103">
        <v>0.05</v>
      </c>
    </row>
    <row r="75" spans="1:6" ht="24.6" thickBot="1">
      <c r="A75" s="872" t="s">
        <v>87</v>
      </c>
      <c r="B75" s="865" t="s">
        <v>804</v>
      </c>
      <c r="C75" s="1105"/>
      <c r="D75" s="1105"/>
      <c r="E75" s="1105"/>
      <c r="F75" s="1109">
        <v>0.05</v>
      </c>
    </row>
    <row r="76" spans="1:6" ht="15" thickBot="1">
      <c r="A76" s="855" t="s">
        <v>480</v>
      </c>
      <c r="B76" s="856" t="s">
        <v>805</v>
      </c>
      <c r="C76" s="1100">
        <v>0.1</v>
      </c>
      <c r="D76" s="1100">
        <v>0.1</v>
      </c>
      <c r="E76" s="1100">
        <v>0.1</v>
      </c>
      <c r="F76" s="1101">
        <v>0.1</v>
      </c>
    </row>
    <row r="77" spans="1:6" ht="15" thickBot="1">
      <c r="A77" s="855" t="s">
        <v>480</v>
      </c>
      <c r="B77" s="849" t="s">
        <v>140</v>
      </c>
      <c r="C77" s="1102">
        <v>8.7999999999999995E-2</v>
      </c>
      <c r="D77" s="1102">
        <v>8.6999999999999994E-2</v>
      </c>
      <c r="E77" s="1102">
        <v>7.9000000000000001E-2</v>
      </c>
      <c r="F77" s="1103">
        <v>0.1</v>
      </c>
    </row>
    <row r="78" spans="1:6" ht="15" thickBot="1">
      <c r="A78" s="855" t="s">
        <v>480</v>
      </c>
      <c r="B78" s="849" t="s">
        <v>153</v>
      </c>
      <c r="C78" s="1102">
        <v>8.6999999999999994E-2</v>
      </c>
      <c r="D78" s="1102">
        <v>8.4000000000000005E-2</v>
      </c>
      <c r="E78" s="1102">
        <v>9.6000000000000002E-2</v>
      </c>
      <c r="F78" s="1103">
        <v>0.1</v>
      </c>
    </row>
    <row r="79" spans="1:6" ht="15" thickBot="1">
      <c r="A79" s="855" t="s">
        <v>480</v>
      </c>
      <c r="B79" s="849" t="s">
        <v>166</v>
      </c>
      <c r="C79" s="1102">
        <v>9.8000000000000004E-2</v>
      </c>
      <c r="D79" s="1102">
        <v>9.8000000000000004E-2</v>
      </c>
      <c r="E79" s="1102">
        <v>9.0999999999999998E-2</v>
      </c>
      <c r="F79" s="1103">
        <v>0.1</v>
      </c>
    </row>
    <row r="80" spans="1:6" ht="15" thickBot="1">
      <c r="A80" s="855" t="s">
        <v>480</v>
      </c>
      <c r="B80" s="849" t="s">
        <v>178</v>
      </c>
      <c r="C80" s="1102">
        <v>9.6000000000000002E-2</v>
      </c>
      <c r="D80" s="1102">
        <v>9.6000000000000002E-2</v>
      </c>
      <c r="E80" s="1102">
        <v>0.1</v>
      </c>
      <c r="F80" s="1103">
        <v>0.1</v>
      </c>
    </row>
    <row r="81" spans="1:6" ht="15" thickBot="1">
      <c r="A81" s="855" t="s">
        <v>480</v>
      </c>
      <c r="B81" s="849" t="s">
        <v>190</v>
      </c>
      <c r="C81" s="1102">
        <v>9.9000000000000005E-2</v>
      </c>
      <c r="D81" s="1102">
        <v>9.9000000000000005E-2</v>
      </c>
      <c r="E81" s="1102">
        <v>9.8000000000000004E-2</v>
      </c>
      <c r="F81" s="1103">
        <v>0.1</v>
      </c>
    </row>
    <row r="82" spans="1:6" ht="15" thickBot="1">
      <c r="A82" s="855" t="s">
        <v>480</v>
      </c>
      <c r="B82" s="849" t="s">
        <v>202</v>
      </c>
      <c r="C82" s="1102">
        <v>9.9000000000000005E-2</v>
      </c>
      <c r="D82" s="1102">
        <v>9.9000000000000005E-2</v>
      </c>
      <c r="E82" s="1102">
        <v>9.7000000000000003E-2</v>
      </c>
      <c r="F82" s="1103">
        <v>0.1</v>
      </c>
    </row>
    <row r="83" spans="1:6" ht="15" thickBot="1">
      <c r="A83" s="855" t="s">
        <v>480</v>
      </c>
      <c r="B83" s="849" t="s">
        <v>214</v>
      </c>
      <c r="C83" s="1102">
        <v>9.8000000000000004E-2</v>
      </c>
      <c r="D83" s="1102">
        <v>9.8000000000000004E-2</v>
      </c>
      <c r="E83" s="1102">
        <v>9.8000000000000004E-2</v>
      </c>
      <c r="F83" s="1103">
        <v>0.1</v>
      </c>
    </row>
    <row r="84" spans="1:6" ht="15" thickBot="1">
      <c r="A84" s="855" t="s">
        <v>480</v>
      </c>
      <c r="B84" s="849" t="s">
        <v>227</v>
      </c>
      <c r="C84" s="1102">
        <v>9.9000000000000005E-2</v>
      </c>
      <c r="D84" s="1102">
        <v>9.9000000000000005E-2</v>
      </c>
      <c r="E84" s="1102">
        <v>9.9000000000000005E-2</v>
      </c>
      <c r="F84" s="1103">
        <v>0.1</v>
      </c>
    </row>
    <row r="85" spans="1:6" ht="15" thickBot="1">
      <c r="A85" s="855" t="s">
        <v>480</v>
      </c>
      <c r="B85" s="849" t="s">
        <v>238</v>
      </c>
      <c r="C85" s="1102">
        <v>9.9000000000000005E-2</v>
      </c>
      <c r="D85" s="1102">
        <v>9.9000000000000005E-2</v>
      </c>
      <c r="E85" s="1102">
        <v>9.9000000000000005E-2</v>
      </c>
      <c r="F85" s="1103">
        <v>0.1</v>
      </c>
    </row>
    <row r="86" spans="1:6" ht="15" thickBot="1">
      <c r="A86" s="855" t="s">
        <v>480</v>
      </c>
      <c r="B86" s="849" t="s">
        <v>249</v>
      </c>
      <c r="C86" s="1102">
        <v>0.1</v>
      </c>
      <c r="D86" s="1102">
        <v>0.1</v>
      </c>
      <c r="E86" s="1102">
        <v>7.6999999999999999E-2</v>
      </c>
      <c r="F86" s="1103">
        <v>0.1</v>
      </c>
    </row>
    <row r="87" spans="1:6" ht="15" thickBot="1">
      <c r="A87" s="855" t="s">
        <v>480</v>
      </c>
      <c r="B87" s="849" t="s">
        <v>260</v>
      </c>
      <c r="C87" s="1102">
        <v>0.1</v>
      </c>
      <c r="D87" s="1102">
        <v>0.1</v>
      </c>
      <c r="E87" s="1102">
        <v>9.8000000000000004E-2</v>
      </c>
      <c r="F87" s="1107"/>
    </row>
    <row r="88" spans="1:6" ht="15" thickBot="1">
      <c r="A88" s="855" t="s">
        <v>480</v>
      </c>
      <c r="B88" s="849" t="s">
        <v>271</v>
      </c>
      <c r="C88" s="1102">
        <v>9.1999999999999998E-2</v>
      </c>
      <c r="D88" s="1102">
        <v>8.5000000000000006E-2</v>
      </c>
      <c r="E88" s="1102">
        <v>9.6000000000000002E-2</v>
      </c>
      <c r="F88" s="1107"/>
    </row>
    <row r="89" spans="1:6" ht="15" thickBot="1">
      <c r="A89" s="855" t="s">
        <v>480</v>
      </c>
      <c r="B89" s="849" t="s">
        <v>282</v>
      </c>
      <c r="C89" s="1102">
        <v>0.1</v>
      </c>
      <c r="D89" s="1102">
        <v>0.1</v>
      </c>
      <c r="E89" s="1102">
        <v>9.7000000000000003E-2</v>
      </c>
      <c r="F89" s="1107"/>
    </row>
    <row r="90" spans="1:6" ht="15" thickBot="1">
      <c r="A90" s="855" t="s">
        <v>480</v>
      </c>
      <c r="B90" s="849" t="s">
        <v>293</v>
      </c>
      <c r="C90" s="1102">
        <v>9.8000000000000004E-2</v>
      </c>
      <c r="D90" s="1102">
        <v>9.8000000000000004E-2</v>
      </c>
      <c r="E90" s="1102">
        <v>8.7999999999999995E-2</v>
      </c>
      <c r="F90" s="1107"/>
    </row>
    <row r="91" spans="1:6" ht="15" thickBot="1">
      <c r="A91" s="855" t="s">
        <v>480</v>
      </c>
      <c r="B91" s="849" t="s">
        <v>303</v>
      </c>
      <c r="C91" s="1102">
        <v>9.9000000000000005E-2</v>
      </c>
      <c r="D91" s="1102">
        <v>9.9000000000000005E-2</v>
      </c>
      <c r="E91" s="1102">
        <v>9.0999999999999998E-2</v>
      </c>
      <c r="F91" s="1107"/>
    </row>
    <row r="92" spans="1:6" ht="15" thickBot="1">
      <c r="A92" s="855" t="s">
        <v>480</v>
      </c>
      <c r="B92" s="849" t="s">
        <v>313</v>
      </c>
      <c r="C92" s="1102">
        <v>9.6000000000000002E-2</v>
      </c>
      <c r="D92" s="1102">
        <v>9.6000000000000002E-2</v>
      </c>
      <c r="E92" s="1102">
        <v>7.2999999999999995E-2</v>
      </c>
      <c r="F92" s="1107"/>
    </row>
    <row r="93" spans="1:6" ht="15" thickBot="1">
      <c r="A93" s="855" t="s">
        <v>480</v>
      </c>
      <c r="B93" s="849" t="s">
        <v>323</v>
      </c>
      <c r="C93" s="1102">
        <v>9.6000000000000002E-2</v>
      </c>
      <c r="D93" s="1102">
        <v>9.6000000000000002E-2</v>
      </c>
      <c r="E93" s="1102">
        <v>9.9000000000000005E-2</v>
      </c>
      <c r="F93" s="1107"/>
    </row>
    <row r="94" spans="1:6" ht="15" thickBot="1">
      <c r="A94" s="855" t="s">
        <v>480</v>
      </c>
      <c r="B94" s="849" t="s">
        <v>333</v>
      </c>
      <c r="C94" s="1102">
        <v>7.5999999999999998E-2</v>
      </c>
      <c r="D94" s="1102">
        <v>7.3999999999999996E-2</v>
      </c>
      <c r="E94" s="1102">
        <v>9.7000000000000003E-2</v>
      </c>
      <c r="F94" s="1107"/>
    </row>
    <row r="95" spans="1:6" ht="15" thickBot="1">
      <c r="A95" s="855" t="s">
        <v>480</v>
      </c>
      <c r="B95" s="849" t="s">
        <v>342</v>
      </c>
      <c r="C95" s="1102">
        <v>9.9000000000000005E-2</v>
      </c>
      <c r="D95" s="1102">
        <v>9.4E-2</v>
      </c>
      <c r="E95" s="1102">
        <v>9.6000000000000002E-2</v>
      </c>
      <c r="F95" s="1107"/>
    </row>
    <row r="96" spans="1:6" ht="15" thickBot="1">
      <c r="A96" s="855" t="s">
        <v>480</v>
      </c>
      <c r="B96" s="849" t="s">
        <v>351</v>
      </c>
      <c r="C96" s="1102">
        <v>9.9000000000000005E-2</v>
      </c>
      <c r="D96" s="1102">
        <v>9.9000000000000005E-2</v>
      </c>
      <c r="E96" s="1102">
        <v>9.9000000000000005E-2</v>
      </c>
      <c r="F96" s="1107"/>
    </row>
    <row r="97" spans="1:6" ht="15" thickBot="1">
      <c r="A97" s="855" t="s">
        <v>480</v>
      </c>
      <c r="B97" s="849" t="s">
        <v>359</v>
      </c>
      <c r="C97" s="1102">
        <v>9.8000000000000004E-2</v>
      </c>
      <c r="D97" s="1102">
        <v>9.8000000000000004E-2</v>
      </c>
      <c r="E97" s="1102">
        <v>9.7000000000000003E-2</v>
      </c>
      <c r="F97" s="1107"/>
    </row>
    <row r="98" spans="1:6" ht="15" thickBot="1">
      <c r="A98" s="855" t="s">
        <v>480</v>
      </c>
      <c r="B98" s="849" t="s">
        <v>366</v>
      </c>
      <c r="C98" s="1102">
        <v>0.1</v>
      </c>
      <c r="D98" s="1102">
        <v>0.1</v>
      </c>
      <c r="E98" s="1102">
        <v>9.7000000000000003E-2</v>
      </c>
      <c r="F98" s="1107"/>
    </row>
    <row r="99" spans="1:6" ht="15" thickBot="1">
      <c r="A99" s="855" t="s">
        <v>480</v>
      </c>
      <c r="B99" s="849" t="s">
        <v>373</v>
      </c>
      <c r="C99" s="1102">
        <v>0.1</v>
      </c>
      <c r="D99" s="1102">
        <v>0.1</v>
      </c>
      <c r="E99" s="1108"/>
      <c r="F99" s="1107"/>
    </row>
    <row r="100" spans="1:6" ht="15" thickBot="1">
      <c r="A100" s="855" t="s">
        <v>480</v>
      </c>
      <c r="B100" s="849" t="s">
        <v>380</v>
      </c>
      <c r="C100" s="1102">
        <v>0.09</v>
      </c>
      <c r="D100" s="1102">
        <v>8.8999999999999996E-2</v>
      </c>
      <c r="E100" s="1108"/>
      <c r="F100" s="1107"/>
    </row>
    <row r="101" spans="1:6" ht="15" thickBot="1">
      <c r="A101" s="855" t="s">
        <v>480</v>
      </c>
      <c r="B101" s="849" t="s">
        <v>387</v>
      </c>
      <c r="C101" s="1102">
        <v>9.8000000000000004E-2</v>
      </c>
      <c r="D101" s="1102">
        <v>9.7000000000000003E-2</v>
      </c>
      <c r="E101" s="1108"/>
      <c r="F101" s="1107"/>
    </row>
    <row r="102" spans="1:6" ht="24.6" thickBot="1">
      <c r="A102" s="855" t="s">
        <v>480</v>
      </c>
      <c r="B102" s="849" t="s">
        <v>806</v>
      </c>
      <c r="C102" s="1108"/>
      <c r="D102" s="1108"/>
      <c r="E102" s="1108"/>
      <c r="F102" s="1103">
        <v>0.05</v>
      </c>
    </row>
    <row r="103" spans="1:6" ht="24.6" thickBot="1">
      <c r="A103" s="855" t="s">
        <v>480</v>
      </c>
      <c r="B103" s="849" t="s">
        <v>807</v>
      </c>
      <c r="C103" s="1108"/>
      <c r="D103" s="1108"/>
      <c r="E103" s="1108"/>
      <c r="F103" s="1103">
        <v>0.05</v>
      </c>
    </row>
    <row r="104" spans="1:6" ht="15" thickBot="1">
      <c r="A104" s="855" t="s">
        <v>480</v>
      </c>
      <c r="B104" s="849" t="s">
        <v>808</v>
      </c>
      <c r="C104" s="1108"/>
      <c r="D104" s="1108"/>
      <c r="E104" s="1108"/>
      <c r="F104" s="1103">
        <v>0.05</v>
      </c>
    </row>
    <row r="105" spans="1:6" ht="24.6" thickBot="1">
      <c r="A105" s="855" t="s">
        <v>480</v>
      </c>
      <c r="B105" s="849" t="s">
        <v>809</v>
      </c>
      <c r="C105" s="1108"/>
      <c r="D105" s="1108"/>
      <c r="E105" s="1108"/>
      <c r="F105" s="1103">
        <v>0.05</v>
      </c>
    </row>
    <row r="106" spans="1:6" ht="24.6" thickBot="1">
      <c r="A106" s="855" t="s">
        <v>480</v>
      </c>
      <c r="B106" s="849" t="s">
        <v>810</v>
      </c>
      <c r="C106" s="1108"/>
      <c r="D106" s="1108"/>
      <c r="E106" s="1108"/>
      <c r="F106" s="1103">
        <v>0.05</v>
      </c>
    </row>
    <row r="107" spans="1:6" ht="24.6" thickBot="1">
      <c r="A107" s="855" t="s">
        <v>480</v>
      </c>
      <c r="B107" s="849" t="s">
        <v>811</v>
      </c>
      <c r="C107" s="1108"/>
      <c r="D107" s="1108"/>
      <c r="E107" s="1108"/>
      <c r="F107" s="1103">
        <v>0.05</v>
      </c>
    </row>
    <row r="108" spans="1:6" ht="24.6" thickBot="1">
      <c r="A108" s="855" t="s">
        <v>480</v>
      </c>
      <c r="B108" s="849" t="s">
        <v>812</v>
      </c>
      <c r="C108" s="1108"/>
      <c r="D108" s="1108"/>
      <c r="E108" s="1108"/>
      <c r="F108" s="1103">
        <v>0.05</v>
      </c>
    </row>
    <row r="109" spans="1:6" ht="24.6" thickBot="1">
      <c r="A109" s="872" t="s">
        <v>480</v>
      </c>
      <c r="B109" s="865" t="s">
        <v>813</v>
      </c>
      <c r="C109" s="1105"/>
      <c r="D109" s="1105"/>
      <c r="E109" s="1105"/>
      <c r="F109" s="1109">
        <v>0.05</v>
      </c>
    </row>
    <row r="110" spans="1:6" ht="15" thickBot="1">
      <c r="A110" s="855" t="s">
        <v>70</v>
      </c>
      <c r="B110" s="856" t="s">
        <v>814</v>
      </c>
      <c r="C110" s="1100">
        <v>0.129</v>
      </c>
      <c r="D110" s="1100">
        <v>0.129</v>
      </c>
      <c r="E110" s="1100">
        <v>0.126</v>
      </c>
      <c r="F110" s="1101">
        <v>0.13</v>
      </c>
    </row>
    <row r="111" spans="1:6" ht="15" thickBot="1">
      <c r="A111" s="855" t="s">
        <v>70</v>
      </c>
      <c r="B111" s="849" t="s">
        <v>141</v>
      </c>
      <c r="C111" s="1102">
        <v>0.11</v>
      </c>
      <c r="D111" s="1102">
        <v>0.11</v>
      </c>
      <c r="E111" s="1102">
        <v>9.9000000000000005E-2</v>
      </c>
      <c r="F111" s="1103">
        <v>0.128</v>
      </c>
    </row>
    <row r="112" spans="1:6" ht="15" thickBot="1">
      <c r="A112" s="855" t="s">
        <v>70</v>
      </c>
      <c r="B112" s="849" t="s">
        <v>154</v>
      </c>
      <c r="C112" s="1102">
        <v>0.125</v>
      </c>
      <c r="D112" s="1102">
        <v>0.125</v>
      </c>
      <c r="E112" s="1102">
        <v>0.12</v>
      </c>
      <c r="F112" s="1103">
        <v>0.125</v>
      </c>
    </row>
    <row r="113" spans="1:6" ht="15" thickBot="1">
      <c r="A113" s="855" t="s">
        <v>70</v>
      </c>
      <c r="B113" s="849" t="s">
        <v>167</v>
      </c>
      <c r="C113" s="1102">
        <v>0.13</v>
      </c>
      <c r="D113" s="1102">
        <v>0.13</v>
      </c>
      <c r="E113" s="1102">
        <v>0.13</v>
      </c>
      <c r="F113" s="1103">
        <v>0.13</v>
      </c>
    </row>
    <row r="114" spans="1:6" ht="15" thickBot="1">
      <c r="A114" s="855" t="s">
        <v>70</v>
      </c>
      <c r="B114" s="849" t="s">
        <v>179</v>
      </c>
      <c r="C114" s="1102">
        <v>0.123</v>
      </c>
      <c r="D114" s="1102">
        <v>0.123</v>
      </c>
      <c r="E114" s="1102">
        <v>0.12</v>
      </c>
      <c r="F114" s="1103">
        <v>0.13</v>
      </c>
    </row>
    <row r="115" spans="1:6" ht="15" thickBot="1">
      <c r="A115" s="855" t="s">
        <v>70</v>
      </c>
      <c r="B115" s="849" t="s">
        <v>191</v>
      </c>
      <c r="C115" s="1102">
        <v>0.125</v>
      </c>
      <c r="D115" s="1102">
        <v>0.125</v>
      </c>
      <c r="E115" s="1102">
        <v>0.11700000000000001</v>
      </c>
      <c r="F115" s="1103">
        <v>0.13</v>
      </c>
    </row>
    <row r="116" spans="1:6" ht="15" thickBot="1">
      <c r="A116" s="855" t="s">
        <v>70</v>
      </c>
      <c r="B116" s="849" t="s">
        <v>203</v>
      </c>
      <c r="C116" s="1102">
        <v>0.11700000000000001</v>
      </c>
      <c r="D116" s="1102">
        <v>0.11700000000000001</v>
      </c>
      <c r="E116" s="1102">
        <v>8.7999999999999995E-2</v>
      </c>
      <c r="F116" s="1103">
        <v>0.13</v>
      </c>
    </row>
    <row r="117" spans="1:6" ht="15" thickBot="1">
      <c r="A117" s="855" t="s">
        <v>70</v>
      </c>
      <c r="B117" s="849" t="s">
        <v>215</v>
      </c>
      <c r="C117" s="1102">
        <v>0.13</v>
      </c>
      <c r="D117" s="1102">
        <v>0.13</v>
      </c>
      <c r="E117" s="1102">
        <v>0.129</v>
      </c>
      <c r="F117" s="1103">
        <v>0.13</v>
      </c>
    </row>
    <row r="118" spans="1:6" ht="15" thickBot="1">
      <c r="A118" s="855" t="s">
        <v>70</v>
      </c>
      <c r="B118" s="849" t="s">
        <v>228</v>
      </c>
      <c r="C118" s="1102">
        <v>0.123</v>
      </c>
      <c r="D118" s="1102">
        <v>0.123</v>
      </c>
      <c r="E118" s="1102">
        <v>0.11600000000000001</v>
      </c>
      <c r="F118" s="1103">
        <v>0.13</v>
      </c>
    </row>
    <row r="119" spans="1:6" ht="15" thickBot="1">
      <c r="A119" s="855" t="s">
        <v>70</v>
      </c>
      <c r="B119" s="849" t="s">
        <v>239</v>
      </c>
      <c r="C119" s="1102">
        <v>0.127</v>
      </c>
      <c r="D119" s="1102">
        <v>0.127</v>
      </c>
      <c r="E119" s="1102">
        <v>0.124</v>
      </c>
      <c r="F119" s="1103">
        <v>0.13</v>
      </c>
    </row>
    <row r="120" spans="1:6" ht="15" thickBot="1">
      <c r="A120" s="855" t="s">
        <v>70</v>
      </c>
      <c r="B120" s="849" t="s">
        <v>250</v>
      </c>
      <c r="C120" s="1102">
        <v>0.125</v>
      </c>
      <c r="D120" s="1102">
        <v>0.125</v>
      </c>
      <c r="E120" s="1102">
        <v>0.122</v>
      </c>
      <c r="F120" s="1103">
        <v>0.13</v>
      </c>
    </row>
    <row r="121" spans="1:6" ht="15" thickBot="1">
      <c r="A121" s="855" t="s">
        <v>70</v>
      </c>
      <c r="B121" s="849" t="s">
        <v>261</v>
      </c>
      <c r="C121" s="1102">
        <v>0.13</v>
      </c>
      <c r="D121" s="1102">
        <v>0.13</v>
      </c>
      <c r="E121" s="1102">
        <v>0.13</v>
      </c>
      <c r="F121" s="1103">
        <v>0.13</v>
      </c>
    </row>
    <row r="122" spans="1:6" ht="15" thickBot="1">
      <c r="A122" s="855" t="s">
        <v>70</v>
      </c>
      <c r="B122" s="849" t="s">
        <v>272</v>
      </c>
      <c r="C122" s="1102">
        <v>0.13</v>
      </c>
      <c r="D122" s="1102">
        <v>0.13</v>
      </c>
      <c r="E122" s="1102">
        <v>0.125</v>
      </c>
      <c r="F122" s="1103">
        <v>0.13</v>
      </c>
    </row>
    <row r="123" spans="1:6" ht="15" thickBot="1">
      <c r="A123" s="855" t="s">
        <v>70</v>
      </c>
      <c r="B123" s="849" t="s">
        <v>283</v>
      </c>
      <c r="C123" s="1102">
        <v>0.129</v>
      </c>
      <c r="D123" s="1102">
        <v>0.129</v>
      </c>
      <c r="E123" s="1102">
        <v>0.123</v>
      </c>
      <c r="F123" s="1103">
        <v>0.13</v>
      </c>
    </row>
    <row r="124" spans="1:6" ht="15" thickBot="1">
      <c r="A124" s="855" t="s">
        <v>70</v>
      </c>
      <c r="B124" s="849" t="s">
        <v>294</v>
      </c>
      <c r="C124" s="1102">
        <v>0.10199999999999999</v>
      </c>
      <c r="D124" s="1102">
        <v>0.10100000000000001</v>
      </c>
      <c r="E124" s="1102">
        <v>0.08</v>
      </c>
      <c r="F124" s="1107"/>
    </row>
    <row r="125" spans="1:6" ht="15" thickBot="1">
      <c r="A125" s="855" t="s">
        <v>70</v>
      </c>
      <c r="B125" s="849" t="s">
        <v>304</v>
      </c>
      <c r="C125" s="1102">
        <v>0.13</v>
      </c>
      <c r="D125" s="1102">
        <v>0.13</v>
      </c>
      <c r="E125" s="1102">
        <v>0.129</v>
      </c>
      <c r="F125" s="1107"/>
    </row>
    <row r="126" spans="1:6" ht="15" thickBot="1">
      <c r="A126" s="855" t="s">
        <v>70</v>
      </c>
      <c r="B126" s="849" t="s">
        <v>314</v>
      </c>
      <c r="C126" s="1102">
        <v>0.13</v>
      </c>
      <c r="D126" s="1102">
        <v>0.13</v>
      </c>
      <c r="E126" s="1102">
        <v>0.126</v>
      </c>
      <c r="F126" s="1107"/>
    </row>
    <row r="127" spans="1:6" ht="15" thickBot="1">
      <c r="A127" s="855" t="s">
        <v>70</v>
      </c>
      <c r="B127" s="849" t="s">
        <v>324</v>
      </c>
      <c r="C127" s="1102">
        <v>0.125</v>
      </c>
      <c r="D127" s="1102">
        <v>0.125</v>
      </c>
      <c r="E127" s="1102">
        <v>0.121</v>
      </c>
      <c r="F127" s="1107"/>
    </row>
    <row r="128" spans="1:6" ht="15" thickBot="1">
      <c r="A128" s="855" t="s">
        <v>70</v>
      </c>
      <c r="B128" s="849" t="s">
        <v>334</v>
      </c>
      <c r="C128" s="1102">
        <v>0.12</v>
      </c>
      <c r="D128" s="1102">
        <v>0.12</v>
      </c>
      <c r="E128" s="1102">
        <v>0.105</v>
      </c>
      <c r="F128" s="1107"/>
    </row>
    <row r="129" spans="1:6" ht="15" thickBot="1">
      <c r="A129" s="855" t="s">
        <v>70</v>
      </c>
      <c r="B129" s="849" t="s">
        <v>343</v>
      </c>
      <c r="C129" s="1102">
        <v>0.13</v>
      </c>
      <c r="D129" s="1102">
        <v>0.13</v>
      </c>
      <c r="E129" s="1102">
        <v>0.126</v>
      </c>
      <c r="F129" s="1107"/>
    </row>
    <row r="130" spans="1:6" ht="15" thickBot="1">
      <c r="A130" s="855" t="s">
        <v>70</v>
      </c>
      <c r="B130" s="849" t="s">
        <v>352</v>
      </c>
      <c r="C130" s="1102">
        <v>0.125</v>
      </c>
      <c r="D130" s="1102">
        <v>0.125</v>
      </c>
      <c r="E130" s="1102">
        <v>0.122</v>
      </c>
      <c r="F130" s="1107"/>
    </row>
    <row r="131" spans="1:6" ht="15" thickBot="1">
      <c r="A131" s="855" t="s">
        <v>70</v>
      </c>
      <c r="B131" s="849" t="s">
        <v>360</v>
      </c>
      <c r="C131" s="1102">
        <v>0.127</v>
      </c>
      <c r="D131" s="1102">
        <v>0.126</v>
      </c>
      <c r="E131" s="1102">
        <v>0.123</v>
      </c>
      <c r="F131" s="1107"/>
    </row>
    <row r="132" spans="1:6" ht="15" thickBot="1">
      <c r="A132" s="855" t="s">
        <v>70</v>
      </c>
      <c r="B132" s="849" t="s">
        <v>367</v>
      </c>
      <c r="C132" s="1102">
        <v>9.0999999999999998E-2</v>
      </c>
      <c r="D132" s="1102">
        <v>0.121</v>
      </c>
      <c r="E132" s="1102">
        <v>9.9000000000000005E-2</v>
      </c>
      <c r="F132" s="1107"/>
    </row>
    <row r="133" spans="1:6" ht="15" thickBot="1">
      <c r="A133" s="855" t="s">
        <v>70</v>
      </c>
      <c r="B133" s="849" t="s">
        <v>374</v>
      </c>
      <c r="C133" s="1102">
        <v>0.13</v>
      </c>
      <c r="D133" s="1102">
        <v>0.13</v>
      </c>
      <c r="E133" s="1102">
        <v>0.129</v>
      </c>
      <c r="F133" s="1107"/>
    </row>
    <row r="134" spans="1:6" ht="15" thickBot="1">
      <c r="A134" s="855" t="s">
        <v>70</v>
      </c>
      <c r="B134" s="849" t="s">
        <v>815</v>
      </c>
      <c r="C134" s="1102">
        <v>6.8000000000000005E-2</v>
      </c>
      <c r="D134" s="1102">
        <v>6.5000000000000002E-2</v>
      </c>
      <c r="E134" s="1102">
        <v>6.5000000000000002E-2</v>
      </c>
      <c r="F134" s="1103">
        <v>0.13</v>
      </c>
    </row>
    <row r="135" spans="1:6" ht="15" thickBot="1">
      <c r="A135" s="855" t="s">
        <v>70</v>
      </c>
      <c r="B135" s="849" t="s">
        <v>388</v>
      </c>
      <c r="C135" s="1102">
        <v>0.123</v>
      </c>
      <c r="D135" s="1102">
        <v>0.123</v>
      </c>
      <c r="E135" s="1102">
        <v>0.11</v>
      </c>
      <c r="F135" s="1107"/>
    </row>
    <row r="136" spans="1:6" ht="15" thickBot="1">
      <c r="A136" s="855" t="s">
        <v>70</v>
      </c>
      <c r="B136" s="849" t="s">
        <v>395</v>
      </c>
      <c r="C136" s="1102">
        <v>0.13</v>
      </c>
      <c r="D136" s="1102">
        <v>0.13</v>
      </c>
      <c r="E136" s="1102">
        <v>0.125</v>
      </c>
      <c r="F136" s="1107"/>
    </row>
    <row r="137" spans="1:6" ht="15" thickBot="1">
      <c r="A137" s="855" t="s">
        <v>70</v>
      </c>
      <c r="B137" s="849" t="s">
        <v>402</v>
      </c>
      <c r="C137" s="1102">
        <v>0.121</v>
      </c>
      <c r="D137" s="1102">
        <v>0.122</v>
      </c>
      <c r="E137" s="1102">
        <v>0.115</v>
      </c>
      <c r="F137" s="1107"/>
    </row>
    <row r="138" spans="1:6" ht="15" thickBot="1">
      <c r="A138" s="855" t="s">
        <v>70</v>
      </c>
      <c r="B138" s="849" t="s">
        <v>816</v>
      </c>
      <c r="C138" s="1102">
        <v>0.105</v>
      </c>
      <c r="D138" s="1102">
        <v>0.125</v>
      </c>
      <c r="E138" s="1102">
        <v>0.112</v>
      </c>
      <c r="F138" s="1107"/>
    </row>
    <row r="139" spans="1:6" ht="15" thickBot="1">
      <c r="A139" s="855" t="s">
        <v>70</v>
      </c>
      <c r="B139" s="849" t="s">
        <v>817</v>
      </c>
      <c r="C139" s="1102">
        <v>0.127</v>
      </c>
      <c r="D139" s="1102">
        <v>0.127</v>
      </c>
      <c r="E139" s="1102">
        <v>0.122</v>
      </c>
      <c r="F139" s="1103">
        <v>0.13</v>
      </c>
    </row>
    <row r="140" spans="1:6" ht="15" thickBot="1">
      <c r="A140" s="855" t="s">
        <v>70</v>
      </c>
      <c r="B140" s="849" t="s">
        <v>818</v>
      </c>
      <c r="C140" s="1102">
        <v>0.125</v>
      </c>
      <c r="D140" s="1102">
        <v>0.125</v>
      </c>
      <c r="E140" s="1102">
        <v>0.11899999999999999</v>
      </c>
      <c r="F140" s="1103">
        <v>0.13</v>
      </c>
    </row>
    <row r="141" spans="1:6" ht="15" thickBot="1">
      <c r="A141" s="855" t="s">
        <v>70</v>
      </c>
      <c r="B141" s="849" t="s">
        <v>421</v>
      </c>
      <c r="C141" s="1102">
        <v>0.125</v>
      </c>
      <c r="D141" s="1102">
        <v>0.125</v>
      </c>
      <c r="E141" s="1102">
        <v>0.11700000000000001</v>
      </c>
      <c r="F141" s="1107"/>
    </row>
    <row r="142" spans="1:6" ht="15" thickBot="1">
      <c r="A142" s="855" t="s">
        <v>70</v>
      </c>
      <c r="B142" s="849" t="s">
        <v>426</v>
      </c>
      <c r="C142" s="1102">
        <v>0.125</v>
      </c>
      <c r="D142" s="1102">
        <v>0.125</v>
      </c>
      <c r="E142" s="1102">
        <v>0.115</v>
      </c>
      <c r="F142" s="1107"/>
    </row>
    <row r="143" spans="1:6" ht="15" thickBot="1">
      <c r="A143" s="855" t="s">
        <v>70</v>
      </c>
      <c r="B143" s="849" t="s">
        <v>431</v>
      </c>
      <c r="C143" s="1102">
        <v>0.121</v>
      </c>
      <c r="D143" s="1102">
        <v>0.121</v>
      </c>
      <c r="E143" s="1102">
        <v>0.108</v>
      </c>
      <c r="F143" s="1107"/>
    </row>
    <row r="144" spans="1:6" ht="15" thickBot="1">
      <c r="A144" s="855" t="s">
        <v>70</v>
      </c>
      <c r="B144" s="1110" t="s">
        <v>819</v>
      </c>
      <c r="C144" s="1111">
        <v>0.126</v>
      </c>
      <c r="D144" s="1111">
        <v>0.126</v>
      </c>
      <c r="E144" s="1111">
        <v>0.121</v>
      </c>
      <c r="F144" s="1107"/>
    </row>
    <row r="145" spans="1:6" ht="15" thickBot="1">
      <c r="A145" s="872" t="s">
        <v>70</v>
      </c>
      <c r="B145" s="1112" t="s">
        <v>820</v>
      </c>
      <c r="C145" s="1113"/>
      <c r="D145" s="1113"/>
      <c r="E145" s="1113"/>
      <c r="F145" s="1114">
        <v>0.05</v>
      </c>
    </row>
    <row r="146" spans="1:6" ht="24.6" thickBot="1">
      <c r="A146" s="1115" t="s">
        <v>70</v>
      </c>
      <c r="B146" s="863" t="s">
        <v>821</v>
      </c>
      <c r="C146" s="1108"/>
      <c r="D146" s="1108"/>
      <c r="E146" s="1108"/>
      <c r="F146" s="1116">
        <v>0.05</v>
      </c>
    </row>
    <row r="147" spans="1:6" ht="24.6" thickBot="1">
      <c r="A147" s="855" t="s">
        <v>70</v>
      </c>
      <c r="B147" s="849" t="s">
        <v>822</v>
      </c>
      <c r="C147" s="1108"/>
      <c r="D147" s="1108"/>
      <c r="E147" s="1108"/>
      <c r="F147" s="1103">
        <v>0.05</v>
      </c>
    </row>
    <row r="148" spans="1:6" ht="24.6" thickBot="1">
      <c r="A148" s="855" t="s">
        <v>70</v>
      </c>
      <c r="B148" s="849" t="s">
        <v>823</v>
      </c>
      <c r="C148" s="1108"/>
      <c r="D148" s="1108"/>
      <c r="E148" s="1108"/>
      <c r="F148" s="1103">
        <v>0.05</v>
      </c>
    </row>
    <row r="149" spans="1:6" ht="24.6" thickBot="1">
      <c r="A149" s="855" t="s">
        <v>70</v>
      </c>
      <c r="B149" s="849" t="s">
        <v>824</v>
      </c>
      <c r="C149" s="1108"/>
      <c r="D149" s="1108"/>
      <c r="E149" s="1108"/>
      <c r="F149" s="1103">
        <v>0.05</v>
      </c>
    </row>
    <row r="150" spans="1:6" ht="24.6" thickBot="1">
      <c r="A150" s="855" t="s">
        <v>70</v>
      </c>
      <c r="B150" s="849" t="s">
        <v>825</v>
      </c>
      <c r="C150" s="1108"/>
      <c r="D150" s="1108"/>
      <c r="E150" s="1108"/>
      <c r="F150" s="1103">
        <v>0.05</v>
      </c>
    </row>
    <row r="151" spans="1:6" ht="24.6" thickBot="1">
      <c r="A151" s="855" t="s">
        <v>70</v>
      </c>
      <c r="B151" s="849" t="s">
        <v>826</v>
      </c>
      <c r="C151" s="1108"/>
      <c r="D151" s="1108"/>
      <c r="E151" s="1108"/>
      <c r="F151" s="1103">
        <v>0.05</v>
      </c>
    </row>
    <row r="152" spans="1:6" ht="24.6" thickBot="1">
      <c r="A152" s="855" t="s">
        <v>70</v>
      </c>
      <c r="B152" s="849" t="s">
        <v>464</v>
      </c>
      <c r="C152" s="1108"/>
      <c r="D152" s="1108"/>
      <c r="E152" s="1108"/>
      <c r="F152" s="1103">
        <v>0.05</v>
      </c>
    </row>
    <row r="153" spans="1:6" ht="15" thickBot="1">
      <c r="A153" s="855" t="s">
        <v>70</v>
      </c>
      <c r="B153" s="849" t="s">
        <v>827</v>
      </c>
      <c r="C153" s="1108"/>
      <c r="D153" s="1108"/>
      <c r="E153" s="1108"/>
      <c r="F153" s="1103">
        <v>0.05</v>
      </c>
    </row>
    <row r="154" spans="1:6" ht="15" thickBot="1">
      <c r="A154" s="855" t="s">
        <v>70</v>
      </c>
      <c r="B154" s="849" t="s">
        <v>828</v>
      </c>
      <c r="C154" s="1108"/>
      <c r="D154" s="1108"/>
      <c r="E154" s="1108"/>
      <c r="F154" s="1103">
        <v>0.05</v>
      </c>
    </row>
    <row r="155" spans="1:6" ht="24.6" thickBot="1">
      <c r="A155" s="855" t="s">
        <v>70</v>
      </c>
      <c r="B155" s="849" t="s">
        <v>829</v>
      </c>
      <c r="C155" s="1108"/>
      <c r="D155" s="1108"/>
      <c r="E155" s="1108"/>
      <c r="F155" s="1103">
        <v>0.05</v>
      </c>
    </row>
    <row r="156" spans="1:6" ht="24.6" thickBot="1">
      <c r="A156" s="855" t="s">
        <v>70</v>
      </c>
      <c r="B156" s="849" t="s">
        <v>830</v>
      </c>
      <c r="C156" s="1108"/>
      <c r="D156" s="1108"/>
      <c r="E156" s="1108"/>
      <c r="F156" s="1103">
        <v>0.05</v>
      </c>
    </row>
    <row r="157" spans="1:6" ht="24.6" thickBot="1">
      <c r="A157" s="872" t="s">
        <v>70</v>
      </c>
      <c r="B157" s="865" t="s">
        <v>831</v>
      </c>
      <c r="C157" s="1105"/>
      <c r="D157" s="1105"/>
      <c r="E157" s="1105"/>
      <c r="F157" s="1109">
        <v>0.05</v>
      </c>
    </row>
    <row r="158" spans="1:6" ht="15" thickBot="1">
      <c r="A158" s="855" t="s">
        <v>483</v>
      </c>
      <c r="B158" s="856" t="s">
        <v>832</v>
      </c>
      <c r="C158" s="1100">
        <v>0.13</v>
      </c>
      <c r="D158" s="1100">
        <v>0.13</v>
      </c>
      <c r="E158" s="1100">
        <v>0.13</v>
      </c>
      <c r="F158" s="1101">
        <v>0.13</v>
      </c>
    </row>
    <row r="159" spans="1:6" ht="15" thickBot="1">
      <c r="A159" s="855" t="s">
        <v>483</v>
      </c>
      <c r="B159" s="849" t="s">
        <v>142</v>
      </c>
      <c r="C159" s="1102">
        <v>0.13</v>
      </c>
      <c r="D159" s="1102">
        <v>0.13</v>
      </c>
      <c r="E159" s="1102">
        <v>0.13</v>
      </c>
      <c r="F159" s="1103">
        <v>0.13</v>
      </c>
    </row>
    <row r="160" spans="1:6" ht="15" thickBot="1">
      <c r="A160" s="855" t="s">
        <v>483</v>
      </c>
      <c r="B160" s="849" t="s">
        <v>155</v>
      </c>
      <c r="C160" s="1102">
        <v>0.13</v>
      </c>
      <c r="D160" s="1102">
        <v>0.13</v>
      </c>
      <c r="E160" s="1102">
        <v>0.129</v>
      </c>
      <c r="F160" s="1103">
        <v>0.13</v>
      </c>
    </row>
    <row r="161" spans="1:6" ht="15" thickBot="1">
      <c r="A161" s="855" t="s">
        <v>483</v>
      </c>
      <c r="B161" s="849" t="s">
        <v>168</v>
      </c>
      <c r="C161" s="1102">
        <v>0.128</v>
      </c>
      <c r="D161" s="1102">
        <v>0.128</v>
      </c>
      <c r="E161" s="1102">
        <v>0.125</v>
      </c>
      <c r="F161" s="1103">
        <v>0.13</v>
      </c>
    </row>
    <row r="162" spans="1:6" ht="15" thickBot="1">
      <c r="A162" s="855" t="s">
        <v>483</v>
      </c>
      <c r="B162" s="849" t="s">
        <v>180</v>
      </c>
      <c r="C162" s="1102">
        <v>0.122</v>
      </c>
      <c r="D162" s="1102">
        <v>0.122</v>
      </c>
      <c r="E162" s="1102">
        <v>0.126</v>
      </c>
      <c r="F162" s="1103">
        <v>0.122</v>
      </c>
    </row>
    <row r="163" spans="1:6" ht="15" thickBot="1">
      <c r="A163" s="855" t="s">
        <v>483</v>
      </c>
      <c r="B163" s="849" t="s">
        <v>192</v>
      </c>
      <c r="C163" s="1102">
        <v>0.13</v>
      </c>
      <c r="D163" s="1102">
        <v>0.13</v>
      </c>
      <c r="E163" s="1102">
        <v>0.125</v>
      </c>
      <c r="F163" s="1103">
        <v>0.13</v>
      </c>
    </row>
    <row r="164" spans="1:6" ht="15" thickBot="1">
      <c r="A164" s="855" t="s">
        <v>483</v>
      </c>
      <c r="B164" s="849" t="s">
        <v>204</v>
      </c>
      <c r="C164" s="1102">
        <v>0.13</v>
      </c>
      <c r="D164" s="1102">
        <v>0.13</v>
      </c>
      <c r="E164" s="1102">
        <v>0.13</v>
      </c>
      <c r="F164" s="1103">
        <v>0.13</v>
      </c>
    </row>
    <row r="165" spans="1:6" ht="15" thickBot="1">
      <c r="A165" s="855" t="s">
        <v>483</v>
      </c>
      <c r="B165" s="849" t="s">
        <v>216</v>
      </c>
      <c r="C165" s="1102">
        <v>0.13</v>
      </c>
      <c r="D165" s="1102">
        <v>0.13</v>
      </c>
      <c r="E165" s="1102">
        <v>0.124</v>
      </c>
      <c r="F165" s="1103">
        <v>0.13</v>
      </c>
    </row>
    <row r="166" spans="1:6" ht="15" thickBot="1">
      <c r="A166" s="855" t="s">
        <v>483</v>
      </c>
      <c r="B166" s="849" t="s">
        <v>229</v>
      </c>
      <c r="C166" s="1102">
        <v>0.13</v>
      </c>
      <c r="D166" s="1102">
        <v>0.13</v>
      </c>
      <c r="E166" s="1102">
        <v>0.13</v>
      </c>
      <c r="F166" s="1103">
        <v>0.13</v>
      </c>
    </row>
    <row r="167" spans="1:6" ht="15" thickBot="1">
      <c r="A167" s="855" t="s">
        <v>483</v>
      </c>
      <c r="B167" s="849" t="s">
        <v>240</v>
      </c>
      <c r="C167" s="1102">
        <v>0.125</v>
      </c>
      <c r="D167" s="1102">
        <v>0.125</v>
      </c>
      <c r="E167" s="1102">
        <v>0.121</v>
      </c>
      <c r="F167" s="1107"/>
    </row>
    <row r="168" spans="1:6" ht="15" thickBot="1">
      <c r="A168" s="855" t="s">
        <v>483</v>
      </c>
      <c r="B168" s="849" t="s">
        <v>251</v>
      </c>
      <c r="C168" s="1102">
        <v>0.13</v>
      </c>
      <c r="D168" s="1102">
        <v>0.13</v>
      </c>
      <c r="E168" s="1102">
        <v>0.126</v>
      </c>
      <c r="F168" s="1107"/>
    </row>
    <row r="169" spans="1:6" ht="15" thickBot="1">
      <c r="A169" s="855" t="s">
        <v>483</v>
      </c>
      <c r="B169" s="849" t="s">
        <v>262</v>
      </c>
      <c r="C169" s="1102">
        <v>0.128</v>
      </c>
      <c r="D169" s="1102">
        <v>0.129</v>
      </c>
      <c r="E169" s="1102">
        <v>0.13</v>
      </c>
      <c r="F169" s="1107"/>
    </row>
    <row r="170" spans="1:6" ht="15" thickBot="1">
      <c r="A170" s="855" t="s">
        <v>483</v>
      </c>
      <c r="B170" s="849" t="s">
        <v>273</v>
      </c>
      <c r="C170" s="1102">
        <v>0.14099999999999999</v>
      </c>
      <c r="D170" s="1102">
        <v>0.13</v>
      </c>
      <c r="E170" s="1102">
        <v>0.125</v>
      </c>
      <c r="F170" s="1107"/>
    </row>
    <row r="171" spans="1:6" ht="15" thickBot="1">
      <c r="A171" s="855" t="s">
        <v>483</v>
      </c>
      <c r="B171" s="849" t="s">
        <v>833</v>
      </c>
      <c r="C171" s="1102">
        <v>0.127</v>
      </c>
      <c r="D171" s="1102">
        <v>0.126</v>
      </c>
      <c r="E171" s="1102">
        <v>0.126</v>
      </c>
      <c r="F171" s="1103">
        <v>0.11799999999999999</v>
      </c>
    </row>
    <row r="172" spans="1:6" ht="15" thickBot="1">
      <c r="A172" s="855" t="s">
        <v>483</v>
      </c>
      <c r="B172" s="849" t="s">
        <v>834</v>
      </c>
      <c r="C172" s="1102">
        <v>0.13</v>
      </c>
      <c r="D172" s="1102">
        <v>0.13</v>
      </c>
      <c r="E172" s="1102">
        <v>0.13</v>
      </c>
      <c r="F172" s="1107"/>
    </row>
    <row r="173" spans="1:6" ht="15" thickBot="1">
      <c r="A173" s="855" t="s">
        <v>483</v>
      </c>
      <c r="B173" s="849" t="s">
        <v>305</v>
      </c>
      <c r="C173" s="1102">
        <v>0.13</v>
      </c>
      <c r="D173" s="1102">
        <v>0.13</v>
      </c>
      <c r="E173" s="1102">
        <v>0.13</v>
      </c>
      <c r="F173" s="1107"/>
    </row>
    <row r="174" spans="1:6" ht="15" thickBot="1">
      <c r="A174" s="855" t="s">
        <v>483</v>
      </c>
      <c r="B174" s="849" t="s">
        <v>835</v>
      </c>
      <c r="C174" s="1102">
        <v>0.13</v>
      </c>
      <c r="D174" s="1102">
        <v>0.13</v>
      </c>
      <c r="E174" s="1102">
        <v>0.13</v>
      </c>
      <c r="F174" s="1103">
        <v>0.13</v>
      </c>
    </row>
    <row r="175" spans="1:6" ht="15" thickBot="1">
      <c r="A175" s="855" t="s">
        <v>483</v>
      </c>
      <c r="B175" s="849" t="s">
        <v>836</v>
      </c>
      <c r="C175" s="1102">
        <v>0.13</v>
      </c>
      <c r="D175" s="1102">
        <v>0.13</v>
      </c>
      <c r="E175" s="1102">
        <v>0.13</v>
      </c>
      <c r="F175" s="1103">
        <v>0.13</v>
      </c>
    </row>
    <row r="176" spans="1:6" ht="15" thickBot="1">
      <c r="A176" s="855" t="s">
        <v>483</v>
      </c>
      <c r="B176" s="849" t="s">
        <v>335</v>
      </c>
      <c r="C176" s="1102">
        <v>0.13</v>
      </c>
      <c r="D176" s="1102">
        <v>0.13</v>
      </c>
      <c r="E176" s="1102">
        <v>0.13</v>
      </c>
      <c r="F176" s="1103">
        <v>0.13</v>
      </c>
    </row>
    <row r="177" spans="1:6" ht="15" thickBot="1">
      <c r="A177" s="855" t="s">
        <v>483</v>
      </c>
      <c r="B177" s="849" t="s">
        <v>837</v>
      </c>
      <c r="C177" s="1102">
        <v>0.13</v>
      </c>
      <c r="D177" s="1102">
        <v>0.13</v>
      </c>
      <c r="E177" s="1102">
        <v>0.13</v>
      </c>
      <c r="F177" s="1103">
        <v>0.13</v>
      </c>
    </row>
    <row r="178" spans="1:6" ht="15" thickBot="1">
      <c r="A178" s="855" t="s">
        <v>483</v>
      </c>
      <c r="B178" s="849" t="s">
        <v>353</v>
      </c>
      <c r="C178" s="1102">
        <v>0.13</v>
      </c>
      <c r="D178" s="1102">
        <v>0.13</v>
      </c>
      <c r="E178" s="1102">
        <v>0.13</v>
      </c>
      <c r="F178" s="1103">
        <v>0.127</v>
      </c>
    </row>
    <row r="179" spans="1:6" ht="15" thickBot="1">
      <c r="A179" s="855" t="s">
        <v>483</v>
      </c>
      <c r="B179" s="849" t="s">
        <v>361</v>
      </c>
      <c r="C179" s="1102">
        <v>0.13</v>
      </c>
      <c r="D179" s="1102">
        <v>0.13</v>
      </c>
      <c r="E179" s="1102">
        <v>0.13</v>
      </c>
      <c r="F179" s="1107"/>
    </row>
    <row r="180" spans="1:6" ht="15" thickBot="1">
      <c r="A180" s="855" t="s">
        <v>483</v>
      </c>
      <c r="B180" s="849" t="s">
        <v>838</v>
      </c>
      <c r="C180" s="1102">
        <v>0.13</v>
      </c>
      <c r="D180" s="1102">
        <v>0.13</v>
      </c>
      <c r="E180" s="1102">
        <v>0.125</v>
      </c>
      <c r="F180" s="1103">
        <v>0.13</v>
      </c>
    </row>
    <row r="181" spans="1:6" ht="15" thickBot="1">
      <c r="A181" s="855" t="s">
        <v>483</v>
      </c>
      <c r="B181" s="849" t="s">
        <v>375</v>
      </c>
      <c r="C181" s="1102">
        <v>0.122</v>
      </c>
      <c r="D181" s="1102">
        <v>0.123</v>
      </c>
      <c r="E181" s="1102">
        <v>0.126</v>
      </c>
      <c r="F181" s="1103">
        <v>0.121</v>
      </c>
    </row>
    <row r="182" spans="1:6" ht="15" thickBot="1">
      <c r="A182" s="855" t="s">
        <v>483</v>
      </c>
      <c r="B182" s="849" t="s">
        <v>382</v>
      </c>
      <c r="C182" s="1102">
        <v>0.125</v>
      </c>
      <c r="D182" s="1102">
        <v>0.125</v>
      </c>
      <c r="E182" s="1102">
        <v>0.11700000000000001</v>
      </c>
      <c r="F182" s="1103">
        <v>0.13</v>
      </c>
    </row>
    <row r="183" spans="1:6" ht="15" thickBot="1">
      <c r="A183" s="855" t="s">
        <v>483</v>
      </c>
      <c r="B183" s="849" t="s">
        <v>389</v>
      </c>
      <c r="C183" s="1102">
        <v>0.127</v>
      </c>
      <c r="D183" s="1102">
        <v>0.127</v>
      </c>
      <c r="E183" s="1102">
        <v>0.128</v>
      </c>
      <c r="F183" s="1107"/>
    </row>
    <row r="184" spans="1:6" ht="15" thickBot="1">
      <c r="A184" s="855" t="s">
        <v>483</v>
      </c>
      <c r="B184" s="849" t="s">
        <v>396</v>
      </c>
      <c r="C184" s="1102">
        <v>0.125</v>
      </c>
      <c r="D184" s="1102">
        <v>0.125</v>
      </c>
      <c r="E184" s="1102">
        <v>0.127</v>
      </c>
      <c r="F184" s="1107"/>
    </row>
    <row r="185" spans="1:6" ht="15" thickBot="1">
      <c r="A185" s="855" t="s">
        <v>483</v>
      </c>
      <c r="B185" s="849" t="s">
        <v>839</v>
      </c>
      <c r="C185" s="1102">
        <v>0.127</v>
      </c>
      <c r="D185" s="1102">
        <v>0.127</v>
      </c>
      <c r="E185" s="1102">
        <v>0.128</v>
      </c>
      <c r="F185" s="1103">
        <v>0.13</v>
      </c>
    </row>
    <row r="186" spans="1:6" ht="24.6" thickBot="1">
      <c r="A186" s="855" t="s">
        <v>483</v>
      </c>
      <c r="B186" s="849" t="s">
        <v>840</v>
      </c>
      <c r="C186" s="1108"/>
      <c r="D186" s="1108"/>
      <c r="E186" s="1108"/>
      <c r="F186" s="1103">
        <v>0.05</v>
      </c>
    </row>
    <row r="187" spans="1:6" ht="15" thickBot="1">
      <c r="A187" s="855" t="s">
        <v>483</v>
      </c>
      <c r="B187" s="849" t="s">
        <v>841</v>
      </c>
      <c r="C187" s="1108"/>
      <c r="D187" s="1108"/>
      <c r="E187" s="1108"/>
      <c r="F187" s="1103">
        <v>0.05</v>
      </c>
    </row>
    <row r="188" spans="1:6" ht="24.6" thickBot="1">
      <c r="A188" s="855" t="s">
        <v>483</v>
      </c>
      <c r="B188" s="849" t="s">
        <v>842</v>
      </c>
      <c r="C188" s="1108"/>
      <c r="D188" s="1108"/>
      <c r="E188" s="1108"/>
      <c r="F188" s="1103">
        <v>0.05</v>
      </c>
    </row>
    <row r="189" spans="1:6" ht="24.6" thickBot="1">
      <c r="A189" s="855" t="s">
        <v>483</v>
      </c>
      <c r="B189" s="849" t="s">
        <v>843</v>
      </c>
      <c r="C189" s="1108"/>
      <c r="D189" s="1108"/>
      <c r="E189" s="1108"/>
      <c r="F189" s="1103">
        <v>0.05</v>
      </c>
    </row>
    <row r="190" spans="1:6" ht="24.6" thickBot="1">
      <c r="A190" s="855" t="s">
        <v>483</v>
      </c>
      <c r="B190" s="849" t="s">
        <v>844</v>
      </c>
      <c r="C190" s="1108"/>
      <c r="D190" s="1108"/>
      <c r="E190" s="1108"/>
      <c r="F190" s="1103">
        <v>0.05</v>
      </c>
    </row>
    <row r="191" spans="1:6" ht="24.6" thickBot="1">
      <c r="A191" s="855" t="s">
        <v>483</v>
      </c>
      <c r="B191" s="849" t="s">
        <v>845</v>
      </c>
      <c r="C191" s="1108"/>
      <c r="D191" s="1108"/>
      <c r="E191" s="1108"/>
      <c r="F191" s="1103">
        <v>0.05</v>
      </c>
    </row>
    <row r="192" spans="1:6" ht="24.6" thickBot="1">
      <c r="A192" s="855" t="s">
        <v>483</v>
      </c>
      <c r="B192" s="849" t="s">
        <v>846</v>
      </c>
      <c r="C192" s="1108"/>
      <c r="D192" s="1108"/>
      <c r="E192" s="1108"/>
      <c r="F192" s="1103">
        <v>0.05</v>
      </c>
    </row>
    <row r="193" spans="1:6" ht="24.6" thickBot="1">
      <c r="A193" s="855" t="s">
        <v>483</v>
      </c>
      <c r="B193" s="849" t="s">
        <v>847</v>
      </c>
      <c r="C193" s="1108"/>
      <c r="D193" s="1108"/>
      <c r="E193" s="1108"/>
      <c r="F193" s="1103">
        <v>0.05</v>
      </c>
    </row>
    <row r="194" spans="1:6" ht="24.6" thickBot="1">
      <c r="A194" s="855" t="s">
        <v>483</v>
      </c>
      <c r="B194" s="849" t="s">
        <v>848</v>
      </c>
      <c r="C194" s="1108"/>
      <c r="D194" s="1108"/>
      <c r="E194" s="1108"/>
      <c r="F194" s="1103">
        <v>0.05</v>
      </c>
    </row>
    <row r="195" spans="1:6" ht="15" thickBot="1">
      <c r="A195" s="855" t="s">
        <v>483</v>
      </c>
      <c r="B195" s="849" t="s">
        <v>849</v>
      </c>
      <c r="C195" s="1108"/>
      <c r="D195" s="1108"/>
      <c r="E195" s="1108"/>
      <c r="F195" s="1103">
        <v>0.05</v>
      </c>
    </row>
    <row r="196" spans="1:6" ht="24.6" thickBot="1">
      <c r="A196" s="855" t="s">
        <v>483</v>
      </c>
      <c r="B196" s="849" t="s">
        <v>850</v>
      </c>
      <c r="C196" s="1108"/>
      <c r="D196" s="1108"/>
      <c r="E196" s="1108"/>
      <c r="F196" s="1103">
        <v>0.05</v>
      </c>
    </row>
    <row r="197" spans="1:6" ht="24.6" thickBot="1">
      <c r="A197" s="855" t="s">
        <v>483</v>
      </c>
      <c r="B197" s="849" t="s">
        <v>851</v>
      </c>
      <c r="C197" s="1108"/>
      <c r="D197" s="1108"/>
      <c r="E197" s="1108"/>
      <c r="F197" s="1103">
        <v>0.05</v>
      </c>
    </row>
    <row r="198" spans="1:6" ht="24.6" thickBot="1">
      <c r="A198" s="855" t="s">
        <v>483</v>
      </c>
      <c r="B198" s="849" t="s">
        <v>852</v>
      </c>
      <c r="C198" s="1108"/>
      <c r="D198" s="1108"/>
      <c r="E198" s="1108"/>
      <c r="F198" s="1103">
        <v>0.05</v>
      </c>
    </row>
    <row r="199" spans="1:6" ht="24.6" thickBot="1">
      <c r="A199" s="855" t="s">
        <v>483</v>
      </c>
      <c r="B199" s="849" t="s">
        <v>853</v>
      </c>
      <c r="C199" s="1108"/>
      <c r="D199" s="1108"/>
      <c r="E199" s="1108"/>
      <c r="F199" s="1103">
        <v>0.05</v>
      </c>
    </row>
    <row r="200" spans="1:6" ht="24.6" thickBot="1">
      <c r="A200" s="855" t="s">
        <v>483</v>
      </c>
      <c r="B200" s="849" t="s">
        <v>854</v>
      </c>
      <c r="C200" s="1108"/>
      <c r="D200" s="1108"/>
      <c r="E200" s="1108"/>
      <c r="F200" s="1103">
        <v>0.05</v>
      </c>
    </row>
    <row r="201" spans="1:6" ht="24.6" thickBot="1">
      <c r="A201" s="855" t="s">
        <v>483</v>
      </c>
      <c r="B201" s="849" t="s">
        <v>855</v>
      </c>
      <c r="C201" s="1108"/>
      <c r="D201" s="1108"/>
      <c r="E201" s="1108"/>
      <c r="F201" s="1103">
        <v>0.05</v>
      </c>
    </row>
    <row r="202" spans="1:6" ht="24.6" thickBot="1">
      <c r="A202" s="855" t="s">
        <v>483</v>
      </c>
      <c r="B202" s="849" t="s">
        <v>856</v>
      </c>
      <c r="C202" s="1108"/>
      <c r="D202" s="1108"/>
      <c r="E202" s="1108"/>
      <c r="F202" s="1103">
        <v>0.05</v>
      </c>
    </row>
    <row r="203" spans="1:6" ht="24.6" thickBot="1">
      <c r="A203" s="855" t="s">
        <v>483</v>
      </c>
      <c r="B203" s="849" t="s">
        <v>857</v>
      </c>
      <c r="C203" s="1108"/>
      <c r="D203" s="1108"/>
      <c r="E203" s="1108"/>
      <c r="F203" s="1103">
        <v>0.05</v>
      </c>
    </row>
    <row r="204" spans="1:6" ht="15" thickBot="1">
      <c r="A204" s="855" t="s">
        <v>483</v>
      </c>
      <c r="B204" s="849" t="s">
        <v>858</v>
      </c>
      <c r="C204" s="1108"/>
      <c r="D204" s="1108"/>
      <c r="E204" s="1108"/>
      <c r="F204" s="1103">
        <v>0.05</v>
      </c>
    </row>
    <row r="205" spans="1:6" ht="15" thickBot="1">
      <c r="A205" s="872" t="s">
        <v>483</v>
      </c>
      <c r="B205" s="865" t="s">
        <v>859</v>
      </c>
      <c r="C205" s="1105"/>
      <c r="D205" s="1105"/>
      <c r="E205" s="1105"/>
      <c r="F205" s="1109">
        <v>0.05</v>
      </c>
    </row>
    <row r="206" spans="1:6" ht="15" thickBot="1">
      <c r="A206" s="855" t="s">
        <v>485</v>
      </c>
      <c r="B206" s="856" t="s">
        <v>860</v>
      </c>
      <c r="C206" s="1100">
        <v>0.15</v>
      </c>
      <c r="D206" s="1100">
        <v>0.15</v>
      </c>
      <c r="E206" s="1100">
        <v>0.15</v>
      </c>
      <c r="F206" s="1101">
        <v>0.15</v>
      </c>
    </row>
    <row r="207" spans="1:6" ht="15" thickBot="1">
      <c r="A207" s="855" t="s">
        <v>485</v>
      </c>
      <c r="B207" s="849" t="s">
        <v>143</v>
      </c>
      <c r="C207" s="1102">
        <v>0.15</v>
      </c>
      <c r="D207" s="1102">
        <v>0.15</v>
      </c>
      <c r="E207" s="1102">
        <v>0.15</v>
      </c>
      <c r="F207" s="1103">
        <v>0.14399999999999999</v>
      </c>
    </row>
    <row r="208" spans="1:6" ht="15" thickBot="1">
      <c r="A208" s="855" t="s">
        <v>485</v>
      </c>
      <c r="B208" s="849" t="s">
        <v>156</v>
      </c>
      <c r="C208" s="1102">
        <v>0.15</v>
      </c>
      <c r="D208" s="1102">
        <v>0.15</v>
      </c>
      <c r="E208" s="1102">
        <v>0.15</v>
      </c>
      <c r="F208" s="1103">
        <v>0.15</v>
      </c>
    </row>
    <row r="209" spans="1:6" ht="15" thickBot="1">
      <c r="A209" s="855" t="s">
        <v>485</v>
      </c>
      <c r="B209" s="849" t="s">
        <v>169</v>
      </c>
      <c r="C209" s="1102">
        <v>0.13700000000000001</v>
      </c>
      <c r="D209" s="1102">
        <v>0.13700000000000001</v>
      </c>
      <c r="E209" s="1102">
        <v>0.14000000000000001</v>
      </c>
      <c r="F209" s="1103">
        <v>0.11700000000000001</v>
      </c>
    </row>
    <row r="210" spans="1:6" ht="15" thickBot="1">
      <c r="A210" s="855" t="s">
        <v>485</v>
      </c>
      <c r="B210" s="849" t="s">
        <v>861</v>
      </c>
      <c r="C210" s="1102">
        <v>0.15</v>
      </c>
      <c r="D210" s="1102">
        <v>0.15</v>
      </c>
      <c r="E210" s="1102">
        <v>0.15</v>
      </c>
      <c r="F210" s="1103">
        <v>0.13800000000000001</v>
      </c>
    </row>
    <row r="211" spans="1:6" ht="15" thickBot="1">
      <c r="A211" s="855" t="s">
        <v>485</v>
      </c>
      <c r="B211" s="849" t="s">
        <v>862</v>
      </c>
      <c r="C211" s="1102">
        <v>0.13700000000000001</v>
      </c>
      <c r="D211" s="1102">
        <v>0.13500000000000001</v>
      </c>
      <c r="E211" s="1102">
        <v>0.13600000000000001</v>
      </c>
      <c r="F211" s="1103">
        <v>0.1</v>
      </c>
    </row>
    <row r="212" spans="1:6" ht="15" thickBot="1">
      <c r="A212" s="855" t="s">
        <v>485</v>
      </c>
      <c r="B212" s="849" t="s">
        <v>863</v>
      </c>
      <c r="C212" s="1102">
        <v>0.15</v>
      </c>
      <c r="D212" s="1102">
        <v>0.15</v>
      </c>
      <c r="E212" s="1102">
        <v>0.14799999999999999</v>
      </c>
      <c r="F212" s="1103">
        <v>0.13600000000000001</v>
      </c>
    </row>
    <row r="213" spans="1:6" ht="15" thickBot="1">
      <c r="A213" s="855" t="s">
        <v>485</v>
      </c>
      <c r="B213" s="849" t="s">
        <v>217</v>
      </c>
      <c r="C213" s="1102">
        <v>0.15</v>
      </c>
      <c r="D213" s="1102">
        <v>0.15</v>
      </c>
      <c r="E213" s="1102">
        <v>0.15</v>
      </c>
      <c r="F213" s="1103">
        <v>0.13800000000000001</v>
      </c>
    </row>
    <row r="214" spans="1:6" ht="15" thickBot="1">
      <c r="A214" s="855" t="s">
        <v>485</v>
      </c>
      <c r="B214" s="849" t="s">
        <v>230</v>
      </c>
      <c r="C214" s="1102">
        <v>9.0999999999999998E-2</v>
      </c>
      <c r="D214" s="1102">
        <v>0.09</v>
      </c>
      <c r="E214" s="1102">
        <v>9.1999999999999998E-2</v>
      </c>
      <c r="F214" s="1107"/>
    </row>
    <row r="215" spans="1:6" ht="15" thickBot="1">
      <c r="A215" s="855" t="s">
        <v>485</v>
      </c>
      <c r="B215" s="849" t="s">
        <v>864</v>
      </c>
      <c r="C215" s="1102">
        <v>0.15</v>
      </c>
      <c r="D215" s="1102">
        <v>0.15</v>
      </c>
      <c r="E215" s="1102">
        <v>0.15</v>
      </c>
      <c r="F215" s="1103">
        <v>0.15</v>
      </c>
    </row>
    <row r="216" spans="1:6" ht="15" thickBot="1">
      <c r="A216" s="855" t="s">
        <v>485</v>
      </c>
      <c r="B216" s="849" t="s">
        <v>252</v>
      </c>
      <c r="C216" s="1102">
        <v>0.14699999999999999</v>
      </c>
      <c r="D216" s="1102">
        <v>0.14699999999999999</v>
      </c>
      <c r="E216" s="1102">
        <v>0.15</v>
      </c>
      <c r="F216" s="1103">
        <v>0.14000000000000001</v>
      </c>
    </row>
    <row r="217" spans="1:6" ht="15" thickBot="1">
      <c r="A217" s="855" t="s">
        <v>485</v>
      </c>
      <c r="B217" s="849" t="s">
        <v>263</v>
      </c>
      <c r="C217" s="1102">
        <v>0.15</v>
      </c>
      <c r="D217" s="1102">
        <v>0.15</v>
      </c>
      <c r="E217" s="1102">
        <v>0.15</v>
      </c>
      <c r="F217" s="1103">
        <v>0.15</v>
      </c>
    </row>
    <row r="218" spans="1:6" ht="15" thickBot="1">
      <c r="A218" s="855" t="s">
        <v>485</v>
      </c>
      <c r="B218" s="849" t="s">
        <v>865</v>
      </c>
      <c r="C218" s="1102">
        <v>0.15</v>
      </c>
      <c r="D218" s="1102">
        <v>0.15</v>
      </c>
      <c r="E218" s="1102">
        <v>0.15</v>
      </c>
      <c r="F218" s="1103">
        <v>0.15</v>
      </c>
    </row>
    <row r="219" spans="1:6" ht="15" thickBot="1">
      <c r="A219" s="855" t="s">
        <v>485</v>
      </c>
      <c r="B219" s="849" t="s">
        <v>285</v>
      </c>
      <c r="C219" s="1102">
        <v>0.15</v>
      </c>
      <c r="D219" s="1102">
        <v>0.15</v>
      </c>
      <c r="E219" s="1102">
        <v>0.15</v>
      </c>
      <c r="F219" s="1103">
        <v>0.14799999999999999</v>
      </c>
    </row>
    <row r="220" spans="1:6" ht="15" thickBot="1">
      <c r="A220" s="855" t="s">
        <v>485</v>
      </c>
      <c r="B220" s="849" t="s">
        <v>866</v>
      </c>
      <c r="C220" s="1102">
        <v>0.15</v>
      </c>
      <c r="D220" s="1102">
        <v>0.15</v>
      </c>
      <c r="E220" s="1102">
        <v>0.15</v>
      </c>
      <c r="F220" s="1103">
        <v>0.15</v>
      </c>
    </row>
    <row r="221" spans="1:6" ht="15" thickBot="1">
      <c r="A221" s="855" t="s">
        <v>485</v>
      </c>
      <c r="B221" s="849" t="s">
        <v>306</v>
      </c>
      <c r="C221" s="1102"/>
      <c r="D221" s="1108"/>
      <c r="E221" s="1108"/>
      <c r="F221" s="1103">
        <v>0.14799999999999999</v>
      </c>
    </row>
    <row r="222" spans="1:6" ht="15" thickBot="1">
      <c r="A222" s="855" t="s">
        <v>485</v>
      </c>
      <c r="B222" s="849" t="s">
        <v>316</v>
      </c>
      <c r="C222" s="1102"/>
      <c r="D222" s="1108"/>
      <c r="E222" s="1108"/>
      <c r="F222" s="1103">
        <v>0.1</v>
      </c>
    </row>
    <row r="223" spans="1:6" ht="15" thickBot="1">
      <c r="A223" s="855" t="s">
        <v>485</v>
      </c>
      <c r="B223" s="849" t="s">
        <v>326</v>
      </c>
      <c r="C223" s="1102"/>
      <c r="D223" s="1108"/>
      <c r="E223" s="1108"/>
      <c r="F223" s="1103">
        <v>0.15</v>
      </c>
    </row>
    <row r="224" spans="1:6" ht="15" thickBot="1">
      <c r="A224" s="855" t="s">
        <v>485</v>
      </c>
      <c r="B224" s="849" t="s">
        <v>336</v>
      </c>
      <c r="C224" s="1102"/>
      <c r="D224" s="1108"/>
      <c r="E224" s="1108"/>
      <c r="F224" s="1103">
        <v>0.15</v>
      </c>
    </row>
    <row r="225" spans="1:6" ht="15" thickBot="1">
      <c r="A225" s="855" t="s">
        <v>485</v>
      </c>
      <c r="B225" s="849" t="s">
        <v>867</v>
      </c>
      <c r="C225" s="1102">
        <v>0.15</v>
      </c>
      <c r="D225" s="1102">
        <v>0.15</v>
      </c>
      <c r="E225" s="1102">
        <v>0.15</v>
      </c>
      <c r="F225" s="1103">
        <v>0.15</v>
      </c>
    </row>
    <row r="226" spans="1:6" ht="15" thickBot="1">
      <c r="A226" s="855" t="s">
        <v>485</v>
      </c>
      <c r="B226" s="849" t="s">
        <v>354</v>
      </c>
      <c r="C226" s="1102">
        <v>0.15</v>
      </c>
      <c r="D226" s="1102">
        <v>0.15</v>
      </c>
      <c r="E226" s="1102">
        <v>0.15</v>
      </c>
      <c r="F226" s="1103">
        <v>0.14799999999999999</v>
      </c>
    </row>
    <row r="227" spans="1:6" ht="15" thickBot="1">
      <c r="A227" s="855" t="s">
        <v>485</v>
      </c>
      <c r="B227" s="849" t="s">
        <v>868</v>
      </c>
      <c r="C227" s="1102">
        <v>0.15</v>
      </c>
      <c r="D227" s="1102">
        <v>0.15</v>
      </c>
      <c r="E227" s="1102">
        <v>0.15</v>
      </c>
      <c r="F227" s="1103">
        <v>0.15</v>
      </c>
    </row>
    <row r="228" spans="1:6" ht="15" thickBot="1">
      <c r="A228" s="855" t="s">
        <v>485</v>
      </c>
      <c r="B228" s="849" t="s">
        <v>369</v>
      </c>
      <c r="C228" s="1102">
        <v>0.15</v>
      </c>
      <c r="D228" s="1102">
        <v>0.15</v>
      </c>
      <c r="E228" s="1102">
        <v>0.15</v>
      </c>
      <c r="F228" s="1103">
        <v>0.15</v>
      </c>
    </row>
    <row r="229" spans="1:6" ht="15" thickBot="1">
      <c r="A229" s="855" t="s">
        <v>485</v>
      </c>
      <c r="B229" s="849" t="s">
        <v>376</v>
      </c>
      <c r="C229" s="1102">
        <v>0.15</v>
      </c>
      <c r="D229" s="1102">
        <v>0.15</v>
      </c>
      <c r="E229" s="1102">
        <v>0.15</v>
      </c>
      <c r="F229" s="1107"/>
    </row>
    <row r="230" spans="1:6" ht="15" thickBot="1">
      <c r="A230" s="855" t="s">
        <v>485</v>
      </c>
      <c r="B230" s="849" t="s">
        <v>383</v>
      </c>
      <c r="C230" s="1102">
        <v>0.14499999999999999</v>
      </c>
      <c r="D230" s="1102">
        <v>0.14499999999999999</v>
      </c>
      <c r="E230" s="1102">
        <v>0.14399999999999999</v>
      </c>
      <c r="F230" s="1107"/>
    </row>
    <row r="231" spans="1:6" ht="15" thickBot="1">
      <c r="A231" s="855" t="s">
        <v>485</v>
      </c>
      <c r="B231" s="849" t="s">
        <v>869</v>
      </c>
      <c r="C231" s="1102">
        <v>0.128</v>
      </c>
      <c r="D231" s="1102">
        <v>0.125</v>
      </c>
      <c r="E231" s="1102">
        <v>0.13200000000000001</v>
      </c>
      <c r="F231" s="1107"/>
    </row>
    <row r="232" spans="1:6" ht="15" thickBot="1">
      <c r="A232" s="855" t="s">
        <v>485</v>
      </c>
      <c r="B232" s="849" t="s">
        <v>870</v>
      </c>
      <c r="C232" s="1102">
        <v>0.14499999999999999</v>
      </c>
      <c r="D232" s="1102">
        <v>0.14399999999999999</v>
      </c>
      <c r="E232" s="1102">
        <v>0.14599999999999999</v>
      </c>
      <c r="F232" s="1103">
        <v>0.13800000000000001</v>
      </c>
    </row>
    <row r="233" spans="1:6" ht="15" thickBot="1">
      <c r="A233" s="855" t="s">
        <v>485</v>
      </c>
      <c r="B233" s="849" t="s">
        <v>871</v>
      </c>
      <c r="C233" s="1102">
        <v>0.14499999999999999</v>
      </c>
      <c r="D233" s="1102">
        <v>0.14299999999999999</v>
      </c>
      <c r="E233" s="1102">
        <v>0.14199999999999999</v>
      </c>
      <c r="F233" s="1107"/>
    </row>
    <row r="234" spans="1:6" ht="15" thickBot="1">
      <c r="A234" s="855" t="s">
        <v>485</v>
      </c>
      <c r="B234" s="849" t="s">
        <v>872</v>
      </c>
      <c r="C234" s="1102">
        <v>0.14000000000000001</v>
      </c>
      <c r="D234" s="1102">
        <v>0.14000000000000001</v>
      </c>
      <c r="E234" s="1102">
        <v>0.14399999999999999</v>
      </c>
      <c r="F234" s="1107"/>
    </row>
    <row r="235" spans="1:6" ht="15" thickBot="1">
      <c r="A235" s="855" t="s">
        <v>485</v>
      </c>
      <c r="B235" s="849" t="s">
        <v>873</v>
      </c>
      <c r="C235" s="1102">
        <v>0.14099999999999999</v>
      </c>
      <c r="D235" s="1102">
        <v>0.14199999999999999</v>
      </c>
      <c r="E235" s="1102">
        <v>0.14499999999999999</v>
      </c>
      <c r="F235" s="1103">
        <v>0.15</v>
      </c>
    </row>
    <row r="236" spans="1:6" ht="15" thickBot="1">
      <c r="A236" s="855" t="s">
        <v>485</v>
      </c>
      <c r="B236" s="849" t="s">
        <v>418</v>
      </c>
      <c r="C236" s="1108"/>
      <c r="D236" s="1108"/>
      <c r="E236" s="1108"/>
      <c r="F236" s="1103">
        <v>0.14299999999999999</v>
      </c>
    </row>
    <row r="237" spans="1:6" ht="24.6" thickBot="1">
      <c r="A237" s="855" t="s">
        <v>485</v>
      </c>
      <c r="B237" s="849" t="s">
        <v>874</v>
      </c>
      <c r="C237" s="1108"/>
      <c r="D237" s="1108"/>
      <c r="E237" s="1108"/>
      <c r="F237" s="1103">
        <v>0.05</v>
      </c>
    </row>
    <row r="238" spans="1:6" ht="24.6" thickBot="1">
      <c r="A238" s="855" t="s">
        <v>485</v>
      </c>
      <c r="B238" s="849" t="s">
        <v>875</v>
      </c>
      <c r="C238" s="1108"/>
      <c r="D238" s="1108"/>
      <c r="E238" s="1108"/>
      <c r="F238" s="1103">
        <v>0.05</v>
      </c>
    </row>
    <row r="239" spans="1:6" ht="24.6" thickBot="1">
      <c r="A239" s="855" t="s">
        <v>485</v>
      </c>
      <c r="B239" s="849" t="s">
        <v>876</v>
      </c>
      <c r="C239" s="1108"/>
      <c r="D239" s="1108"/>
      <c r="E239" s="1108"/>
      <c r="F239" s="1103">
        <v>0.05</v>
      </c>
    </row>
    <row r="240" spans="1:6" ht="24.6" thickBot="1">
      <c r="A240" s="855" t="s">
        <v>485</v>
      </c>
      <c r="B240" s="849" t="s">
        <v>877</v>
      </c>
      <c r="C240" s="1108"/>
      <c r="D240" s="1108"/>
      <c r="E240" s="1108"/>
      <c r="F240" s="1103">
        <v>0.05</v>
      </c>
    </row>
    <row r="241" spans="1:6" ht="24.6" thickBot="1">
      <c r="A241" s="855" t="s">
        <v>485</v>
      </c>
      <c r="B241" s="849" t="s">
        <v>878</v>
      </c>
      <c r="C241" s="1108"/>
      <c r="D241" s="1108"/>
      <c r="E241" s="1108"/>
      <c r="F241" s="1103">
        <v>0.05</v>
      </c>
    </row>
    <row r="242" spans="1:6" ht="24.6" thickBot="1">
      <c r="A242" s="855" t="s">
        <v>485</v>
      </c>
      <c r="B242" s="849" t="s">
        <v>879</v>
      </c>
      <c r="C242" s="1108"/>
      <c r="D242" s="1108"/>
      <c r="E242" s="1108"/>
      <c r="F242" s="1103">
        <v>0.05</v>
      </c>
    </row>
    <row r="243" spans="1:6" ht="24.6" thickBot="1">
      <c r="A243" s="855" t="s">
        <v>485</v>
      </c>
      <c r="B243" s="849" t="s">
        <v>880</v>
      </c>
      <c r="C243" s="1108"/>
      <c r="D243" s="1108"/>
      <c r="E243" s="1108"/>
      <c r="F243" s="1103">
        <v>0.05</v>
      </c>
    </row>
    <row r="244" spans="1:6" ht="24.6" thickBot="1">
      <c r="A244" s="872" t="s">
        <v>485</v>
      </c>
      <c r="B244" s="865" t="s">
        <v>881</v>
      </c>
      <c r="C244" s="1105"/>
      <c r="D244" s="1105"/>
      <c r="E244" s="1105"/>
      <c r="F244" s="1109">
        <v>0.05</v>
      </c>
    </row>
    <row r="245" spans="1:6" ht="15" thickBot="1">
      <c r="A245" s="855" t="s">
        <v>487</v>
      </c>
      <c r="B245" s="856" t="s">
        <v>882</v>
      </c>
      <c r="C245" s="1100">
        <v>0.15</v>
      </c>
      <c r="D245" s="1100">
        <v>0.15</v>
      </c>
      <c r="E245" s="1100">
        <v>0.15</v>
      </c>
      <c r="F245" s="1101">
        <v>0.14299999999999999</v>
      </c>
    </row>
    <row r="246" spans="1:6" ht="15" thickBot="1">
      <c r="A246" s="855" t="s">
        <v>487</v>
      </c>
      <c r="B246" s="849" t="s">
        <v>144</v>
      </c>
      <c r="C246" s="1102">
        <v>0.15</v>
      </c>
      <c r="D246" s="1102">
        <v>0.15</v>
      </c>
      <c r="E246" s="1102">
        <v>0.15</v>
      </c>
      <c r="F246" s="1103">
        <v>0.114</v>
      </c>
    </row>
    <row r="247" spans="1:6" ht="15" thickBot="1">
      <c r="A247" s="855" t="s">
        <v>487</v>
      </c>
      <c r="B247" s="849" t="s">
        <v>883</v>
      </c>
      <c r="C247" s="1102">
        <v>0.15</v>
      </c>
      <c r="D247" s="1102">
        <v>0.15</v>
      </c>
      <c r="E247" s="1102">
        <v>0.15</v>
      </c>
      <c r="F247" s="1103">
        <v>0.15</v>
      </c>
    </row>
    <row r="248" spans="1:6" ht="15" thickBot="1">
      <c r="A248" s="855" t="s">
        <v>487</v>
      </c>
      <c r="B248" s="849" t="s">
        <v>884</v>
      </c>
      <c r="C248" s="1102">
        <v>0.15</v>
      </c>
      <c r="D248" s="1102">
        <v>0.15</v>
      </c>
      <c r="E248" s="1102">
        <v>0.15</v>
      </c>
      <c r="F248" s="1103">
        <v>0.14000000000000001</v>
      </c>
    </row>
    <row r="249" spans="1:6" ht="15" thickBot="1">
      <c r="A249" s="855" t="s">
        <v>487</v>
      </c>
      <c r="B249" s="849" t="s">
        <v>885</v>
      </c>
      <c r="C249" s="1102">
        <v>0.15</v>
      </c>
      <c r="D249" s="1102">
        <v>0.14899999999999999</v>
      </c>
      <c r="E249" s="1102">
        <v>0.15</v>
      </c>
      <c r="F249" s="1103">
        <v>0.1</v>
      </c>
    </row>
    <row r="250" spans="1:6" ht="15" thickBot="1">
      <c r="A250" s="855" t="s">
        <v>487</v>
      </c>
      <c r="B250" s="849" t="s">
        <v>886</v>
      </c>
      <c r="C250" s="1102">
        <v>0.15</v>
      </c>
      <c r="D250" s="1102">
        <v>0.15</v>
      </c>
      <c r="E250" s="1102">
        <v>0.15</v>
      </c>
      <c r="F250" s="1103">
        <v>0.14399999999999999</v>
      </c>
    </row>
    <row r="251" spans="1:6" ht="15" thickBot="1">
      <c r="A251" s="855" t="s">
        <v>487</v>
      </c>
      <c r="B251" s="849" t="s">
        <v>206</v>
      </c>
      <c r="C251" s="1102">
        <v>0.15</v>
      </c>
      <c r="D251" s="1102">
        <v>0.15</v>
      </c>
      <c r="E251" s="1102">
        <v>0.15</v>
      </c>
      <c r="F251" s="1103">
        <v>0.14299999999999999</v>
      </c>
    </row>
    <row r="252" spans="1:6" ht="15" thickBot="1">
      <c r="A252" s="855" t="s">
        <v>487</v>
      </c>
      <c r="B252" s="849" t="s">
        <v>218</v>
      </c>
      <c r="C252" s="1102">
        <v>0.15</v>
      </c>
      <c r="D252" s="1102">
        <v>0.15</v>
      </c>
      <c r="E252" s="1102">
        <v>0.15</v>
      </c>
      <c r="F252" s="1103">
        <v>0.1</v>
      </c>
    </row>
    <row r="253" spans="1:6" ht="15" thickBot="1">
      <c r="A253" s="855" t="s">
        <v>487</v>
      </c>
      <c r="B253" s="849" t="s">
        <v>231</v>
      </c>
      <c r="C253" s="1102">
        <v>0.15</v>
      </c>
      <c r="D253" s="1102">
        <v>0.15</v>
      </c>
      <c r="E253" s="1102">
        <v>0.15</v>
      </c>
      <c r="F253" s="1103">
        <v>0.1</v>
      </c>
    </row>
    <row r="254" spans="1:6" ht="15" thickBot="1">
      <c r="A254" s="855" t="s">
        <v>487</v>
      </c>
      <c r="B254" s="849" t="s">
        <v>242</v>
      </c>
      <c r="C254" s="1108"/>
      <c r="D254" s="1108"/>
      <c r="E254" s="1108"/>
      <c r="F254" s="1103">
        <v>0.15</v>
      </c>
    </row>
    <row r="255" spans="1:6" ht="15" thickBot="1">
      <c r="A255" s="855" t="s">
        <v>487</v>
      </c>
      <c r="B255" s="849" t="s">
        <v>253</v>
      </c>
      <c r="C255" s="1108"/>
      <c r="D255" s="1108"/>
      <c r="E255" s="1108"/>
      <c r="F255" s="1103">
        <v>0.14299999999999999</v>
      </c>
    </row>
    <row r="256" spans="1:6" ht="15" thickBot="1">
      <c r="A256" s="855" t="s">
        <v>487</v>
      </c>
      <c r="B256" s="849" t="s">
        <v>887</v>
      </c>
      <c r="C256" s="1102">
        <v>0.14599999999999999</v>
      </c>
      <c r="D256" s="1102">
        <v>0.14699999999999999</v>
      </c>
      <c r="E256" s="1102">
        <v>0.15</v>
      </c>
      <c r="F256" s="1103">
        <v>0.13200000000000001</v>
      </c>
    </row>
    <row r="257" spans="1:6" ht="15" thickBot="1">
      <c r="A257" s="855" t="s">
        <v>487</v>
      </c>
      <c r="B257" s="849" t="s">
        <v>275</v>
      </c>
      <c r="C257" s="1102">
        <v>0.15</v>
      </c>
      <c r="D257" s="1102">
        <v>0.15</v>
      </c>
      <c r="E257" s="1102">
        <v>0.15</v>
      </c>
      <c r="F257" s="1103">
        <v>0.13900000000000001</v>
      </c>
    </row>
    <row r="258" spans="1:6" ht="15" thickBot="1">
      <c r="A258" s="855" t="s">
        <v>487</v>
      </c>
      <c r="B258" s="849" t="s">
        <v>286</v>
      </c>
      <c r="C258" s="1102">
        <v>0.15</v>
      </c>
      <c r="D258" s="1102">
        <v>0.15</v>
      </c>
      <c r="E258" s="1102">
        <v>0.15</v>
      </c>
      <c r="F258" s="1103">
        <v>0.13</v>
      </c>
    </row>
    <row r="259" spans="1:6" ht="15" thickBot="1">
      <c r="A259" s="855" t="s">
        <v>487</v>
      </c>
      <c r="B259" s="849" t="s">
        <v>888</v>
      </c>
      <c r="C259" s="1102">
        <v>0.14799999999999999</v>
      </c>
      <c r="D259" s="1102">
        <v>0.14899999999999999</v>
      </c>
      <c r="E259" s="1102">
        <v>0.15</v>
      </c>
      <c r="F259" s="1103">
        <v>0.13700000000000001</v>
      </c>
    </row>
    <row r="260" spans="1:6" ht="15" thickBot="1">
      <c r="A260" s="855" t="s">
        <v>487</v>
      </c>
      <c r="B260" s="849" t="s">
        <v>307</v>
      </c>
      <c r="C260" s="1102">
        <v>0.15</v>
      </c>
      <c r="D260" s="1102">
        <v>0.15</v>
      </c>
      <c r="E260" s="1102">
        <v>0.15</v>
      </c>
      <c r="F260" s="1103">
        <v>0.14199999999999999</v>
      </c>
    </row>
    <row r="261" spans="1:6" ht="15" thickBot="1">
      <c r="A261" s="855" t="s">
        <v>487</v>
      </c>
      <c r="B261" s="849" t="s">
        <v>317</v>
      </c>
      <c r="C261" s="1102">
        <v>0.15</v>
      </c>
      <c r="D261" s="1102">
        <v>0.15</v>
      </c>
      <c r="E261" s="1102">
        <v>0.14899999999999999</v>
      </c>
      <c r="F261" s="1103">
        <v>0.14799999999999999</v>
      </c>
    </row>
    <row r="262" spans="1:6" ht="15" thickBot="1">
      <c r="A262" s="855" t="s">
        <v>487</v>
      </c>
      <c r="B262" s="849" t="s">
        <v>327</v>
      </c>
      <c r="C262" s="1102">
        <v>0.15</v>
      </c>
      <c r="D262" s="1102">
        <v>0.15</v>
      </c>
      <c r="E262" s="1102">
        <v>0.15</v>
      </c>
      <c r="F262" s="1107"/>
    </row>
    <row r="263" spans="1:6" ht="15" thickBot="1">
      <c r="A263" s="855" t="s">
        <v>487</v>
      </c>
      <c r="B263" s="849" t="s">
        <v>889</v>
      </c>
      <c r="C263" s="1102">
        <v>0.14899999999999999</v>
      </c>
      <c r="D263" s="1102">
        <v>0.14899999999999999</v>
      </c>
      <c r="E263" s="1102">
        <v>0.15</v>
      </c>
      <c r="F263" s="1103">
        <v>0.13</v>
      </c>
    </row>
    <row r="264" spans="1:6" ht="15" thickBot="1">
      <c r="A264" s="855" t="s">
        <v>487</v>
      </c>
      <c r="B264" s="849" t="s">
        <v>346</v>
      </c>
      <c r="C264" s="1102">
        <v>0.14799999999999999</v>
      </c>
      <c r="D264" s="1102">
        <v>0.14699999999999999</v>
      </c>
      <c r="E264" s="1102">
        <v>0.15</v>
      </c>
      <c r="F264" s="1103">
        <v>7.8E-2</v>
      </c>
    </row>
    <row r="265" spans="1:6" ht="15" thickBot="1">
      <c r="A265" s="855" t="s">
        <v>487</v>
      </c>
      <c r="B265" s="849" t="s">
        <v>355</v>
      </c>
      <c r="C265" s="1102">
        <v>0.15</v>
      </c>
      <c r="D265" s="1102">
        <v>0.15</v>
      </c>
      <c r="E265" s="1102">
        <v>0.15</v>
      </c>
      <c r="F265" s="1103">
        <v>7.3999999999999996E-2</v>
      </c>
    </row>
    <row r="266" spans="1:6" ht="15" thickBot="1">
      <c r="A266" s="855" t="s">
        <v>487</v>
      </c>
      <c r="B266" s="849" t="s">
        <v>363</v>
      </c>
      <c r="C266" s="1102">
        <v>0.14699999999999999</v>
      </c>
      <c r="D266" s="1102">
        <v>0.14699999999999999</v>
      </c>
      <c r="E266" s="1102">
        <v>0.15</v>
      </c>
      <c r="F266" s="1103">
        <v>0.14299999999999999</v>
      </c>
    </row>
    <row r="267" spans="1:6" ht="15" thickBot="1">
      <c r="A267" s="855" t="s">
        <v>487</v>
      </c>
      <c r="B267" s="849" t="s">
        <v>370</v>
      </c>
      <c r="C267" s="1102">
        <v>0.14199999999999999</v>
      </c>
      <c r="D267" s="1102">
        <v>0.14299999999999999</v>
      </c>
      <c r="E267" s="1102">
        <v>0.15</v>
      </c>
      <c r="F267" s="1107"/>
    </row>
    <row r="268" spans="1:6" ht="15" thickBot="1">
      <c r="A268" s="855" t="s">
        <v>487</v>
      </c>
      <c r="B268" s="849" t="s">
        <v>890</v>
      </c>
      <c r="C268" s="1102">
        <v>0.15</v>
      </c>
      <c r="D268" s="1102">
        <v>0.15</v>
      </c>
      <c r="E268" s="1102">
        <v>0.15</v>
      </c>
      <c r="F268" s="1103">
        <v>0.13</v>
      </c>
    </row>
    <row r="269" spans="1:6" ht="15" thickBot="1">
      <c r="A269" s="855" t="s">
        <v>487</v>
      </c>
      <c r="B269" s="849" t="s">
        <v>384</v>
      </c>
      <c r="C269" s="1102">
        <v>0.15</v>
      </c>
      <c r="D269" s="1102">
        <v>0.15</v>
      </c>
      <c r="E269" s="1102">
        <v>0.15</v>
      </c>
      <c r="F269" s="1103">
        <v>0.14299999999999999</v>
      </c>
    </row>
    <row r="270" spans="1:6" ht="15" thickBot="1">
      <c r="A270" s="855" t="s">
        <v>487</v>
      </c>
      <c r="B270" s="849" t="s">
        <v>391</v>
      </c>
      <c r="C270" s="1102">
        <v>0.14499999999999999</v>
      </c>
      <c r="D270" s="1102">
        <v>0.14499999999999999</v>
      </c>
      <c r="E270" s="1102">
        <v>0.15</v>
      </c>
      <c r="F270" s="1103">
        <v>0.14699999999999999</v>
      </c>
    </row>
    <row r="271" spans="1:6" ht="15" thickBot="1">
      <c r="A271" s="855" t="s">
        <v>487</v>
      </c>
      <c r="B271" s="849" t="s">
        <v>398</v>
      </c>
      <c r="C271" s="1102">
        <v>0.15</v>
      </c>
      <c r="D271" s="1102">
        <v>0.15</v>
      </c>
      <c r="E271" s="1102">
        <v>0.15</v>
      </c>
      <c r="F271" s="1103">
        <v>0.13800000000000001</v>
      </c>
    </row>
    <row r="272" spans="1:6" ht="15" thickBot="1">
      <c r="A272" s="855" t="s">
        <v>487</v>
      </c>
      <c r="B272" s="849" t="s">
        <v>405</v>
      </c>
      <c r="C272" s="1108"/>
      <c r="D272" s="1108"/>
      <c r="E272" s="1108"/>
      <c r="F272" s="1103">
        <v>0.14000000000000001</v>
      </c>
    </row>
    <row r="273" spans="1:6" ht="15" thickBot="1">
      <c r="A273" s="855" t="s">
        <v>487</v>
      </c>
      <c r="B273" s="849" t="s">
        <v>891</v>
      </c>
      <c r="C273" s="1102">
        <v>0.14199999999999999</v>
      </c>
      <c r="D273" s="1102">
        <v>0.14299999999999999</v>
      </c>
      <c r="E273" s="1102">
        <v>0.15</v>
      </c>
      <c r="F273" s="1103">
        <v>0.1</v>
      </c>
    </row>
    <row r="274" spans="1:6" ht="15" thickBot="1">
      <c r="A274" s="855" t="s">
        <v>487</v>
      </c>
      <c r="B274" s="849" t="s">
        <v>892</v>
      </c>
      <c r="C274" s="1102">
        <v>0.14799999999999999</v>
      </c>
      <c r="D274" s="1102">
        <v>0.14799999999999999</v>
      </c>
      <c r="E274" s="1102">
        <v>0.15</v>
      </c>
      <c r="F274" s="1103">
        <v>6.7000000000000004E-2</v>
      </c>
    </row>
    <row r="275" spans="1:6" ht="15" thickBot="1">
      <c r="A275" s="855" t="s">
        <v>487</v>
      </c>
      <c r="B275" s="849" t="s">
        <v>893</v>
      </c>
      <c r="C275" s="1102">
        <v>0.15</v>
      </c>
      <c r="D275" s="1102">
        <v>0.15</v>
      </c>
      <c r="E275" s="1102">
        <v>0.15</v>
      </c>
      <c r="F275" s="1103">
        <v>0.15</v>
      </c>
    </row>
    <row r="276" spans="1:6" ht="15" thickBot="1">
      <c r="A276" s="855" t="s">
        <v>487</v>
      </c>
      <c r="B276" s="849" t="s">
        <v>894</v>
      </c>
      <c r="C276" s="1102">
        <v>0.14499999999999999</v>
      </c>
      <c r="D276" s="1102">
        <v>0.14299999999999999</v>
      </c>
      <c r="E276" s="1102">
        <v>0.15</v>
      </c>
      <c r="F276" s="1103">
        <v>5.8999999999999997E-2</v>
      </c>
    </row>
    <row r="277" spans="1:6" ht="15" thickBot="1">
      <c r="A277" s="855" t="s">
        <v>487</v>
      </c>
      <c r="B277" s="849" t="s">
        <v>895</v>
      </c>
      <c r="C277" s="1102">
        <v>0.15</v>
      </c>
      <c r="D277" s="1102">
        <v>0.15</v>
      </c>
      <c r="E277" s="1102">
        <v>0.15</v>
      </c>
      <c r="F277" s="1103">
        <v>0.121</v>
      </c>
    </row>
    <row r="278" spans="1:6" ht="15" thickBot="1">
      <c r="A278" s="855" t="s">
        <v>487</v>
      </c>
      <c r="B278" s="849" t="s">
        <v>896</v>
      </c>
      <c r="C278" s="1102">
        <v>0.15</v>
      </c>
      <c r="D278" s="1102">
        <v>0.15</v>
      </c>
      <c r="E278" s="1102">
        <v>0.15</v>
      </c>
      <c r="F278" s="1103">
        <v>0.13800000000000001</v>
      </c>
    </row>
    <row r="279" spans="1:6" ht="24.6" thickBot="1">
      <c r="A279" s="855" t="s">
        <v>487</v>
      </c>
      <c r="B279" s="849" t="s">
        <v>897</v>
      </c>
      <c r="C279" s="1108"/>
      <c r="D279" s="1108"/>
      <c r="E279" s="1108"/>
      <c r="F279" s="1103">
        <v>0.05</v>
      </c>
    </row>
    <row r="280" spans="1:6" ht="24.6" thickBot="1">
      <c r="A280" s="855" t="s">
        <v>487</v>
      </c>
      <c r="B280" s="849" t="s">
        <v>898</v>
      </c>
      <c r="C280" s="1108"/>
      <c r="D280" s="1108"/>
      <c r="E280" s="1108"/>
      <c r="F280" s="1103">
        <v>0.05</v>
      </c>
    </row>
    <row r="281" spans="1:6" ht="24.6" thickBot="1">
      <c r="A281" s="855" t="s">
        <v>487</v>
      </c>
      <c r="B281" s="849" t="s">
        <v>899</v>
      </c>
      <c r="C281" s="1108"/>
      <c r="D281" s="1108"/>
      <c r="E281" s="1108"/>
      <c r="F281" s="1103">
        <v>0.05</v>
      </c>
    </row>
    <row r="282" spans="1:6" ht="24.6" thickBot="1">
      <c r="A282" s="855" t="s">
        <v>487</v>
      </c>
      <c r="B282" s="849" t="s">
        <v>900</v>
      </c>
      <c r="C282" s="1108"/>
      <c r="D282" s="1108"/>
      <c r="E282" s="1108"/>
      <c r="F282" s="1103">
        <v>0.05</v>
      </c>
    </row>
    <row r="283" spans="1:6" ht="24.6" thickBot="1">
      <c r="A283" s="855" t="s">
        <v>487</v>
      </c>
      <c r="B283" s="849" t="s">
        <v>901</v>
      </c>
      <c r="C283" s="1108"/>
      <c r="D283" s="1108"/>
      <c r="E283" s="1108"/>
      <c r="F283" s="1103">
        <v>0.05</v>
      </c>
    </row>
    <row r="284" spans="1:6" ht="24.6" thickBot="1">
      <c r="A284" s="855" t="s">
        <v>487</v>
      </c>
      <c r="B284" s="849" t="s">
        <v>902</v>
      </c>
      <c r="C284" s="1108"/>
      <c r="D284" s="1108"/>
      <c r="E284" s="1108"/>
      <c r="F284" s="1103">
        <v>0.05</v>
      </c>
    </row>
    <row r="285" spans="1:6" ht="24.6" thickBot="1">
      <c r="A285" s="855" t="s">
        <v>487</v>
      </c>
      <c r="B285" s="849" t="s">
        <v>903</v>
      </c>
      <c r="C285" s="1108"/>
      <c r="D285" s="1108"/>
      <c r="E285" s="1108"/>
      <c r="F285" s="1103">
        <v>0.05</v>
      </c>
    </row>
    <row r="286" spans="1:6" ht="24.6" thickBot="1">
      <c r="A286" s="855" t="s">
        <v>487</v>
      </c>
      <c r="B286" s="849" t="s">
        <v>904</v>
      </c>
      <c r="C286" s="1108"/>
      <c r="D286" s="1108"/>
      <c r="E286" s="1108"/>
      <c r="F286" s="1103">
        <v>0.05</v>
      </c>
    </row>
    <row r="287" spans="1:6" ht="24.6" thickBot="1">
      <c r="A287" s="855" t="s">
        <v>487</v>
      </c>
      <c r="B287" s="849" t="s">
        <v>905</v>
      </c>
      <c r="C287" s="1108"/>
      <c r="D287" s="1108"/>
      <c r="E287" s="1108"/>
      <c r="F287" s="1103">
        <v>0.05</v>
      </c>
    </row>
    <row r="288" spans="1:6" ht="24.6" thickBot="1">
      <c r="A288" s="855" t="s">
        <v>487</v>
      </c>
      <c r="B288" s="849" t="s">
        <v>906</v>
      </c>
      <c r="C288" s="1108"/>
      <c r="D288" s="1108"/>
      <c r="E288" s="1108"/>
      <c r="F288" s="1103">
        <v>0.05</v>
      </c>
    </row>
    <row r="289" spans="1:6" ht="24.6" thickBot="1">
      <c r="A289" s="872" t="s">
        <v>487</v>
      </c>
      <c r="B289" s="865" t="s">
        <v>907</v>
      </c>
      <c r="C289" s="1105"/>
      <c r="D289" s="1105"/>
      <c r="E289" s="1105"/>
      <c r="F289" s="1109">
        <v>0.05</v>
      </c>
    </row>
    <row r="290" spans="1:6" ht="15" thickBot="1">
      <c r="A290" s="855" t="s">
        <v>491</v>
      </c>
      <c r="B290" s="856" t="s">
        <v>908</v>
      </c>
      <c r="C290" s="1100">
        <v>0.15</v>
      </c>
      <c r="D290" s="1100">
        <v>0.15</v>
      </c>
      <c r="E290" s="1100">
        <v>0.15</v>
      </c>
      <c r="F290" s="1117"/>
    </row>
    <row r="291" spans="1:6" ht="15" thickBot="1">
      <c r="A291" s="855" t="s">
        <v>491</v>
      </c>
      <c r="B291" s="849" t="s">
        <v>145</v>
      </c>
      <c r="C291" s="1102">
        <v>0.15</v>
      </c>
      <c r="D291" s="1102">
        <v>0.15</v>
      </c>
      <c r="E291" s="1102">
        <v>0.15</v>
      </c>
      <c r="F291" s="1107"/>
    </row>
    <row r="292" spans="1:6" ht="15" thickBot="1">
      <c r="A292" s="855" t="s">
        <v>491</v>
      </c>
      <c r="B292" s="849" t="s">
        <v>909</v>
      </c>
      <c r="C292" s="1102">
        <v>0.15</v>
      </c>
      <c r="D292" s="1102">
        <v>0.15</v>
      </c>
      <c r="E292" s="1102">
        <v>0.15</v>
      </c>
      <c r="F292" s="1103">
        <v>0.14699999999999999</v>
      </c>
    </row>
    <row r="293" spans="1:6" ht="15" thickBot="1">
      <c r="A293" s="855" t="s">
        <v>491</v>
      </c>
      <c r="B293" s="849" t="s">
        <v>910</v>
      </c>
      <c r="C293" s="1108"/>
      <c r="D293" s="1108"/>
      <c r="E293" s="1108"/>
      <c r="F293" s="1103">
        <v>0.1</v>
      </c>
    </row>
    <row r="294" spans="1:6" ht="15" thickBot="1">
      <c r="A294" s="855" t="s">
        <v>491</v>
      </c>
      <c r="B294" s="849" t="s">
        <v>911</v>
      </c>
      <c r="C294" s="1102">
        <v>0.15</v>
      </c>
      <c r="D294" s="1102">
        <v>0.15</v>
      </c>
      <c r="E294" s="1102">
        <v>0.15</v>
      </c>
      <c r="F294" s="1103">
        <v>0.15</v>
      </c>
    </row>
    <row r="295" spans="1:6" ht="15" thickBot="1">
      <c r="A295" s="855" t="s">
        <v>491</v>
      </c>
      <c r="B295" s="849" t="s">
        <v>183</v>
      </c>
      <c r="C295" s="1102">
        <v>0.15</v>
      </c>
      <c r="D295" s="1102">
        <v>0.15</v>
      </c>
      <c r="E295" s="1102">
        <v>0.15</v>
      </c>
      <c r="F295" s="1103">
        <v>0.15</v>
      </c>
    </row>
    <row r="296" spans="1:6" ht="15" thickBot="1">
      <c r="A296" s="855" t="s">
        <v>491</v>
      </c>
      <c r="B296" s="849" t="s">
        <v>912</v>
      </c>
      <c r="C296" s="1102">
        <v>0.15</v>
      </c>
      <c r="D296" s="1102">
        <v>0.15</v>
      </c>
      <c r="E296" s="1102">
        <v>0.15</v>
      </c>
      <c r="F296" s="1103">
        <v>0.15</v>
      </c>
    </row>
    <row r="297" spans="1:6" ht="15" thickBot="1">
      <c r="A297" s="855" t="s">
        <v>491</v>
      </c>
      <c r="B297" s="849" t="s">
        <v>913</v>
      </c>
      <c r="C297" s="1102">
        <v>0.14799999999999999</v>
      </c>
      <c r="D297" s="1102">
        <v>0.14899999999999999</v>
      </c>
      <c r="E297" s="1102">
        <v>0.15</v>
      </c>
      <c r="F297" s="1103">
        <v>0.13700000000000001</v>
      </c>
    </row>
    <row r="298" spans="1:6" ht="15" thickBot="1">
      <c r="A298" s="855" t="s">
        <v>491</v>
      </c>
      <c r="B298" s="849" t="s">
        <v>219</v>
      </c>
      <c r="C298" s="1102">
        <v>0.13400000000000001</v>
      </c>
      <c r="D298" s="1102">
        <v>0.13400000000000001</v>
      </c>
      <c r="E298" s="1102">
        <v>0.14499999999999999</v>
      </c>
      <c r="F298" s="1103">
        <v>0.14799999999999999</v>
      </c>
    </row>
    <row r="299" spans="1:6" ht="15" thickBot="1">
      <c r="A299" s="855" t="s">
        <v>491</v>
      </c>
      <c r="B299" s="849" t="s">
        <v>232</v>
      </c>
      <c r="C299" s="1102">
        <v>0.15</v>
      </c>
      <c r="D299" s="1102">
        <v>0.15</v>
      </c>
      <c r="E299" s="1102">
        <v>0.15</v>
      </c>
      <c r="F299" s="1107"/>
    </row>
    <row r="300" spans="1:6" ht="15" thickBot="1">
      <c r="A300" s="855" t="s">
        <v>491</v>
      </c>
      <c r="B300" s="849" t="s">
        <v>914</v>
      </c>
      <c r="C300" s="1102">
        <v>0.15</v>
      </c>
      <c r="D300" s="1102">
        <v>0.15</v>
      </c>
      <c r="E300" s="1102">
        <v>0.15</v>
      </c>
      <c r="F300" s="1103">
        <v>0.15</v>
      </c>
    </row>
    <row r="301" spans="1:6" ht="15" thickBot="1">
      <c r="A301" s="855" t="s">
        <v>491</v>
      </c>
      <c r="B301" s="849" t="s">
        <v>254</v>
      </c>
      <c r="C301" s="1102">
        <v>0.15</v>
      </c>
      <c r="D301" s="1102">
        <v>0.15</v>
      </c>
      <c r="E301" s="1102">
        <v>0.15</v>
      </c>
      <c r="F301" s="1107"/>
    </row>
    <row r="302" spans="1:6" ht="15" thickBot="1">
      <c r="A302" s="855" t="s">
        <v>491</v>
      </c>
      <c r="B302" s="849" t="s">
        <v>915</v>
      </c>
      <c r="C302" s="1102">
        <v>0.15</v>
      </c>
      <c r="D302" s="1102">
        <v>0.15</v>
      </c>
      <c r="E302" s="1102">
        <v>0.15</v>
      </c>
      <c r="F302" s="1103">
        <v>0.15</v>
      </c>
    </row>
    <row r="303" spans="1:6" ht="15" thickBot="1">
      <c r="A303" s="855" t="s">
        <v>491</v>
      </c>
      <c r="B303" s="849" t="s">
        <v>276</v>
      </c>
      <c r="C303" s="1102">
        <v>0.15</v>
      </c>
      <c r="D303" s="1102">
        <v>0.15</v>
      </c>
      <c r="E303" s="1102">
        <v>0.15</v>
      </c>
      <c r="F303" s="1103">
        <v>0.15</v>
      </c>
    </row>
    <row r="304" spans="1:6" ht="15" thickBot="1">
      <c r="A304" s="855" t="s">
        <v>491</v>
      </c>
      <c r="B304" s="849" t="s">
        <v>287</v>
      </c>
      <c r="C304" s="1102">
        <v>0.15</v>
      </c>
      <c r="D304" s="1102">
        <v>0.15</v>
      </c>
      <c r="E304" s="1102">
        <v>0.15</v>
      </c>
      <c r="F304" s="1107"/>
    </row>
    <row r="305" spans="1:6" ht="15" thickBot="1">
      <c r="A305" s="855" t="s">
        <v>491</v>
      </c>
      <c r="B305" s="849" t="s">
        <v>916</v>
      </c>
      <c r="C305" s="1102">
        <v>0.15</v>
      </c>
      <c r="D305" s="1102">
        <v>0.15</v>
      </c>
      <c r="E305" s="1102">
        <v>0.15</v>
      </c>
      <c r="F305" s="1103">
        <v>0.14000000000000001</v>
      </c>
    </row>
    <row r="306" spans="1:6" ht="15" thickBot="1">
      <c r="A306" s="855" t="s">
        <v>491</v>
      </c>
      <c r="B306" s="849" t="s">
        <v>308</v>
      </c>
      <c r="C306" s="1102">
        <v>0.15</v>
      </c>
      <c r="D306" s="1102">
        <v>0.15</v>
      </c>
      <c r="E306" s="1102">
        <v>0.15</v>
      </c>
      <c r="F306" s="1107"/>
    </row>
    <row r="307" spans="1:6" ht="15" thickBot="1">
      <c r="A307" s="855" t="s">
        <v>491</v>
      </c>
      <c r="B307" s="849" t="s">
        <v>917</v>
      </c>
      <c r="C307" s="1102">
        <v>0.15</v>
      </c>
      <c r="D307" s="1102">
        <v>0.15</v>
      </c>
      <c r="E307" s="1102">
        <v>0.15</v>
      </c>
      <c r="F307" s="1103">
        <v>0.14299999999999999</v>
      </c>
    </row>
    <row r="308" spans="1:6" ht="15" thickBot="1">
      <c r="A308" s="855" t="s">
        <v>491</v>
      </c>
      <c r="B308" s="849" t="s">
        <v>328</v>
      </c>
      <c r="C308" s="1102">
        <v>0.15</v>
      </c>
      <c r="D308" s="1102">
        <v>0.15</v>
      </c>
      <c r="E308" s="1102">
        <v>0.15</v>
      </c>
      <c r="F308" s="1103">
        <v>0.15</v>
      </c>
    </row>
    <row r="309" spans="1:6" ht="15" thickBot="1">
      <c r="A309" s="855" t="s">
        <v>491</v>
      </c>
      <c r="B309" s="849" t="s">
        <v>338</v>
      </c>
      <c r="C309" s="1102">
        <v>0.15</v>
      </c>
      <c r="D309" s="1102">
        <v>0.15</v>
      </c>
      <c r="E309" s="1102">
        <v>0.15</v>
      </c>
      <c r="F309" s="1107"/>
    </row>
    <row r="310" spans="1:6" ht="15" thickBot="1">
      <c r="A310" s="855" t="s">
        <v>491</v>
      </c>
      <c r="B310" s="849" t="s">
        <v>918</v>
      </c>
      <c r="C310" s="1102">
        <v>0.15</v>
      </c>
      <c r="D310" s="1102">
        <v>0.15</v>
      </c>
      <c r="E310" s="1102">
        <v>0.15</v>
      </c>
      <c r="F310" s="1103">
        <v>0.13700000000000001</v>
      </c>
    </row>
    <row r="311" spans="1:6" ht="15" thickBot="1">
      <c r="A311" s="855" t="s">
        <v>491</v>
      </c>
      <c r="B311" s="849" t="s">
        <v>919</v>
      </c>
      <c r="C311" s="1102">
        <v>0.15</v>
      </c>
      <c r="D311" s="1102">
        <v>0.15</v>
      </c>
      <c r="E311" s="1102">
        <v>0.15</v>
      </c>
      <c r="F311" s="1103">
        <v>0.15</v>
      </c>
    </row>
    <row r="312" spans="1:6" ht="15" thickBot="1">
      <c r="A312" s="855" t="s">
        <v>491</v>
      </c>
      <c r="B312" s="849" t="s">
        <v>364</v>
      </c>
      <c r="C312" s="1102">
        <v>0.15</v>
      </c>
      <c r="D312" s="1102">
        <v>0.15</v>
      </c>
      <c r="E312" s="1102">
        <v>0.15</v>
      </c>
      <c r="F312" s="1103">
        <v>0.1</v>
      </c>
    </row>
    <row r="313" spans="1:6" ht="15" thickBot="1">
      <c r="A313" s="855" t="s">
        <v>491</v>
      </c>
      <c r="B313" s="849" t="s">
        <v>920</v>
      </c>
      <c r="C313" s="1102">
        <v>0.15</v>
      </c>
      <c r="D313" s="1102">
        <v>0.15</v>
      </c>
      <c r="E313" s="1102">
        <v>0.15</v>
      </c>
      <c r="F313" s="1103">
        <v>0.15</v>
      </c>
    </row>
    <row r="314" spans="1:6" ht="24.6" thickBot="1">
      <c r="A314" s="855" t="s">
        <v>491</v>
      </c>
      <c r="B314" s="849" t="s">
        <v>921</v>
      </c>
      <c r="C314" s="1108"/>
      <c r="D314" s="1108"/>
      <c r="E314" s="1108"/>
      <c r="F314" s="1103">
        <v>0.05</v>
      </c>
    </row>
    <row r="315" spans="1:6" ht="24.6" thickBot="1">
      <c r="A315" s="855" t="s">
        <v>491</v>
      </c>
      <c r="B315" s="849" t="s">
        <v>922</v>
      </c>
      <c r="C315" s="1108"/>
      <c r="D315" s="1108"/>
      <c r="E315" s="1108"/>
      <c r="F315" s="1103">
        <v>0.05</v>
      </c>
    </row>
    <row r="316" spans="1:6" ht="24.6" thickBot="1">
      <c r="A316" s="872" t="s">
        <v>491</v>
      </c>
      <c r="B316" s="865" t="s">
        <v>923</v>
      </c>
      <c r="C316" s="1105"/>
      <c r="D316" s="1105"/>
      <c r="E316" s="1105"/>
      <c r="F316" s="1109">
        <v>0.05</v>
      </c>
    </row>
    <row r="317" spans="1:6" ht="15" thickBot="1">
      <c r="A317" s="855" t="s">
        <v>924</v>
      </c>
      <c r="B317" s="856" t="s">
        <v>925</v>
      </c>
      <c r="C317" s="1100">
        <v>0.15</v>
      </c>
      <c r="D317" s="1100">
        <v>0.15</v>
      </c>
      <c r="E317" s="1100">
        <v>0.15</v>
      </c>
      <c r="F317" s="1101">
        <v>0.15</v>
      </c>
    </row>
    <row r="318" spans="1:6" ht="15" thickBot="1">
      <c r="A318" s="855" t="s">
        <v>924</v>
      </c>
      <c r="B318" s="849" t="s">
        <v>926</v>
      </c>
      <c r="C318" s="1102">
        <v>0.107</v>
      </c>
      <c r="D318" s="1102">
        <v>0.11</v>
      </c>
      <c r="E318" s="1102">
        <v>0.112</v>
      </c>
      <c r="F318" s="1107"/>
    </row>
    <row r="319" spans="1:6" ht="15" thickBot="1">
      <c r="A319" s="855" t="s">
        <v>924</v>
      </c>
      <c r="B319" s="849" t="s">
        <v>927</v>
      </c>
      <c r="C319" s="1102">
        <v>0.15</v>
      </c>
      <c r="D319" s="1102">
        <v>0.15</v>
      </c>
      <c r="E319" s="1102">
        <v>0.15</v>
      </c>
      <c r="F319" s="1103">
        <v>0.15</v>
      </c>
    </row>
    <row r="320" spans="1:6" ht="15" thickBot="1">
      <c r="A320" s="855" t="s">
        <v>924</v>
      </c>
      <c r="B320" s="849" t="s">
        <v>172</v>
      </c>
      <c r="C320" s="1102">
        <v>0.15</v>
      </c>
      <c r="D320" s="1102">
        <v>0.15</v>
      </c>
      <c r="E320" s="1102">
        <v>0.15</v>
      </c>
      <c r="F320" s="1107"/>
    </row>
    <row r="321" spans="1:6" ht="15" thickBot="1">
      <c r="A321" s="855" t="s">
        <v>924</v>
      </c>
      <c r="B321" s="849" t="s">
        <v>928</v>
      </c>
      <c r="C321" s="1102">
        <v>0.15</v>
      </c>
      <c r="D321" s="1102">
        <v>0.15</v>
      </c>
      <c r="E321" s="1102">
        <v>0.15</v>
      </c>
      <c r="F321" s="1107"/>
    </row>
    <row r="322" spans="1:6" ht="15" thickBot="1">
      <c r="A322" s="855" t="s">
        <v>924</v>
      </c>
      <c r="B322" s="849" t="s">
        <v>929</v>
      </c>
      <c r="C322" s="1102">
        <v>0.15</v>
      </c>
      <c r="D322" s="1102">
        <v>0.15</v>
      </c>
      <c r="E322" s="1102">
        <v>0.15</v>
      </c>
      <c r="F322" s="1103">
        <v>0.15</v>
      </c>
    </row>
    <row r="323" spans="1:6" ht="15" thickBot="1">
      <c r="A323" s="855" t="s">
        <v>924</v>
      </c>
      <c r="B323" s="849" t="s">
        <v>930</v>
      </c>
      <c r="C323" s="1102">
        <v>0.15</v>
      </c>
      <c r="D323" s="1102">
        <v>0.15</v>
      </c>
      <c r="E323" s="1102">
        <v>0.15</v>
      </c>
      <c r="F323" s="1107"/>
    </row>
    <row r="324" spans="1:6" ht="15" thickBot="1">
      <c r="A324" s="855" t="s">
        <v>924</v>
      </c>
      <c r="B324" s="849" t="s">
        <v>931</v>
      </c>
      <c r="C324" s="1102">
        <v>0.15</v>
      </c>
      <c r="D324" s="1102">
        <v>0.15</v>
      </c>
      <c r="E324" s="1102">
        <v>0.15</v>
      </c>
      <c r="F324" s="1107"/>
    </row>
    <row r="325" spans="1:6" ht="15" thickBot="1">
      <c r="A325" s="855" t="s">
        <v>924</v>
      </c>
      <c r="B325" s="849" t="s">
        <v>932</v>
      </c>
      <c r="C325" s="1102">
        <v>0.15</v>
      </c>
      <c r="D325" s="1102">
        <v>0.15</v>
      </c>
      <c r="E325" s="1102">
        <v>0.15</v>
      </c>
      <c r="F325" s="1103">
        <v>0.14699999999999999</v>
      </c>
    </row>
    <row r="326" spans="1:6" ht="15" thickBot="1">
      <c r="A326" s="855" t="s">
        <v>924</v>
      </c>
      <c r="B326" s="849" t="s">
        <v>244</v>
      </c>
      <c r="C326" s="1102">
        <v>0.15</v>
      </c>
      <c r="D326" s="1102">
        <v>0.15</v>
      </c>
      <c r="E326" s="1102">
        <v>0.15</v>
      </c>
      <c r="F326" s="1107"/>
    </row>
    <row r="327" spans="1:6" ht="15" thickBot="1">
      <c r="A327" s="855" t="s">
        <v>924</v>
      </c>
      <c r="B327" s="849" t="s">
        <v>933</v>
      </c>
      <c r="C327" s="1102">
        <v>0.15</v>
      </c>
      <c r="D327" s="1102">
        <v>0.15</v>
      </c>
      <c r="E327" s="1102">
        <v>0.15</v>
      </c>
      <c r="F327" s="1103">
        <v>0.15</v>
      </c>
    </row>
    <row r="328" spans="1:6" ht="15" thickBot="1">
      <c r="A328" s="855" t="s">
        <v>924</v>
      </c>
      <c r="B328" s="849" t="s">
        <v>266</v>
      </c>
      <c r="C328" s="1102">
        <v>0.15</v>
      </c>
      <c r="D328" s="1102">
        <v>0.15</v>
      </c>
      <c r="E328" s="1102">
        <v>0.15</v>
      </c>
      <c r="F328" s="1103">
        <v>0.14099999999999999</v>
      </c>
    </row>
    <row r="329" spans="1:6" ht="15" thickBot="1">
      <c r="A329" s="855" t="s">
        <v>924</v>
      </c>
      <c r="B329" s="849" t="s">
        <v>277</v>
      </c>
      <c r="C329" s="1102">
        <v>0.15</v>
      </c>
      <c r="D329" s="1102">
        <v>0.15</v>
      </c>
      <c r="E329" s="1102">
        <v>0.15</v>
      </c>
      <c r="F329" s="1103">
        <v>0.15</v>
      </c>
    </row>
    <row r="330" spans="1:6" ht="15" thickBot="1">
      <c r="A330" s="855" t="s">
        <v>924</v>
      </c>
      <c r="B330" s="849" t="s">
        <v>288</v>
      </c>
      <c r="C330" s="1102">
        <v>0.15</v>
      </c>
      <c r="D330" s="1102">
        <v>0.15</v>
      </c>
      <c r="E330" s="1102">
        <v>0.15</v>
      </c>
      <c r="F330" s="1107"/>
    </row>
    <row r="331" spans="1:6" ht="15" thickBot="1">
      <c r="A331" s="855" t="s">
        <v>924</v>
      </c>
      <c r="B331" s="849" t="s">
        <v>934</v>
      </c>
      <c r="C331" s="1102">
        <v>0.15</v>
      </c>
      <c r="D331" s="1102">
        <v>0.15</v>
      </c>
      <c r="E331" s="1102">
        <v>0.15</v>
      </c>
      <c r="F331" s="1103">
        <v>0.15</v>
      </c>
    </row>
    <row r="332" spans="1:6" ht="15" thickBot="1">
      <c r="A332" s="855" t="s">
        <v>924</v>
      </c>
      <c r="B332" s="849" t="s">
        <v>309</v>
      </c>
      <c r="C332" s="1102">
        <v>0.15</v>
      </c>
      <c r="D332" s="1102">
        <v>0.15</v>
      </c>
      <c r="E332" s="1102">
        <v>0.15</v>
      </c>
      <c r="F332" s="1103">
        <v>0.15</v>
      </c>
    </row>
    <row r="333" spans="1:6" ht="15" thickBot="1">
      <c r="A333" s="855" t="s">
        <v>924</v>
      </c>
      <c r="B333" s="849" t="s">
        <v>935</v>
      </c>
      <c r="C333" s="1102">
        <v>0.15</v>
      </c>
      <c r="D333" s="1102">
        <v>0.15</v>
      </c>
      <c r="E333" s="1102">
        <v>0.15</v>
      </c>
      <c r="F333" s="1103">
        <v>0.14099999999999999</v>
      </c>
    </row>
    <row r="334" spans="1:6" ht="15" thickBot="1">
      <c r="A334" s="855" t="s">
        <v>924</v>
      </c>
      <c r="B334" s="849" t="s">
        <v>329</v>
      </c>
      <c r="C334" s="1102">
        <v>0.15</v>
      </c>
      <c r="D334" s="1102">
        <v>0.15</v>
      </c>
      <c r="E334" s="1102">
        <v>0.15</v>
      </c>
      <c r="F334" s="1103">
        <v>0.15</v>
      </c>
    </row>
    <row r="335" spans="1:6" ht="15" thickBot="1">
      <c r="A335" s="855" t="s">
        <v>924</v>
      </c>
      <c r="B335" s="849" t="s">
        <v>339</v>
      </c>
      <c r="C335" s="1102">
        <v>0.15</v>
      </c>
      <c r="D335" s="1102">
        <v>0.15</v>
      </c>
      <c r="E335" s="1102">
        <v>0.15</v>
      </c>
      <c r="F335" s="1107"/>
    </row>
    <row r="336" spans="1:6" ht="15" thickBot="1">
      <c r="A336" s="855" t="s">
        <v>924</v>
      </c>
      <c r="B336" s="849" t="s">
        <v>936</v>
      </c>
      <c r="C336" s="1102">
        <v>0.15</v>
      </c>
      <c r="D336" s="1102">
        <v>0.15</v>
      </c>
      <c r="E336" s="1102">
        <v>0.15</v>
      </c>
      <c r="F336" s="1103">
        <v>0.11799999999999999</v>
      </c>
    </row>
    <row r="337" spans="1:6" ht="15" thickBot="1">
      <c r="A337" s="872" t="s">
        <v>924</v>
      </c>
      <c r="B337" s="865" t="s">
        <v>357</v>
      </c>
      <c r="C337" s="1105"/>
      <c r="D337" s="1105"/>
      <c r="E337" s="1105"/>
      <c r="F337" s="1109">
        <v>0.14299999999999999</v>
      </c>
    </row>
    <row r="338" spans="1:6" ht="15" thickBot="1">
      <c r="A338" s="855" t="s">
        <v>937</v>
      </c>
      <c r="B338" s="856" t="s">
        <v>938</v>
      </c>
      <c r="C338" s="1100">
        <v>0.15</v>
      </c>
      <c r="D338" s="1100">
        <v>0.15</v>
      </c>
      <c r="E338" s="1100">
        <v>0.15</v>
      </c>
      <c r="F338" s="1117"/>
    </row>
    <row r="339" spans="1:6" ht="15" thickBot="1">
      <c r="A339" s="855" t="s">
        <v>937</v>
      </c>
      <c r="B339" s="849" t="s">
        <v>939</v>
      </c>
      <c r="C339" s="1102">
        <v>0.15</v>
      </c>
      <c r="D339" s="1102">
        <v>0.15</v>
      </c>
      <c r="E339" s="1102">
        <v>0.15</v>
      </c>
      <c r="F339" s="1107"/>
    </row>
    <row r="340" spans="1:6" ht="15" thickBot="1">
      <c r="A340" s="855" t="s">
        <v>937</v>
      </c>
      <c r="B340" s="849" t="s">
        <v>940</v>
      </c>
      <c r="C340" s="1102">
        <v>0.15</v>
      </c>
      <c r="D340" s="1102">
        <v>0.15</v>
      </c>
      <c r="E340" s="1102">
        <v>0.15</v>
      </c>
      <c r="F340" s="1107"/>
    </row>
    <row r="341" spans="1:6" ht="15" thickBot="1">
      <c r="A341" s="855" t="s">
        <v>937</v>
      </c>
      <c r="B341" s="849" t="s">
        <v>941</v>
      </c>
      <c r="C341" s="1102">
        <v>0.15</v>
      </c>
      <c r="D341" s="1102">
        <v>0.15</v>
      </c>
      <c r="E341" s="1102">
        <v>0.15</v>
      </c>
      <c r="F341" s="1103">
        <v>0.15</v>
      </c>
    </row>
    <row r="342" spans="1:6" ht="15" thickBot="1">
      <c r="A342" s="855" t="s">
        <v>937</v>
      </c>
      <c r="B342" s="849" t="s">
        <v>942</v>
      </c>
      <c r="C342" s="1102">
        <v>0.15</v>
      </c>
      <c r="D342" s="1102">
        <v>0.15</v>
      </c>
      <c r="E342" s="1102">
        <v>0.15</v>
      </c>
      <c r="F342" s="1103">
        <v>0.15</v>
      </c>
    </row>
    <row r="343" spans="1:6" ht="15" thickBot="1">
      <c r="A343" s="855" t="s">
        <v>937</v>
      </c>
      <c r="B343" s="849" t="s">
        <v>943</v>
      </c>
      <c r="C343" s="1102">
        <v>0.15</v>
      </c>
      <c r="D343" s="1102">
        <v>0.15</v>
      </c>
      <c r="E343" s="1102">
        <v>0.15</v>
      </c>
      <c r="F343" s="1103">
        <v>0.15</v>
      </c>
    </row>
    <row r="344" spans="1:6" ht="15" thickBot="1">
      <c r="A344" s="872" t="s">
        <v>937</v>
      </c>
      <c r="B344" s="865"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8" customWidth="1"/>
    <col min="2" max="2" width="40.6640625" style="1287" customWidth="1"/>
    <col min="3" max="3" width="9" style="1288"/>
    <col min="4" max="5" width="9" style="1289"/>
    <col min="6" max="6" width="9" style="1290"/>
    <col min="7" max="7" width="11.8867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24">
      <c r="A3" s="819" t="s">
        <v>709</v>
      </c>
      <c r="B3" s="820" t="s">
        <v>710</v>
      </c>
      <c r="C3" s="821" t="s">
        <v>711</v>
      </c>
      <c r="D3" s="822" t="s">
        <v>734</v>
      </c>
      <c r="E3" s="822" t="s">
        <v>735</v>
      </c>
      <c r="F3" s="823" t="s">
        <v>736</v>
      </c>
      <c r="G3" s="824" t="s">
        <v>945</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4">
      <c r="A6" s="819" t="s">
        <v>715</v>
      </c>
      <c r="B6" s="820">
        <f>估价对象房地状况!C19</f>
        <v>0</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4">
      <c r="A8" s="819" t="s">
        <v>717</v>
      </c>
      <c r="B8" s="820">
        <f>估价对象房地状况!C10</f>
        <v>0</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24">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14.4">
      <c r="A10" s="832" t="s">
        <v>719</v>
      </c>
      <c r="B10" s="1206" t="str">
        <f>估价对象房地状况!C7</f>
        <v>估价对象所在区域公共配套设施齐备情况</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4">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24.6" thickBot="1">
      <c r="A12" s="834" t="s">
        <v>721</v>
      </c>
      <c r="B12" s="835" t="str">
        <f>估价对象房地状况!C9</f>
        <v>区域自然环境：；人文环境；综合评价环境状况一般</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4">
      <c r="A17" s="819" t="s">
        <v>715</v>
      </c>
      <c r="B17" s="820">
        <f>估价对象房地状况!C19</f>
        <v>0</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4">
      <c r="A19" s="819" t="s">
        <v>717</v>
      </c>
      <c r="B19" s="820">
        <f>估价对象房地状况!C10</f>
        <v>0</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24">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14.4">
      <c r="A21" s="819" t="s">
        <v>719</v>
      </c>
      <c r="B21" s="1206" t="str">
        <f>估价对象房地状况!C7</f>
        <v>估价对象所在区域公共配套设施齐备情况</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4">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24.6" thickBot="1">
      <c r="A23" s="834" t="s">
        <v>721</v>
      </c>
      <c r="B23" s="838" t="str">
        <f>估价对象房地状况!C9</f>
        <v>区域自然环境：；人文环境；综合评价环境状况一般</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24">
      <c r="A25" s="819" t="s">
        <v>709</v>
      </c>
      <c r="B25" s="820"/>
      <c r="C25" s="821" t="s">
        <v>711</v>
      </c>
      <c r="D25" s="822" t="s">
        <v>731</v>
      </c>
      <c r="E25" s="822" t="s">
        <v>732</v>
      </c>
      <c r="F25" s="823" t="s">
        <v>733</v>
      </c>
      <c r="G25" s="824" t="s">
        <v>945</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4">
      <c r="A28" s="819" t="s">
        <v>715</v>
      </c>
      <c r="B28" s="820">
        <f>估价对象房地状况!C19</f>
        <v>0</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4">
      <c r="A29" s="819" t="s">
        <v>724</v>
      </c>
      <c r="B29" s="820">
        <f>估价对象房地状况!C10</f>
        <v>0</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14.4">
      <c r="A30" s="819" t="s">
        <v>719</v>
      </c>
      <c r="B30" s="1206" t="str">
        <f>估价对象房地状况!C7</f>
        <v>估价对象所在区域公共配套设施齐备情况</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4">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24">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区域自然环境：；人文环境；综合评价环境状况一般</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24.6"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4.4">
      <c r="A35" s="813" t="s">
        <v>135</v>
      </c>
      <c r="B35" s="814">
        <f>1+F37</f>
        <v>1.0127999999999999</v>
      </c>
      <c r="C35" s="1282"/>
      <c r="D35" s="816"/>
      <c r="E35" s="816"/>
      <c r="F35" s="817"/>
      <c r="G35" s="1280"/>
      <c r="H35" s="1276"/>
      <c r="I35" s="812"/>
      <c r="J35" s="812"/>
      <c r="K35" s="812"/>
      <c r="L35" s="812"/>
      <c r="M35" s="812"/>
    </row>
    <row r="36" spans="1:13" ht="24">
      <c r="A36" s="819" t="s">
        <v>709</v>
      </c>
      <c r="B36" s="820"/>
      <c r="C36" s="821" t="s">
        <v>711</v>
      </c>
      <c r="D36" s="822" t="s">
        <v>731</v>
      </c>
      <c r="E36" s="822" t="s">
        <v>732</v>
      </c>
      <c r="F36" s="823" t="s">
        <v>733</v>
      </c>
      <c r="G36" s="824" t="s">
        <v>946</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4">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4">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4">
      <c r="A41" s="819" t="s">
        <v>719</v>
      </c>
      <c r="B41" s="1206" t="str">
        <f>估价对象房地状况!G19</f>
        <v>估价对象所在区域公共配套设施齐备情况</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4">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24">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24.6" thickBot="1">
      <c r="A44" s="834" t="s">
        <v>727</v>
      </c>
      <c r="B44" s="841" t="str">
        <f>估价对象房地状况!G18</f>
        <v>该园区内是否有污染型企业，绿化情况，卫生条件，整体环境状况判断</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879" customWidth="1"/>
    <col min="2" max="5" width="10.21875" style="812" customWidth="1"/>
    <col min="6" max="6" width="9" style="812"/>
    <col min="7" max="7" width="9" style="843"/>
    <col min="8" max="8" width="9" style="812"/>
    <col min="9" max="9" width="9" style="843"/>
    <col min="10" max="16384" width="9" style="812"/>
  </cols>
  <sheetData>
    <row r="1" spans="1:20">
      <c r="A1" s="3084" t="s">
        <v>105</v>
      </c>
      <c r="B1" s="3084"/>
      <c r="C1" s="3084"/>
      <c r="D1" s="3084"/>
      <c r="E1" s="3084"/>
      <c r="F1" s="3084"/>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5" thickBot="1">
      <c r="A2" s="3085" t="s">
        <v>118</v>
      </c>
      <c r="B2" s="3085"/>
      <c r="C2" s="3085"/>
      <c r="D2" s="3085"/>
      <c r="E2" s="3085"/>
      <c r="F2" s="3085"/>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086"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087"/>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1875" defaultRowHeight="19.5" customHeight="1"/>
  <cols>
    <col min="1" max="1" width="13.6640625" style="818" customWidth="1"/>
    <col min="2" max="9" width="8.21875" style="902" customWidth="1"/>
    <col min="10" max="13" width="8.21875" style="818"/>
    <col min="14" max="14" width="10" style="818" customWidth="1"/>
    <col min="15" max="16" width="8.21875" style="818"/>
    <col min="17" max="17" width="34.109375" style="818" customWidth="1"/>
    <col min="18" max="18" width="8.21875" style="818" customWidth="1"/>
    <col min="19" max="19" width="8.21875" style="818"/>
    <col min="20" max="20" width="11.6640625" style="818" customWidth="1"/>
    <col min="21" max="16384" width="8.2187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088" t="s">
        <v>132</v>
      </c>
      <c r="B18" s="906" t="s">
        <v>517</v>
      </c>
      <c r="C18" s="907" t="s">
        <v>518</v>
      </c>
      <c r="D18" s="908"/>
      <c r="E18" s="906">
        <v>1</v>
      </c>
      <c r="F18" s="909" t="s">
        <v>519</v>
      </c>
      <c r="G18" s="910"/>
      <c r="H18" s="902"/>
      <c r="I18" s="902"/>
    </row>
    <row r="19" spans="1:9" s="911" customFormat="1" ht="19.5" customHeight="1">
      <c r="A19" s="3088"/>
      <c r="B19" s="3088" t="s">
        <v>520</v>
      </c>
      <c r="C19" s="907" t="s">
        <v>521</v>
      </c>
      <c r="D19" s="908"/>
      <c r="E19" s="906">
        <v>0.9</v>
      </c>
      <c r="F19" s="909" t="s">
        <v>522</v>
      </c>
      <c r="G19" s="910"/>
      <c r="H19" s="902"/>
      <c r="I19" s="902"/>
    </row>
    <row r="20" spans="1:9" s="911" customFormat="1" ht="19.5" customHeight="1">
      <c r="A20" s="3088"/>
      <c r="B20" s="3088"/>
      <c r="C20" s="907" t="s">
        <v>523</v>
      </c>
      <c r="D20" s="908"/>
      <c r="E20" s="906">
        <v>1.1000000000000001</v>
      </c>
      <c r="F20" s="909" t="s">
        <v>524</v>
      </c>
      <c r="G20" s="910"/>
      <c r="H20" s="902"/>
      <c r="I20" s="902"/>
    </row>
    <row r="21" spans="1:9" s="911" customFormat="1" ht="19.5" customHeight="1">
      <c r="A21" s="3088"/>
      <c r="B21" s="3088"/>
      <c r="C21" s="907" t="s">
        <v>525</v>
      </c>
      <c r="D21" s="908"/>
      <c r="E21" s="906">
        <v>0.8</v>
      </c>
      <c r="F21" s="909" t="s">
        <v>526</v>
      </c>
      <c r="G21" s="910"/>
      <c r="H21" s="902"/>
      <c r="I21" s="902"/>
    </row>
    <row r="22" spans="1:9" s="911" customFormat="1" ht="19.5" customHeight="1">
      <c r="A22" s="3088"/>
      <c r="B22" s="3088"/>
      <c r="C22" s="907" t="s">
        <v>527</v>
      </c>
      <c r="D22" s="908"/>
      <c r="E22" s="906">
        <v>0.5</v>
      </c>
      <c r="F22" s="909"/>
      <c r="G22" s="910"/>
      <c r="H22" s="902"/>
      <c r="I22" s="902"/>
    </row>
    <row r="23" spans="1:9" s="911" customFormat="1" ht="19.5" customHeight="1">
      <c r="A23" s="3088" t="s">
        <v>133</v>
      </c>
      <c r="B23" s="906" t="s">
        <v>517</v>
      </c>
      <c r="C23" s="907" t="s">
        <v>528</v>
      </c>
      <c r="D23" s="908"/>
      <c r="E23" s="906">
        <v>1</v>
      </c>
      <c r="F23" s="909" t="s">
        <v>529</v>
      </c>
      <c r="G23" s="910"/>
      <c r="H23" s="902"/>
      <c r="I23" s="902"/>
    </row>
    <row r="24" spans="1:9" s="911" customFormat="1" ht="19.5" customHeight="1">
      <c r="A24" s="3088"/>
      <c r="B24" s="3088" t="s">
        <v>520</v>
      </c>
      <c r="C24" s="907" t="s">
        <v>530</v>
      </c>
      <c r="D24" s="908"/>
      <c r="E24" s="906">
        <v>0.5</v>
      </c>
      <c r="F24" s="909"/>
      <c r="G24" s="910"/>
      <c r="H24" s="902"/>
      <c r="I24" s="902"/>
    </row>
    <row r="25" spans="1:9" s="911" customFormat="1" ht="19.5" customHeight="1">
      <c r="A25" s="3088"/>
      <c r="B25" s="3088"/>
      <c r="C25" s="907" t="s">
        <v>531</v>
      </c>
      <c r="D25" s="908"/>
      <c r="E25" s="906">
        <v>1.1000000000000001</v>
      </c>
      <c r="F25" s="909"/>
      <c r="G25" s="910"/>
      <c r="H25" s="902"/>
      <c r="I25" s="902"/>
    </row>
    <row r="26" spans="1:9" s="911" customFormat="1" ht="19.5" customHeight="1">
      <c r="A26" s="3088"/>
      <c r="B26" s="3088"/>
      <c r="C26" s="907" t="s">
        <v>532</v>
      </c>
      <c r="D26" s="908"/>
      <c r="E26" s="906">
        <v>1.1000000000000001</v>
      </c>
      <c r="F26" s="909"/>
      <c r="G26" s="910"/>
      <c r="H26" s="902"/>
      <c r="I26" s="902"/>
    </row>
    <row r="27" spans="1:9" s="911" customFormat="1" ht="19.5" customHeight="1">
      <c r="A27" s="3088"/>
      <c r="B27" s="3088"/>
      <c r="C27" s="907" t="s">
        <v>533</v>
      </c>
      <c r="D27" s="908"/>
      <c r="E27" s="906">
        <v>0.9</v>
      </c>
      <c r="F27" s="909" t="s">
        <v>534</v>
      </c>
      <c r="G27" s="910"/>
      <c r="H27" s="902"/>
      <c r="I27" s="902"/>
    </row>
    <row r="28" spans="1:9" s="911" customFormat="1" ht="19.5" customHeight="1">
      <c r="A28" s="3088"/>
      <c r="B28" s="3088"/>
      <c r="C28" s="907" t="s">
        <v>535</v>
      </c>
      <c r="D28" s="908"/>
      <c r="E28" s="906">
        <v>0.9</v>
      </c>
      <c r="F28" s="909" t="s">
        <v>536</v>
      </c>
      <c r="G28" s="910"/>
      <c r="H28" s="902"/>
      <c r="I28" s="902"/>
    </row>
    <row r="29" spans="1:9" s="911" customFormat="1" ht="19.5" customHeight="1">
      <c r="A29" s="3088"/>
      <c r="B29" s="3088"/>
      <c r="C29" s="907" t="s">
        <v>537</v>
      </c>
      <c r="D29" s="908"/>
      <c r="E29" s="906">
        <v>0.9</v>
      </c>
      <c r="F29" s="909" t="s">
        <v>538</v>
      </c>
      <c r="G29" s="910"/>
      <c r="H29" s="902"/>
      <c r="I29" s="902"/>
    </row>
    <row r="30" spans="1:9" s="911" customFormat="1" ht="19.5" customHeight="1">
      <c r="A30" s="3088"/>
      <c r="B30" s="3088"/>
      <c r="C30" s="907" t="s">
        <v>539</v>
      </c>
      <c r="D30" s="908"/>
      <c r="E30" s="906">
        <v>0.9</v>
      </c>
      <c r="F30" s="909" t="s">
        <v>540</v>
      </c>
      <c r="G30" s="910"/>
      <c r="H30" s="902"/>
      <c r="I30" s="902"/>
    </row>
    <row r="31" spans="1:9" s="911" customFormat="1" ht="19.5" customHeight="1">
      <c r="A31" s="3088"/>
      <c r="B31" s="3088"/>
      <c r="C31" s="907" t="s">
        <v>541</v>
      </c>
      <c r="D31" s="908"/>
      <c r="E31" s="906">
        <v>0.8</v>
      </c>
      <c r="F31" s="909" t="s">
        <v>542</v>
      </c>
      <c r="G31" s="910"/>
      <c r="H31" s="902"/>
      <c r="I31" s="902"/>
    </row>
    <row r="32" spans="1:9" s="911" customFormat="1" ht="19.5" customHeight="1">
      <c r="A32" s="3088"/>
      <c r="B32" s="3088"/>
      <c r="C32" s="907" t="s">
        <v>543</v>
      </c>
      <c r="D32" s="908"/>
      <c r="E32" s="906">
        <v>0.8</v>
      </c>
      <c r="F32" s="909" t="s">
        <v>544</v>
      </c>
      <c r="G32" s="910"/>
      <c r="H32" s="902"/>
      <c r="I32" s="902"/>
    </row>
    <row r="33" spans="1:9" s="911" customFormat="1" ht="19.5" customHeight="1">
      <c r="A33" s="3088" t="s">
        <v>134</v>
      </c>
      <c r="B33" s="906" t="s">
        <v>517</v>
      </c>
      <c r="C33" s="907" t="s">
        <v>545</v>
      </c>
      <c r="D33" s="908"/>
      <c r="E33" s="906">
        <v>1</v>
      </c>
      <c r="F33" s="909" t="s">
        <v>546</v>
      </c>
      <c r="G33" s="910"/>
      <c r="H33" s="902"/>
      <c r="I33" s="902"/>
    </row>
    <row r="34" spans="1:9" s="911" customFormat="1" ht="19.5" customHeight="1">
      <c r="A34" s="3088"/>
      <c r="B34" s="906" t="s">
        <v>520</v>
      </c>
      <c r="C34" s="907" t="s">
        <v>547</v>
      </c>
      <c r="D34" s="908"/>
      <c r="E34" s="906">
        <v>1.5</v>
      </c>
      <c r="F34" s="909" t="s">
        <v>548</v>
      </c>
      <c r="G34" s="910"/>
      <c r="H34" s="902"/>
      <c r="I34" s="902"/>
    </row>
    <row r="35" spans="1:9" s="911" customFormat="1" ht="19.5" customHeight="1">
      <c r="A35" s="3088" t="s">
        <v>135</v>
      </c>
      <c r="B35" s="906" t="s">
        <v>517</v>
      </c>
      <c r="C35" s="907" t="s">
        <v>549</v>
      </c>
      <c r="D35" s="908"/>
      <c r="E35" s="906">
        <v>1</v>
      </c>
      <c r="F35" s="909" t="s">
        <v>550</v>
      </c>
      <c r="G35" s="910"/>
      <c r="H35" s="902"/>
      <c r="I35" s="902"/>
    </row>
    <row r="36" spans="1:9" s="911" customFormat="1" ht="19.5" customHeight="1">
      <c r="A36" s="3088"/>
      <c r="B36" s="3088" t="s">
        <v>520</v>
      </c>
      <c r="C36" s="907" t="s">
        <v>551</v>
      </c>
      <c r="D36" s="908"/>
      <c r="E36" s="906">
        <v>1</v>
      </c>
      <c r="F36" s="909" t="s">
        <v>552</v>
      </c>
      <c r="G36" s="910"/>
      <c r="H36" s="902"/>
      <c r="I36" s="902"/>
    </row>
    <row r="37" spans="1:9" s="911" customFormat="1" ht="19.5" customHeight="1">
      <c r="A37" s="3088"/>
      <c r="B37" s="3088"/>
      <c r="C37" s="907" t="s">
        <v>553</v>
      </c>
      <c r="D37" s="908"/>
      <c r="E37" s="906">
        <v>1.5</v>
      </c>
      <c r="F37" s="909" t="s">
        <v>554</v>
      </c>
      <c r="G37" s="910"/>
      <c r="H37" s="902"/>
      <c r="I37" s="902"/>
    </row>
    <row r="38" spans="1:9" s="911" customFormat="1" ht="19.5" customHeight="1">
      <c r="A38" s="3088"/>
      <c r="B38" s="3088"/>
      <c r="C38" s="907" t="s">
        <v>555</v>
      </c>
      <c r="D38" s="908"/>
      <c r="E38" s="906">
        <v>1</v>
      </c>
      <c r="F38" s="909" t="s">
        <v>556</v>
      </c>
      <c r="G38" s="910"/>
      <c r="H38" s="902"/>
      <c r="I38" s="902"/>
    </row>
    <row r="39" spans="1:9" s="911" customFormat="1" ht="19.5" customHeight="1">
      <c r="A39" s="3088"/>
      <c r="B39" s="3088"/>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4.4">
      <c r="A60" s="969"/>
      <c r="B60" s="969"/>
      <c r="C60" s="969" t="s">
        <v>702</v>
      </c>
      <c r="D60" s="969"/>
      <c r="E60" s="919" t="s">
        <v>1</v>
      </c>
      <c r="F60" s="969" t="s">
        <v>1</v>
      </c>
    </row>
    <row r="61" spans="1:8" s="902" customFormat="1" ht="36">
      <c r="A61" s="906">
        <v>1</v>
      </c>
      <c r="B61" s="3088" t="s">
        <v>571</v>
      </c>
      <c r="C61" s="820" t="s">
        <v>572</v>
      </c>
      <c r="D61" s="820" t="s">
        <v>573</v>
      </c>
      <c r="E61" s="919">
        <v>0.5</v>
      </c>
      <c r="F61" s="906">
        <v>80</v>
      </c>
    </row>
    <row r="62" spans="1:8" s="902" customFormat="1" ht="36">
      <c r="A62" s="906">
        <v>2</v>
      </c>
      <c r="B62" s="3088"/>
      <c r="C62" s="820" t="s">
        <v>574</v>
      </c>
      <c r="D62" s="820" t="s">
        <v>575</v>
      </c>
      <c r="E62" s="919">
        <v>0.5</v>
      </c>
      <c r="F62" s="906">
        <v>80</v>
      </c>
    </row>
    <row r="63" spans="1:8" s="902" customFormat="1" ht="48">
      <c r="A63" s="906">
        <v>3</v>
      </c>
      <c r="B63" s="3088"/>
      <c r="C63" s="820" t="s">
        <v>576</v>
      </c>
      <c r="D63" s="820" t="s">
        <v>577</v>
      </c>
      <c r="E63" s="919">
        <v>0.5</v>
      </c>
      <c r="F63" s="906">
        <v>80</v>
      </c>
    </row>
    <row r="64" spans="1:8" s="902" customFormat="1" ht="48">
      <c r="A64" s="906">
        <v>4</v>
      </c>
      <c r="B64" s="3088"/>
      <c r="C64" s="820" t="s">
        <v>578</v>
      </c>
      <c r="D64" s="820" t="s">
        <v>579</v>
      </c>
      <c r="E64" s="919">
        <v>0.4</v>
      </c>
      <c r="F64" s="906">
        <v>60</v>
      </c>
    </row>
    <row r="65" spans="1:6" s="902" customFormat="1" ht="48">
      <c r="A65" s="906">
        <v>5</v>
      </c>
      <c r="B65" s="3088"/>
      <c r="C65" s="820" t="s">
        <v>580</v>
      </c>
      <c r="D65" s="820" t="s">
        <v>581</v>
      </c>
      <c r="E65" s="919">
        <v>0.2</v>
      </c>
      <c r="F65" s="906">
        <v>30</v>
      </c>
    </row>
    <row r="66" spans="1:6" s="902" customFormat="1" ht="48">
      <c r="A66" s="906">
        <v>6</v>
      </c>
      <c r="B66" s="3088"/>
      <c r="C66" s="820" t="s">
        <v>582</v>
      </c>
      <c r="D66" s="820" t="s">
        <v>583</v>
      </c>
      <c r="E66" s="919">
        <v>0.3</v>
      </c>
      <c r="F66" s="906">
        <v>50</v>
      </c>
    </row>
    <row r="67" spans="1:6" s="902" customFormat="1" ht="48">
      <c r="A67" s="906">
        <v>7</v>
      </c>
      <c r="B67" s="3088"/>
      <c r="C67" s="820" t="s">
        <v>584</v>
      </c>
      <c r="D67" s="820" t="s">
        <v>585</v>
      </c>
      <c r="E67" s="919">
        <v>0.2</v>
      </c>
      <c r="F67" s="906">
        <v>30</v>
      </c>
    </row>
    <row r="68" spans="1:6" s="902" customFormat="1" ht="48">
      <c r="A68" s="906">
        <v>8</v>
      </c>
      <c r="B68" s="3088"/>
      <c r="C68" s="820" t="s">
        <v>586</v>
      </c>
      <c r="D68" s="820" t="s">
        <v>587</v>
      </c>
      <c r="E68" s="919">
        <v>0.2</v>
      </c>
      <c r="F68" s="906">
        <v>30</v>
      </c>
    </row>
    <row r="69" spans="1:6" s="902" customFormat="1" ht="48">
      <c r="A69" s="906">
        <v>9</v>
      </c>
      <c r="B69" s="3088"/>
      <c r="C69" s="820" t="s">
        <v>588</v>
      </c>
      <c r="D69" s="820" t="s">
        <v>589</v>
      </c>
      <c r="E69" s="919">
        <v>0.2</v>
      </c>
      <c r="F69" s="906">
        <v>30</v>
      </c>
    </row>
    <row r="70" spans="1:6" s="902" customFormat="1" ht="60">
      <c r="A70" s="906">
        <v>10</v>
      </c>
      <c r="B70" s="3088"/>
      <c r="C70" s="820" t="s">
        <v>590</v>
      </c>
      <c r="D70" s="820" t="s">
        <v>591</v>
      </c>
      <c r="E70" s="919">
        <v>0.2</v>
      </c>
      <c r="F70" s="906">
        <v>30</v>
      </c>
    </row>
    <row r="71" spans="1:6" s="902" customFormat="1" ht="60">
      <c r="A71" s="906">
        <v>11</v>
      </c>
      <c r="B71" s="3088"/>
      <c r="C71" s="820" t="s">
        <v>592</v>
      </c>
      <c r="D71" s="820" t="s">
        <v>593</v>
      </c>
      <c r="E71" s="919">
        <v>0.2</v>
      </c>
      <c r="F71" s="906">
        <v>30</v>
      </c>
    </row>
    <row r="72" spans="1:6" s="902" customFormat="1" ht="36">
      <c r="A72" s="906">
        <v>12</v>
      </c>
      <c r="B72" s="3088"/>
      <c r="C72" s="820" t="s">
        <v>594</v>
      </c>
      <c r="D72" s="820" t="s">
        <v>595</v>
      </c>
      <c r="E72" s="919">
        <v>0.5</v>
      </c>
      <c r="F72" s="906">
        <v>80</v>
      </c>
    </row>
    <row r="73" spans="1:6" s="902" customFormat="1" ht="36">
      <c r="A73" s="906">
        <v>13</v>
      </c>
      <c r="B73" s="3088"/>
      <c r="C73" s="820" t="s">
        <v>596</v>
      </c>
      <c r="D73" s="820" t="s">
        <v>597</v>
      </c>
      <c r="E73" s="919">
        <v>0.4</v>
      </c>
      <c r="F73" s="906">
        <v>60</v>
      </c>
    </row>
    <row r="74" spans="1:6" s="902" customFormat="1" ht="36">
      <c r="A74" s="906">
        <v>14</v>
      </c>
      <c r="B74" s="3088"/>
      <c r="C74" s="820" t="s">
        <v>598</v>
      </c>
      <c r="D74" s="820" t="s">
        <v>599</v>
      </c>
      <c r="E74" s="919">
        <v>0.2</v>
      </c>
      <c r="F74" s="906">
        <v>30</v>
      </c>
    </row>
    <row r="75" spans="1:6" s="902" customFormat="1" ht="36">
      <c r="A75" s="906">
        <v>15</v>
      </c>
      <c r="B75" s="3088"/>
      <c r="C75" s="820" t="s">
        <v>600</v>
      </c>
      <c r="D75" s="820" t="s">
        <v>601</v>
      </c>
      <c r="E75" s="919">
        <v>0.2</v>
      </c>
      <c r="F75" s="906">
        <v>30</v>
      </c>
    </row>
    <row r="76" spans="1:6" s="902" customFormat="1" ht="36">
      <c r="A76" s="906">
        <v>16</v>
      </c>
      <c r="B76" s="3088" t="s">
        <v>602</v>
      </c>
      <c r="C76" s="820" t="s">
        <v>603</v>
      </c>
      <c r="D76" s="820" t="s">
        <v>604</v>
      </c>
      <c r="E76" s="919">
        <v>0.5</v>
      </c>
      <c r="F76" s="906">
        <v>80</v>
      </c>
    </row>
    <row r="77" spans="1:6" s="902" customFormat="1" ht="36">
      <c r="A77" s="906">
        <v>17</v>
      </c>
      <c r="B77" s="3088"/>
      <c r="C77" s="820" t="s">
        <v>605</v>
      </c>
      <c r="D77" s="820" t="s">
        <v>606</v>
      </c>
      <c r="E77" s="919">
        <v>0.5</v>
      </c>
      <c r="F77" s="906">
        <v>80</v>
      </c>
    </row>
    <row r="78" spans="1:6" s="902" customFormat="1" ht="36">
      <c r="A78" s="906">
        <v>18</v>
      </c>
      <c r="B78" s="3088"/>
      <c r="C78" s="820" t="s">
        <v>607</v>
      </c>
      <c r="D78" s="820" t="s">
        <v>608</v>
      </c>
      <c r="E78" s="919">
        <v>0.2</v>
      </c>
      <c r="F78" s="906">
        <v>30</v>
      </c>
    </row>
    <row r="79" spans="1:6" s="902" customFormat="1" ht="36">
      <c r="A79" s="906">
        <v>19</v>
      </c>
      <c r="B79" s="3088"/>
      <c r="C79" s="820" t="s">
        <v>609</v>
      </c>
      <c r="D79" s="820" t="s">
        <v>610</v>
      </c>
      <c r="E79" s="919">
        <v>0.5</v>
      </c>
      <c r="F79" s="906">
        <v>80</v>
      </c>
    </row>
    <row r="80" spans="1:6" s="902" customFormat="1" ht="36">
      <c r="A80" s="906">
        <v>20</v>
      </c>
      <c r="B80" s="3088"/>
      <c r="C80" s="820" t="s">
        <v>611</v>
      </c>
      <c r="D80" s="820" t="s">
        <v>612</v>
      </c>
      <c r="E80" s="919">
        <v>0.2</v>
      </c>
      <c r="F80" s="906">
        <v>30</v>
      </c>
    </row>
    <row r="81" spans="1:6" s="902" customFormat="1" ht="36">
      <c r="A81" s="906">
        <v>21</v>
      </c>
      <c r="B81" s="3088"/>
      <c r="C81" s="820" t="s">
        <v>613</v>
      </c>
      <c r="D81" s="820" t="s">
        <v>614</v>
      </c>
      <c r="E81" s="919">
        <v>0.2</v>
      </c>
      <c r="F81" s="906">
        <v>30</v>
      </c>
    </row>
    <row r="82" spans="1:6" s="902" customFormat="1" ht="60">
      <c r="A82" s="906">
        <v>22</v>
      </c>
      <c r="B82" s="3088"/>
      <c r="C82" s="820" t="s">
        <v>615</v>
      </c>
      <c r="D82" s="820" t="s">
        <v>616</v>
      </c>
      <c r="E82" s="919">
        <v>0.2</v>
      </c>
      <c r="F82" s="906">
        <v>30</v>
      </c>
    </row>
    <row r="83" spans="1:6" s="902" customFormat="1" ht="60">
      <c r="A83" s="906">
        <v>23</v>
      </c>
      <c r="B83" s="3088"/>
      <c r="C83" s="820" t="s">
        <v>617</v>
      </c>
      <c r="D83" s="820" t="s">
        <v>618</v>
      </c>
      <c r="E83" s="919">
        <v>0.2</v>
      </c>
      <c r="F83" s="906">
        <v>30</v>
      </c>
    </row>
    <row r="84" spans="1:6" s="902" customFormat="1" ht="48">
      <c r="A84" s="906">
        <v>24</v>
      </c>
      <c r="B84" s="3088"/>
      <c r="C84" s="820" t="s">
        <v>619</v>
      </c>
      <c r="D84" s="820" t="s">
        <v>620</v>
      </c>
      <c r="E84" s="919">
        <v>0.2</v>
      </c>
      <c r="F84" s="906">
        <v>30</v>
      </c>
    </row>
    <row r="85" spans="1:6" s="902" customFormat="1" ht="36">
      <c r="A85" s="906">
        <v>25</v>
      </c>
      <c r="B85" s="3088"/>
      <c r="C85" s="820" t="s">
        <v>621</v>
      </c>
      <c r="D85" s="820" t="s">
        <v>622</v>
      </c>
      <c r="E85" s="919">
        <v>0.5</v>
      </c>
      <c r="F85" s="906">
        <v>80</v>
      </c>
    </row>
    <row r="86" spans="1:6" s="902" customFormat="1" ht="36">
      <c r="A86" s="906">
        <v>26</v>
      </c>
      <c r="B86" s="3088"/>
      <c r="C86" s="820" t="s">
        <v>623</v>
      </c>
      <c r="D86" s="820" t="s">
        <v>624</v>
      </c>
      <c r="E86" s="919">
        <v>0.2</v>
      </c>
      <c r="F86" s="906">
        <v>30</v>
      </c>
    </row>
    <row r="87" spans="1:6" s="902" customFormat="1" ht="36">
      <c r="A87" s="906">
        <v>27</v>
      </c>
      <c r="B87" s="3088"/>
      <c r="C87" s="820" t="s">
        <v>625</v>
      </c>
      <c r="D87" s="820" t="s">
        <v>626</v>
      </c>
      <c r="E87" s="919">
        <v>0.2</v>
      </c>
      <c r="F87" s="906">
        <v>30</v>
      </c>
    </row>
    <row r="88" spans="1:6" s="902" customFormat="1" ht="36">
      <c r="A88" s="906">
        <v>28</v>
      </c>
      <c r="B88" s="3088"/>
      <c r="C88" s="820" t="s">
        <v>627</v>
      </c>
      <c r="D88" s="820" t="s">
        <v>628</v>
      </c>
      <c r="E88" s="919">
        <v>0.2</v>
      </c>
      <c r="F88" s="906">
        <v>30</v>
      </c>
    </row>
    <row r="89" spans="1:6" s="902" customFormat="1" ht="36">
      <c r="A89" s="906">
        <v>29</v>
      </c>
      <c r="B89" s="3088"/>
      <c r="C89" s="820" t="s">
        <v>629</v>
      </c>
      <c r="D89" s="820" t="s">
        <v>630</v>
      </c>
      <c r="E89" s="919">
        <v>0.2</v>
      </c>
      <c r="F89" s="906">
        <v>30</v>
      </c>
    </row>
    <row r="90" spans="1:6" s="902" customFormat="1" ht="36">
      <c r="A90" s="906">
        <v>30</v>
      </c>
      <c r="B90" s="3088"/>
      <c r="C90" s="820" t="s">
        <v>631</v>
      </c>
      <c r="D90" s="820" t="s">
        <v>632</v>
      </c>
      <c r="E90" s="919">
        <v>0.2</v>
      </c>
      <c r="F90" s="906">
        <v>30</v>
      </c>
    </row>
    <row r="91" spans="1:6" s="902" customFormat="1" ht="48">
      <c r="A91" s="906">
        <v>31</v>
      </c>
      <c r="B91" s="3088"/>
      <c r="C91" s="820" t="s">
        <v>633</v>
      </c>
      <c r="D91" s="820" t="s">
        <v>634</v>
      </c>
      <c r="E91" s="919">
        <v>0.2</v>
      </c>
      <c r="F91" s="906">
        <v>30</v>
      </c>
    </row>
    <row r="92" spans="1:6" s="902" customFormat="1" ht="36">
      <c r="A92" s="906">
        <v>32</v>
      </c>
      <c r="B92" s="3088" t="s">
        <v>635</v>
      </c>
      <c r="C92" s="906" t="s">
        <v>636</v>
      </c>
      <c r="D92" s="820" t="s">
        <v>637</v>
      </c>
      <c r="E92" s="919">
        <v>0.2</v>
      </c>
      <c r="F92" s="906">
        <v>30</v>
      </c>
    </row>
    <row r="93" spans="1:6" s="902" customFormat="1" ht="36">
      <c r="A93" s="906">
        <v>33</v>
      </c>
      <c r="B93" s="3088"/>
      <c r="C93" s="906" t="s">
        <v>638</v>
      </c>
      <c r="D93" s="820" t="s">
        <v>639</v>
      </c>
      <c r="E93" s="919">
        <v>0.2</v>
      </c>
      <c r="F93" s="906">
        <v>30</v>
      </c>
    </row>
    <row r="94" spans="1:6" s="902" customFormat="1" ht="60">
      <c r="A94" s="906">
        <v>34</v>
      </c>
      <c r="B94" s="3088"/>
      <c r="C94" s="906" t="s">
        <v>640</v>
      </c>
      <c r="D94" s="820" t="s">
        <v>641</v>
      </c>
      <c r="E94" s="919">
        <v>0.2</v>
      </c>
      <c r="F94" s="906">
        <v>30</v>
      </c>
    </row>
    <row r="95" spans="1:6" s="902" customFormat="1" ht="48">
      <c r="A95" s="906">
        <v>35</v>
      </c>
      <c r="B95" s="3088"/>
      <c r="C95" s="906" t="s">
        <v>642</v>
      </c>
      <c r="D95" s="820" t="s">
        <v>643</v>
      </c>
      <c r="E95" s="919">
        <v>0.2</v>
      </c>
      <c r="F95" s="906">
        <v>30</v>
      </c>
    </row>
    <row r="96" spans="1:6" s="902" customFormat="1" ht="72">
      <c r="A96" s="906">
        <v>36</v>
      </c>
      <c r="B96" s="3088"/>
      <c r="C96" s="820" t="s">
        <v>644</v>
      </c>
      <c r="D96" s="820" t="s">
        <v>645</v>
      </c>
      <c r="E96" s="919">
        <v>0.2</v>
      </c>
      <c r="F96" s="906">
        <v>30</v>
      </c>
    </row>
    <row r="97" spans="1:6" s="902" customFormat="1" ht="36">
      <c r="A97" s="906">
        <v>37</v>
      </c>
      <c r="B97" s="3088"/>
      <c r="C97" s="906" t="s">
        <v>646</v>
      </c>
      <c r="D97" s="820" t="s">
        <v>647</v>
      </c>
      <c r="E97" s="919">
        <v>0.2</v>
      </c>
      <c r="F97" s="906">
        <v>30</v>
      </c>
    </row>
    <row r="98" spans="1:6" s="902" customFormat="1" ht="36">
      <c r="A98" s="906">
        <v>38</v>
      </c>
      <c r="B98" s="3088"/>
      <c r="C98" s="906" t="s">
        <v>648</v>
      </c>
      <c r="D98" s="820" t="s">
        <v>649</v>
      </c>
      <c r="E98" s="919">
        <v>0.2</v>
      </c>
      <c r="F98" s="906">
        <v>30</v>
      </c>
    </row>
    <row r="99" spans="1:6" s="902" customFormat="1" ht="36">
      <c r="A99" s="906">
        <v>39</v>
      </c>
      <c r="B99" s="3088" t="s">
        <v>650</v>
      </c>
      <c r="C99" s="906" t="s">
        <v>651</v>
      </c>
      <c r="D99" s="820" t="s">
        <v>652</v>
      </c>
      <c r="E99" s="919">
        <v>0.3</v>
      </c>
      <c r="F99" s="906">
        <v>50</v>
      </c>
    </row>
    <row r="100" spans="1:6" s="902" customFormat="1" ht="36">
      <c r="A100" s="906">
        <v>40</v>
      </c>
      <c r="B100" s="3088"/>
      <c r="C100" s="906" t="s">
        <v>653</v>
      </c>
      <c r="D100" s="820" t="s">
        <v>654</v>
      </c>
      <c r="E100" s="919">
        <v>0.2</v>
      </c>
      <c r="F100" s="906">
        <v>30</v>
      </c>
    </row>
    <row r="101" spans="1:6" s="902" customFormat="1" ht="36">
      <c r="A101" s="906">
        <v>41</v>
      </c>
      <c r="B101" s="3088"/>
      <c r="C101" s="906" t="s">
        <v>655</v>
      </c>
      <c r="D101" s="820" t="s">
        <v>652</v>
      </c>
      <c r="E101" s="919">
        <v>0.2</v>
      </c>
      <c r="F101" s="906">
        <v>30</v>
      </c>
    </row>
    <row r="102" spans="1:6" s="902" customFormat="1" ht="72">
      <c r="A102" s="906">
        <v>42</v>
      </c>
      <c r="B102" s="906" t="s">
        <v>656</v>
      </c>
      <c r="C102" s="820" t="s">
        <v>657</v>
      </c>
      <c r="D102" s="820" t="s">
        <v>658</v>
      </c>
      <c r="E102" s="919">
        <v>0.2</v>
      </c>
      <c r="F102" s="906">
        <v>30</v>
      </c>
    </row>
    <row r="103" spans="1:6" s="902" customFormat="1" ht="36">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48">
      <c r="A105" s="906">
        <v>45</v>
      </c>
      <c r="B105" s="3088" t="s">
        <v>665</v>
      </c>
      <c r="C105" s="906" t="s">
        <v>666</v>
      </c>
      <c r="D105" s="820" t="s">
        <v>667</v>
      </c>
      <c r="E105" s="919">
        <v>0.2</v>
      </c>
      <c r="F105" s="906">
        <v>30</v>
      </c>
    </row>
    <row r="106" spans="1:6" s="902" customFormat="1" ht="48">
      <c r="A106" s="906">
        <v>46</v>
      </c>
      <c r="B106" s="3088"/>
      <c r="C106" s="906" t="s">
        <v>668</v>
      </c>
      <c r="D106" s="820" t="s">
        <v>669</v>
      </c>
      <c r="E106" s="919">
        <v>0.2</v>
      </c>
      <c r="F106" s="906">
        <v>30</v>
      </c>
    </row>
    <row r="107" spans="1:6" s="902" customFormat="1" ht="36">
      <c r="A107" s="906">
        <v>47</v>
      </c>
      <c r="B107" s="3088" t="s">
        <v>670</v>
      </c>
      <c r="C107" s="906" t="s">
        <v>671</v>
      </c>
      <c r="D107" s="820" t="s">
        <v>672</v>
      </c>
      <c r="E107" s="919">
        <v>0.3</v>
      </c>
      <c r="F107" s="906">
        <v>50</v>
      </c>
    </row>
    <row r="108" spans="1:6" s="902" customFormat="1" ht="48">
      <c r="A108" s="906">
        <v>48</v>
      </c>
      <c r="B108" s="3088"/>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48">
      <c r="A110" s="906">
        <v>50</v>
      </c>
      <c r="B110" s="906" t="s">
        <v>678</v>
      </c>
      <c r="C110" s="906" t="s">
        <v>679</v>
      </c>
      <c r="D110" s="820" t="s">
        <v>680</v>
      </c>
      <c r="E110" s="919">
        <v>0.2</v>
      </c>
      <c r="F110" s="906">
        <v>30</v>
      </c>
    </row>
    <row r="111" spans="1:6" s="902" customFormat="1" ht="48">
      <c r="A111" s="906">
        <v>51</v>
      </c>
      <c r="B111" s="3088" t="s">
        <v>681</v>
      </c>
      <c r="C111" s="906" t="s">
        <v>682</v>
      </c>
      <c r="D111" s="820" t="s">
        <v>683</v>
      </c>
      <c r="E111" s="919">
        <v>0.2</v>
      </c>
      <c r="F111" s="906">
        <v>30</v>
      </c>
    </row>
    <row r="112" spans="1:6" s="902" customFormat="1" ht="36">
      <c r="A112" s="906">
        <v>52</v>
      </c>
      <c r="B112" s="3088"/>
      <c r="C112" s="906" t="s">
        <v>684</v>
      </c>
      <c r="D112" s="820" t="s">
        <v>685</v>
      </c>
      <c r="E112" s="919">
        <v>0.2</v>
      </c>
      <c r="F112" s="906">
        <v>30</v>
      </c>
    </row>
    <row r="113" spans="1:6" s="902" customFormat="1" ht="36">
      <c r="A113" s="906">
        <v>53</v>
      </c>
      <c r="B113" s="3088"/>
      <c r="C113" s="906" t="s">
        <v>686</v>
      </c>
      <c r="D113" s="820" t="s">
        <v>687</v>
      </c>
      <c r="E113" s="919">
        <v>0.2</v>
      </c>
      <c r="F113" s="906">
        <v>30</v>
      </c>
    </row>
    <row r="114" spans="1:6" ht="48">
      <c r="A114" s="906">
        <v>54</v>
      </c>
      <c r="B114" s="906" t="s">
        <v>688</v>
      </c>
      <c r="C114" s="906" t="s">
        <v>689</v>
      </c>
      <c r="D114" s="820" t="s">
        <v>690</v>
      </c>
      <c r="E114" s="919">
        <v>0.2</v>
      </c>
      <c r="F114" s="906">
        <v>30</v>
      </c>
    </row>
    <row r="115" spans="1:6" ht="36">
      <c r="A115" s="906">
        <v>55</v>
      </c>
      <c r="B115" s="906" t="s">
        <v>691</v>
      </c>
      <c r="C115" s="906" t="s">
        <v>692</v>
      </c>
      <c r="D115" s="820" t="s">
        <v>693</v>
      </c>
      <c r="E115" s="919">
        <v>0.2</v>
      </c>
      <c r="F115" s="906">
        <v>30</v>
      </c>
    </row>
    <row r="116" spans="1:6" ht="36">
      <c r="A116" s="906">
        <v>56</v>
      </c>
      <c r="B116" s="3088" t="s">
        <v>694</v>
      </c>
      <c r="C116" s="906" t="s">
        <v>695</v>
      </c>
      <c r="D116" s="820" t="s">
        <v>696</v>
      </c>
      <c r="E116" s="919">
        <v>0.2</v>
      </c>
      <c r="F116" s="906">
        <v>30</v>
      </c>
    </row>
    <row r="117" spans="1:6" ht="36">
      <c r="A117" s="906">
        <v>57</v>
      </c>
      <c r="B117" s="3088"/>
      <c r="C117" s="906" t="s">
        <v>697</v>
      </c>
      <c r="D117" s="820" t="s">
        <v>698</v>
      </c>
      <c r="E117" s="919">
        <v>0.2</v>
      </c>
      <c r="F117" s="906">
        <v>30</v>
      </c>
    </row>
    <row r="118" spans="1:6" ht="36">
      <c r="A118" s="906">
        <v>58</v>
      </c>
      <c r="B118" s="906" t="s">
        <v>699</v>
      </c>
      <c r="C118" s="906" t="s">
        <v>700</v>
      </c>
      <c r="D118" s="820" t="s">
        <v>701</v>
      </c>
      <c r="E118" s="919">
        <v>0.2</v>
      </c>
      <c r="F118" s="906">
        <v>30</v>
      </c>
    </row>
    <row r="119" spans="1:6" ht="14.4">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939"/>
    <col min="2" max="16384" width="9" style="922"/>
  </cols>
  <sheetData>
    <row r="1" spans="1:14" ht="15.6">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5.6">
      <c r="A103" s="920" t="s">
        <v>705</v>
      </c>
      <c r="B103" s="921"/>
      <c r="C103" s="921"/>
      <c r="D103" s="921"/>
      <c r="E103" s="921"/>
      <c r="F103" s="921"/>
      <c r="G103" s="921"/>
      <c r="H103" s="921"/>
      <c r="I103" s="921"/>
      <c r="J103" s="921"/>
      <c r="K103" s="921"/>
      <c r="L103" s="921"/>
      <c r="M103" s="921"/>
      <c r="N103" s="921"/>
    </row>
    <row r="104" spans="1:14" ht="15.6">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5.6">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5.6">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ColWidth="9" defaultRowHeight="13.2"/>
  <cols>
    <col min="1" max="1" width="9" style="1573"/>
    <col min="2" max="6" width="9" style="1573" customWidth="1"/>
    <col min="7" max="7" width="9" style="1588"/>
    <col min="8" max="8" width="9" style="1573"/>
    <col min="9" max="12" width="9" style="1573" customWidth="1"/>
    <col min="13" max="13" width="2.21875" style="1573" customWidth="1"/>
    <col min="14" max="14" width="9" style="1588" customWidth="1"/>
    <col min="15" max="17" width="9" style="1573" customWidth="1"/>
    <col min="18" max="18" width="2.33203125" style="1573" customWidth="1"/>
    <col min="19" max="19" width="7.109375" style="1588" customWidth="1"/>
    <col min="20" max="22" width="7.109375" style="1573" customWidth="1"/>
    <col min="23" max="23" width="23.88671875" style="1573" customWidth="1"/>
    <col min="24" max="25" width="9" style="1573"/>
    <col min="26" max="27" width="11.6640625" style="1573" customWidth="1"/>
    <col min="28" max="28" width="9" style="1573"/>
    <col min="29" max="29" width="2" style="1573" customWidth="1"/>
    <col min="30" max="16384" width="9" style="1573"/>
  </cols>
  <sheetData>
    <row r="1" spans="1:34" s="1546" customFormat="1">
      <c r="B1" s="3094" t="s">
        <v>1033</v>
      </c>
      <c r="C1" s="3094"/>
      <c r="D1" s="3094"/>
      <c r="E1" s="3094"/>
      <c r="F1" s="3094"/>
      <c r="G1" s="3093" t="s">
        <v>1034</v>
      </c>
      <c r="H1" s="3093"/>
      <c r="I1" s="3093"/>
      <c r="J1" s="3093"/>
      <c r="K1" s="3093"/>
      <c r="L1" s="3093"/>
      <c r="N1" s="3093" t="s">
        <v>1035</v>
      </c>
      <c r="O1" s="3093"/>
      <c r="P1" s="3093"/>
      <c r="Q1" s="3093"/>
      <c r="R1" s="1547"/>
      <c r="S1" s="3093" t="s">
        <v>1036</v>
      </c>
      <c r="T1" s="3093"/>
      <c r="U1" s="3093"/>
      <c r="V1" s="3093"/>
      <c r="X1" s="3092" t="s">
        <v>1037</v>
      </c>
      <c r="Y1" s="3093"/>
      <c r="Z1" s="3093"/>
      <c r="AA1" s="3093"/>
      <c r="AB1" s="3093"/>
      <c r="AD1" s="3092" t="s">
        <v>1038</v>
      </c>
      <c r="AE1" s="3093"/>
      <c r="AF1" s="3093"/>
      <c r="AG1" s="3093"/>
      <c r="AH1" s="3093"/>
    </row>
    <row r="2" spans="1:34" s="1548" customFormat="1" ht="1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20" customFormat="1" ht="14.4">
      <c r="A3" s="2731" t="s">
        <v>2809</v>
      </c>
      <c r="B3" s="2721"/>
      <c r="C3" s="2721"/>
      <c r="D3" s="2722"/>
      <c r="E3" s="2722"/>
      <c r="F3" s="2721"/>
      <c r="G3" s="2723"/>
      <c r="H3" s="2724"/>
      <c r="I3" s="2725">
        <f>ROUND(AVERAGE(I4:I20),2)</f>
        <v>2.2599999999999998</v>
      </c>
      <c r="J3" s="2725">
        <f>ROUND(AVERAGE(J4:J20),2)</f>
        <v>1.46</v>
      </c>
      <c r="K3" s="2725">
        <f>ROUND(AVERAGE(K4:K20),2)</f>
        <v>2.5099999999999998</v>
      </c>
      <c r="L3" s="2726">
        <f>ROUND(AVERAGE(L4:L20),2)</f>
        <v>1.45</v>
      </c>
      <c r="N3" s="2723"/>
      <c r="O3" s="2727"/>
      <c r="P3" s="2727"/>
      <c r="Q3" s="2727"/>
      <c r="R3" s="2727"/>
      <c r="S3" s="2723"/>
      <c r="T3" s="2727"/>
      <c r="U3" s="2727"/>
      <c r="V3" s="2727"/>
      <c r="W3" s="2730"/>
      <c r="X3" s="2728">
        <f>ROUND(SUMPRODUCT(PRODUCT(1+N3:N$22)),4)</f>
        <v>1.4733000000000001</v>
      </c>
      <c r="Y3" s="2728">
        <f>ROUND(SUMPRODUCT(PRODUCT(1+O3:O$22)),4)</f>
        <v>1.3052999999999999</v>
      </c>
      <c r="Z3" s="2728">
        <f t="shared" ref="Z3:Z20" si="0">Y3</f>
        <v>1.3052999999999999</v>
      </c>
      <c r="AA3" s="2728">
        <f>ROUND(SUMPRODUCT(PRODUCT(1+P3:P$22)),4)</f>
        <v>1.5306999999999999</v>
      </c>
      <c r="AB3" s="2728">
        <f>ROUND(SUMPRODUCT(PRODUCT(1+Q3:Q$22)),4)</f>
        <v>1.2863</v>
      </c>
      <c r="AD3" s="2729">
        <f>ROUND(AVERAGE(I3:I$23)/100,4)</f>
        <v>2.23E-2</v>
      </c>
      <c r="AE3" s="2729">
        <f>ROUND(AVERAGE(J3:J$23)/100,4)</f>
        <v>1.5299999999999999E-2</v>
      </c>
      <c r="AF3" s="2729">
        <f t="shared" ref="AF3:AF11" si="1">AE3</f>
        <v>1.5299999999999999E-2</v>
      </c>
      <c r="AG3" s="2729">
        <f>ROUND(AVERAGE(K3:K$23)/100,4)</f>
        <v>2.46E-2</v>
      </c>
      <c r="AH3" s="2729">
        <f>ROUND(AVERAGE(L3:L$23)/100,4)</f>
        <v>1.41E-2</v>
      </c>
    </row>
    <row r="4" spans="1:34" s="1554" customFormat="1" ht="14.4">
      <c r="B4" s="1555"/>
      <c r="C4" s="1555"/>
      <c r="D4" s="1556"/>
      <c r="E4" s="1556"/>
      <c r="F4" s="1555"/>
      <c r="G4" s="1557"/>
      <c r="H4" s="1558"/>
      <c r="I4" s="2712"/>
      <c r="J4" s="2712"/>
      <c r="K4" s="2712"/>
      <c r="L4" s="2712"/>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2816</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3">
        <v>2018</v>
      </c>
      <c r="H5" s="1820">
        <v>3</v>
      </c>
      <c r="I5" s="2713">
        <v>1.49</v>
      </c>
      <c r="J5" s="2713">
        <v>0.96</v>
      </c>
      <c r="K5" s="2713">
        <v>1.58</v>
      </c>
      <c r="L5" s="2714">
        <v>2.44</v>
      </c>
      <c r="N5" s="1569">
        <f>I5/100</f>
        <v>1.49E-2</v>
      </c>
      <c r="O5" s="1569">
        <f t="shared" ref="O5" si="6">J5/100</f>
        <v>9.5999999999999992E-3</v>
      </c>
      <c r="P5" s="1569">
        <f t="shared" ref="P5" si="7">K5/100</f>
        <v>1.5800000000000002E-2</v>
      </c>
      <c r="Q5" s="1569">
        <f t="shared" ref="Q5" si="8">L5/100</f>
        <v>2.4399999999999998E-2</v>
      </c>
      <c r="R5" s="1822"/>
      <c r="S5" s="1823"/>
      <c r="T5" s="1822"/>
      <c r="U5" s="1822"/>
      <c r="V5" s="1822"/>
      <c r="W5" s="2719" t="s">
        <v>2808</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8" thickBot="1">
      <c r="A6" s="1562" t="s">
        <v>2817</v>
      </c>
      <c r="B6" s="1579">
        <f t="shared" ref="B6:B11" si="11">B7*(1+N6)</f>
        <v>446.46299999999997</v>
      </c>
      <c r="C6" s="1579">
        <f t="shared" ref="C6" si="12">C7*(1+O6)</f>
        <v>333.27840000000003</v>
      </c>
      <c r="D6" s="1579">
        <f t="shared" ref="D6" si="13">C6</f>
        <v>333.27840000000003</v>
      </c>
      <c r="E6" s="1579">
        <f t="shared" ref="E6" si="14">E7*(1+P6)</f>
        <v>637.28279999999995</v>
      </c>
      <c r="F6" s="1579">
        <f t="shared" ref="F6" si="15">F7*(1+Q6)</f>
        <v>288.68830000000003</v>
      </c>
      <c r="G6" s="2711"/>
      <c r="H6" s="1565">
        <v>2</v>
      </c>
      <c r="I6" s="1565">
        <v>0</v>
      </c>
      <c r="J6" s="1565">
        <v>0</v>
      </c>
      <c r="K6" s="1565">
        <v>0</v>
      </c>
      <c r="L6" s="1580">
        <v>0</v>
      </c>
      <c r="M6" s="1573"/>
      <c r="N6" s="1574">
        <f t="shared" ref="N6" si="16">I6/100</f>
        <v>0</v>
      </c>
      <c r="O6" s="1575">
        <f t="shared" ref="O6" si="17">J6/100</f>
        <v>0</v>
      </c>
      <c r="P6" s="1575">
        <f t="shared" ref="P6" si="18">K6/100</f>
        <v>0</v>
      </c>
      <c r="Q6" s="1575">
        <f t="shared" ref="Q6" si="19">L6/100</f>
        <v>0</v>
      </c>
      <c r="R6" s="1573"/>
      <c r="S6" s="1582"/>
      <c r="T6" s="1583"/>
      <c r="U6" s="1583"/>
      <c r="V6" s="1583"/>
      <c r="W6" s="1573"/>
      <c r="X6" s="1560">
        <f>ROUND(SUMPRODUCT(PRODUCT(1+N6:N$22)),4)</f>
        <v>1.4517</v>
      </c>
      <c r="Y6" s="1560">
        <f>ROUND(SUMPRODUCT(PRODUCT(1+O6:O$22)),4)</f>
        <v>1.2928999999999999</v>
      </c>
      <c r="Z6" s="1560">
        <f t="shared" ref="Z6" si="20">Y6</f>
        <v>1.2928999999999999</v>
      </c>
      <c r="AA6" s="1560">
        <f>ROUND(SUMPRODUCT(PRODUCT(1+P6:P$22)),4)</f>
        <v>1.5068999999999999</v>
      </c>
      <c r="AB6" s="1560">
        <f>ROUND(SUMPRODUCT(PRODUCT(1+Q6:Q$22)),4)</f>
        <v>1.2557</v>
      </c>
      <c r="AC6" s="1573"/>
      <c r="AD6" s="1561">
        <f>ROUND(AVERAGE(I6:I$23)/100,4)</f>
        <v>2.2700000000000001E-2</v>
      </c>
      <c r="AE6" s="1561">
        <f>ROUND(AVERAGE(J6:J$23)/100,4)</f>
        <v>1.5699999999999999E-2</v>
      </c>
      <c r="AF6" s="1561">
        <f t="shared" ref="AF6" si="21">AE6</f>
        <v>1.5699999999999999E-2</v>
      </c>
      <c r="AG6" s="1561">
        <f>ROUND(AVERAGE(K6:K$23)/100,4)</f>
        <v>2.5000000000000001E-2</v>
      </c>
      <c r="AH6" s="1561">
        <f>ROUND(AVERAGE(L6:L$23)/100,4)</f>
        <v>1.35E-2</v>
      </c>
    </row>
    <row r="7" spans="1:34" s="1568" customFormat="1" ht="13.8" thickBot="1">
      <c r="A7" s="1562" t="s">
        <v>2813</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1"/>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2810</v>
      </c>
      <c r="B8" s="1571">
        <v>439</v>
      </c>
      <c r="C8" s="1571">
        <v>327</v>
      </c>
      <c r="D8" s="1571">
        <f t="shared" si="23"/>
        <v>327</v>
      </c>
      <c r="E8" s="1571">
        <v>627</v>
      </c>
      <c r="F8" s="1572">
        <v>283</v>
      </c>
      <c r="G8" s="2718">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8" thickBot="1">
      <c r="A9" s="1562" t="s">
        <v>2805</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1"/>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10"/>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8"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1"/>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095">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090"/>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090"/>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8"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091"/>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8" thickBot="1">
      <c r="A16" s="1562" t="s">
        <v>101</v>
      </c>
      <c r="B16" s="1571">
        <v>333</v>
      </c>
      <c r="C16" s="1571">
        <v>277</v>
      </c>
      <c r="D16" s="1571">
        <f t="shared" si="48"/>
        <v>277</v>
      </c>
      <c r="E16" s="1571">
        <v>459</v>
      </c>
      <c r="F16" s="1572">
        <v>249</v>
      </c>
      <c r="G16" s="3089">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090"/>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090"/>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091"/>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8" thickBot="1">
      <c r="A20" s="1562" t="s">
        <v>97</v>
      </c>
      <c r="B20" s="1592">
        <v>318</v>
      </c>
      <c r="C20" s="1592">
        <v>268</v>
      </c>
      <c r="D20" s="1592">
        <f t="shared" si="48"/>
        <v>268</v>
      </c>
      <c r="E20" s="1592">
        <v>437</v>
      </c>
      <c r="F20" s="1593">
        <v>237</v>
      </c>
      <c r="G20" s="3089">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090"/>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8"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090"/>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8"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091"/>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8" thickBot="1">
      <c r="A24" s="1562" t="s">
        <v>1051</v>
      </c>
      <c r="B24" s="1571">
        <v>299</v>
      </c>
      <c r="C24" s="1571">
        <v>252</v>
      </c>
      <c r="D24" s="1571">
        <f t="shared" si="48"/>
        <v>252</v>
      </c>
      <c r="E24" s="1571">
        <v>409</v>
      </c>
      <c r="F24" s="1572">
        <v>227</v>
      </c>
      <c r="G24" s="3096">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097"/>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097"/>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098"/>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8" thickBot="1">
      <c r="A28" s="1562" t="s">
        <v>1055</v>
      </c>
      <c r="B28" s="1613">
        <v>278</v>
      </c>
      <c r="C28" s="1613">
        <v>234</v>
      </c>
      <c r="D28" s="1613">
        <f t="shared" si="48"/>
        <v>234</v>
      </c>
      <c r="E28" s="1613">
        <v>379</v>
      </c>
      <c r="F28" s="1614">
        <v>220</v>
      </c>
      <c r="G28" s="3089">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090"/>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090"/>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8" thickBot="1">
      <c r="A31" s="1562" t="s">
        <v>1058</v>
      </c>
      <c r="B31" s="1579">
        <f>B30/(1+N30)</f>
        <v>275.19025476197027</v>
      </c>
      <c r="C31" s="1615">
        <v>232</v>
      </c>
      <c r="D31" s="1615">
        <f t="shared" si="48"/>
        <v>232</v>
      </c>
      <c r="E31" s="1579">
        <f t="shared" si="59"/>
        <v>375.65990977608692</v>
      </c>
      <c r="F31" s="1579">
        <f t="shared" si="59"/>
        <v>214.12518283971252</v>
      </c>
      <c r="G31" s="3091"/>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8" thickBot="1">
      <c r="A32" s="1562" t="s">
        <v>1059</v>
      </c>
      <c r="B32" s="1571">
        <v>275</v>
      </c>
      <c r="C32" s="1571">
        <v>232</v>
      </c>
      <c r="D32" s="1571">
        <f t="shared" si="48"/>
        <v>232</v>
      </c>
      <c r="E32" s="1571">
        <v>376</v>
      </c>
      <c r="F32" s="1572">
        <v>213</v>
      </c>
      <c r="G32" s="3089">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090">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090">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8"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091">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8" thickBot="1">
      <c r="A36" s="1562" t="s">
        <v>1063</v>
      </c>
      <c r="B36" s="1571">
        <v>269</v>
      </c>
      <c r="C36" s="1571">
        <v>221</v>
      </c>
      <c r="D36" s="1571">
        <f t="shared" si="48"/>
        <v>221</v>
      </c>
      <c r="E36" s="1571">
        <v>373</v>
      </c>
      <c r="F36" s="1572">
        <v>196</v>
      </c>
      <c r="G36" s="3089">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090">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090">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8"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091">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8" thickBot="1">
      <c r="A40" s="1562" t="s">
        <v>1067</v>
      </c>
      <c r="B40" s="1571">
        <v>220</v>
      </c>
      <c r="C40" s="1571">
        <v>187</v>
      </c>
      <c r="D40" s="1571">
        <f t="shared" si="48"/>
        <v>187</v>
      </c>
      <c r="E40" s="1571">
        <v>301</v>
      </c>
      <c r="F40" s="1572">
        <v>168</v>
      </c>
      <c r="G40" s="3089">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090">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090">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091">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8" thickBot="1">
      <c r="A44" s="1562" t="s">
        <v>1071</v>
      </c>
      <c r="B44" s="1613">
        <v>214</v>
      </c>
      <c r="C44" s="1613">
        <v>188</v>
      </c>
      <c r="D44" s="1613">
        <f t="shared" si="48"/>
        <v>188</v>
      </c>
      <c r="E44" s="1613">
        <v>289</v>
      </c>
      <c r="F44" s="1614">
        <v>166</v>
      </c>
      <c r="G44" s="3089">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090">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090">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8"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091">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8" thickBot="1">
      <c r="A48" s="1562" t="s">
        <v>1075</v>
      </c>
      <c r="B48" s="1571">
        <v>188</v>
      </c>
      <c r="C48" s="1571">
        <v>165</v>
      </c>
      <c r="D48" s="1571">
        <f t="shared" si="48"/>
        <v>165</v>
      </c>
      <c r="E48" s="1571">
        <v>254</v>
      </c>
      <c r="F48" s="1572">
        <v>148</v>
      </c>
      <c r="G48" s="3089">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090">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090">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091">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8" thickBot="1">
      <c r="A52" s="1562" t="s">
        <v>1079</v>
      </c>
      <c r="B52" s="1592">
        <v>159</v>
      </c>
      <c r="C52" s="1592">
        <v>141</v>
      </c>
      <c r="D52" s="1592">
        <f t="shared" si="48"/>
        <v>141</v>
      </c>
      <c r="E52" s="1592">
        <v>195</v>
      </c>
      <c r="F52" s="1593">
        <v>122</v>
      </c>
      <c r="G52" s="3089">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090">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090">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091">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8" thickBot="1">
      <c r="A56" s="1562" t="s">
        <v>1083</v>
      </c>
      <c r="B56" s="1592">
        <v>138</v>
      </c>
      <c r="C56" s="1592">
        <v>131</v>
      </c>
      <c r="D56" s="1592">
        <f t="shared" si="48"/>
        <v>131</v>
      </c>
      <c r="E56" s="1592">
        <v>155</v>
      </c>
      <c r="F56" s="1593">
        <v>114</v>
      </c>
      <c r="G56" s="3089">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090">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090">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091">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8" thickBot="1">
      <c r="A60" s="1562" t="s">
        <v>1087</v>
      </c>
      <c r="B60" s="1613">
        <v>121</v>
      </c>
      <c r="C60" s="1613">
        <v>122</v>
      </c>
      <c r="D60" s="1613">
        <f t="shared" si="48"/>
        <v>122</v>
      </c>
      <c r="E60" s="1613">
        <v>124</v>
      </c>
      <c r="F60" s="1614">
        <v>107</v>
      </c>
      <c r="G60" s="3089">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090">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090">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8"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091">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8" thickBot="1">
      <c r="A64" s="1562" t="s">
        <v>1091</v>
      </c>
      <c r="B64" s="1634">
        <v>111</v>
      </c>
      <c r="C64" s="1634">
        <v>114</v>
      </c>
      <c r="D64" s="1634">
        <f t="shared" si="48"/>
        <v>114</v>
      </c>
      <c r="E64" s="1634">
        <v>108</v>
      </c>
      <c r="F64" s="1635">
        <v>104</v>
      </c>
      <c r="G64" s="3089">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090">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090">
        <v>2003</v>
      </c>
      <c r="H66" s="1566">
        <v>2</v>
      </c>
      <c r="I66" s="1636"/>
      <c r="J66" s="1636"/>
      <c r="K66" s="1636"/>
      <c r="L66" s="1636"/>
      <c r="X66" s="1628"/>
      <c r="Y66" s="1628"/>
      <c r="Z66" s="1628"/>
    </row>
    <row r="67" spans="1:26" ht="13.8" thickBot="1">
      <c r="A67" s="1562" t="s">
        <v>1094</v>
      </c>
      <c r="B67" s="1638">
        <f t="shared" si="84"/>
        <v>107.25</v>
      </c>
      <c r="C67" s="1638">
        <f t="shared" si="84"/>
        <v>108.75</v>
      </c>
      <c r="D67" s="1638">
        <f t="shared" si="48"/>
        <v>108.75</v>
      </c>
      <c r="E67" s="1638">
        <f t="shared" si="85"/>
        <v>105.75</v>
      </c>
      <c r="F67" s="1638">
        <f t="shared" si="85"/>
        <v>102.5</v>
      </c>
      <c r="G67" s="3091">
        <v>2003</v>
      </c>
      <c r="H67" s="1639">
        <v>1</v>
      </c>
      <c r="I67" s="1636"/>
      <c r="J67" s="1636"/>
      <c r="K67" s="1636"/>
      <c r="L67" s="1636"/>
      <c r="S67" s="1574"/>
      <c r="T67" s="1575"/>
      <c r="U67" s="1575"/>
      <c r="X67" s="1628"/>
      <c r="Y67" s="1628"/>
      <c r="Z67" s="1628"/>
    </row>
    <row r="68" spans="1:26" ht="13.8" thickBot="1">
      <c r="A68" s="1562" t="s">
        <v>1095</v>
      </c>
      <c r="B68" s="1640">
        <v>106</v>
      </c>
      <c r="C68" s="1640">
        <v>107</v>
      </c>
      <c r="D68" s="1640">
        <f t="shared" si="48"/>
        <v>107</v>
      </c>
      <c r="E68" s="1640">
        <v>105</v>
      </c>
      <c r="F68" s="1641">
        <v>102</v>
      </c>
      <c r="G68" s="3089">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090">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090">
        <v>2002</v>
      </c>
      <c r="H70" s="1566">
        <v>2</v>
      </c>
      <c r="I70" s="1636"/>
      <c r="J70" s="1636"/>
      <c r="K70" s="1636"/>
      <c r="L70" s="1636"/>
      <c r="X70" s="1628"/>
      <c r="Y70" s="1628"/>
      <c r="Z70" s="1628"/>
    </row>
    <row r="71" spans="1:26" s="1600" customFormat="1" ht="13.8" thickBot="1">
      <c r="A71" s="1596" t="s">
        <v>1098</v>
      </c>
      <c r="B71" s="1642">
        <f t="shared" si="86"/>
        <v>103</v>
      </c>
      <c r="C71" s="1642">
        <f t="shared" si="86"/>
        <v>104</v>
      </c>
      <c r="D71" s="1642">
        <f t="shared" si="48"/>
        <v>104</v>
      </c>
      <c r="E71" s="1642">
        <f t="shared" si="87"/>
        <v>103.5</v>
      </c>
      <c r="F71" s="1642">
        <f t="shared" si="87"/>
        <v>100.5</v>
      </c>
      <c r="G71" s="3091">
        <v>2002</v>
      </c>
      <c r="H71" s="1643">
        <v>1</v>
      </c>
      <c r="I71" s="1644"/>
      <c r="J71" s="1644"/>
      <c r="K71" s="1644"/>
      <c r="L71" s="1644"/>
      <c r="N71" s="1645"/>
      <c r="S71" s="1645"/>
      <c r="X71" s="1646"/>
      <c r="Y71" s="1646"/>
      <c r="Z71" s="1646"/>
    </row>
    <row r="72" spans="1:26" ht="13.8"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8"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8"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4.4"/>
  <cols>
    <col min="1" max="1" width="4.88671875" style="1745" customWidth="1"/>
    <col min="2" max="2" width="13.21875" style="1751" customWidth="1"/>
    <col min="3" max="3" width="15.6640625" style="1751" customWidth="1"/>
    <col min="4" max="4" width="9.33203125" style="1751" bestFit="1" customWidth="1"/>
    <col min="5" max="5" width="13.44140625" style="1751" customWidth="1"/>
    <col min="6" max="6" width="9" style="1751"/>
    <col min="7" max="7" width="9.33203125" style="1751" bestFit="1" customWidth="1"/>
    <col min="8" max="8" width="11.44140625" style="1751" customWidth="1"/>
    <col min="9" max="9" width="9" style="1751"/>
    <col min="10" max="10" width="9.33203125" style="1751" bestFit="1" customWidth="1"/>
    <col min="11" max="11" width="4" style="1745" customWidth="1"/>
    <col min="12" max="12" width="5.109375" style="1751" customWidth="1"/>
    <col min="13" max="13" width="13.77734375" style="1751" customWidth="1"/>
    <col min="14" max="256" width="9" style="1751"/>
    <col min="257" max="257" width="4.88671875" style="1742" customWidth="1"/>
    <col min="258" max="258" width="13.21875" style="1742" customWidth="1"/>
    <col min="259" max="259" width="15.6640625" style="1742" customWidth="1"/>
    <col min="260" max="260" width="9.33203125" style="1742" bestFit="1" customWidth="1"/>
    <col min="261" max="261" width="13.44140625" style="1742" customWidth="1"/>
    <col min="262" max="262" width="9" style="1742"/>
    <col min="263" max="263" width="9.33203125" style="1742" bestFit="1" customWidth="1"/>
    <col min="264" max="265" width="9" style="1742"/>
    <col min="266" max="266" width="9.33203125" style="1742" bestFit="1" customWidth="1"/>
    <col min="267" max="267" width="4" style="1742" customWidth="1"/>
    <col min="268" max="268" width="5.109375" style="1742" customWidth="1"/>
    <col min="269" max="269" width="13.77734375" style="1742" customWidth="1"/>
    <col min="270" max="512" width="9" style="1742"/>
    <col min="513" max="513" width="4.88671875" style="1742" customWidth="1"/>
    <col min="514" max="514" width="13.21875" style="1742" customWidth="1"/>
    <col min="515" max="515" width="15.6640625" style="1742" customWidth="1"/>
    <col min="516" max="516" width="9.33203125" style="1742" bestFit="1" customWidth="1"/>
    <col min="517" max="517" width="13.44140625" style="1742" customWidth="1"/>
    <col min="518" max="518" width="9" style="1742"/>
    <col min="519" max="519" width="9.33203125" style="1742" bestFit="1" customWidth="1"/>
    <col min="520" max="521" width="9" style="1742"/>
    <col min="522" max="522" width="9.33203125" style="1742" bestFit="1" customWidth="1"/>
    <col min="523" max="523" width="4" style="1742" customWidth="1"/>
    <col min="524" max="524" width="5.109375" style="1742" customWidth="1"/>
    <col min="525" max="525" width="13.77734375" style="1742" customWidth="1"/>
    <col min="526" max="768" width="9" style="1742"/>
    <col min="769" max="769" width="4.88671875" style="1742" customWidth="1"/>
    <col min="770" max="770" width="13.21875" style="1742" customWidth="1"/>
    <col min="771" max="771" width="15.6640625" style="1742" customWidth="1"/>
    <col min="772" max="772" width="9.33203125" style="1742" bestFit="1" customWidth="1"/>
    <col min="773" max="773" width="13.44140625" style="1742" customWidth="1"/>
    <col min="774" max="774" width="9" style="1742"/>
    <col min="775" max="775" width="9.33203125" style="1742" bestFit="1" customWidth="1"/>
    <col min="776" max="777" width="9" style="1742"/>
    <col min="778" max="778" width="9.33203125" style="1742" bestFit="1" customWidth="1"/>
    <col min="779" max="779" width="4" style="1742" customWidth="1"/>
    <col min="780" max="780" width="5.109375" style="1742" customWidth="1"/>
    <col min="781" max="781" width="13.77734375" style="1742" customWidth="1"/>
    <col min="782" max="1024" width="9" style="1742"/>
    <col min="1025" max="1025" width="4.88671875" style="1742" customWidth="1"/>
    <col min="1026" max="1026" width="13.21875" style="1742" customWidth="1"/>
    <col min="1027" max="1027" width="15.6640625" style="1742" customWidth="1"/>
    <col min="1028" max="1028" width="9.33203125" style="1742" bestFit="1" customWidth="1"/>
    <col min="1029" max="1029" width="13.44140625" style="1742" customWidth="1"/>
    <col min="1030" max="1030" width="9" style="1742"/>
    <col min="1031" max="1031" width="9.33203125" style="1742" bestFit="1" customWidth="1"/>
    <col min="1032" max="1033" width="9" style="1742"/>
    <col min="1034" max="1034" width="9.33203125" style="1742" bestFit="1" customWidth="1"/>
    <col min="1035" max="1035" width="4" style="1742" customWidth="1"/>
    <col min="1036" max="1036" width="5.109375" style="1742" customWidth="1"/>
    <col min="1037" max="1037" width="13.77734375" style="1742" customWidth="1"/>
    <col min="1038" max="1280" width="9" style="1742"/>
    <col min="1281" max="1281" width="4.88671875" style="1742" customWidth="1"/>
    <col min="1282" max="1282" width="13.21875" style="1742" customWidth="1"/>
    <col min="1283" max="1283" width="15.6640625" style="1742" customWidth="1"/>
    <col min="1284" max="1284" width="9.33203125" style="1742" bestFit="1" customWidth="1"/>
    <col min="1285" max="1285" width="13.44140625" style="1742" customWidth="1"/>
    <col min="1286" max="1286" width="9" style="1742"/>
    <col min="1287" max="1287" width="9.33203125" style="1742" bestFit="1" customWidth="1"/>
    <col min="1288" max="1289" width="9" style="1742"/>
    <col min="1290" max="1290" width="9.33203125" style="1742" bestFit="1" customWidth="1"/>
    <col min="1291" max="1291" width="4" style="1742" customWidth="1"/>
    <col min="1292" max="1292" width="5.109375" style="1742" customWidth="1"/>
    <col min="1293" max="1293" width="13.77734375" style="1742" customWidth="1"/>
    <col min="1294" max="1536" width="9" style="1742"/>
    <col min="1537" max="1537" width="4.88671875" style="1742" customWidth="1"/>
    <col min="1538" max="1538" width="13.21875" style="1742" customWidth="1"/>
    <col min="1539" max="1539" width="15.6640625" style="1742" customWidth="1"/>
    <col min="1540" max="1540" width="9.33203125" style="1742" bestFit="1" customWidth="1"/>
    <col min="1541" max="1541" width="13.44140625" style="1742" customWidth="1"/>
    <col min="1542" max="1542" width="9" style="1742"/>
    <col min="1543" max="1543" width="9.33203125" style="1742" bestFit="1" customWidth="1"/>
    <col min="1544" max="1545" width="9" style="1742"/>
    <col min="1546" max="1546" width="9.33203125" style="1742" bestFit="1" customWidth="1"/>
    <col min="1547" max="1547" width="4" style="1742" customWidth="1"/>
    <col min="1548" max="1548" width="5.109375" style="1742" customWidth="1"/>
    <col min="1549" max="1549" width="13.77734375" style="1742" customWidth="1"/>
    <col min="1550" max="1792" width="9" style="1742"/>
    <col min="1793" max="1793" width="4.88671875" style="1742" customWidth="1"/>
    <col min="1794" max="1794" width="13.21875" style="1742" customWidth="1"/>
    <col min="1795" max="1795" width="15.6640625" style="1742" customWidth="1"/>
    <col min="1796" max="1796" width="9.33203125" style="1742" bestFit="1" customWidth="1"/>
    <col min="1797" max="1797" width="13.44140625" style="1742" customWidth="1"/>
    <col min="1798" max="1798" width="9" style="1742"/>
    <col min="1799" max="1799" width="9.33203125" style="1742" bestFit="1" customWidth="1"/>
    <col min="1800" max="1801" width="9" style="1742"/>
    <col min="1802" max="1802" width="9.33203125" style="1742" bestFit="1" customWidth="1"/>
    <col min="1803" max="1803" width="4" style="1742" customWidth="1"/>
    <col min="1804" max="1804" width="5.109375" style="1742" customWidth="1"/>
    <col min="1805" max="1805" width="13.77734375" style="1742" customWidth="1"/>
    <col min="1806" max="2048" width="9" style="1742"/>
    <col min="2049" max="2049" width="4.88671875" style="1742" customWidth="1"/>
    <col min="2050" max="2050" width="13.21875" style="1742" customWidth="1"/>
    <col min="2051" max="2051" width="15.6640625" style="1742" customWidth="1"/>
    <col min="2052" max="2052" width="9.33203125" style="1742" bestFit="1" customWidth="1"/>
    <col min="2053" max="2053" width="13.44140625" style="1742" customWidth="1"/>
    <col min="2054" max="2054" width="9" style="1742"/>
    <col min="2055" max="2055" width="9.33203125" style="1742" bestFit="1" customWidth="1"/>
    <col min="2056" max="2057" width="9" style="1742"/>
    <col min="2058" max="2058" width="9.33203125" style="1742" bestFit="1" customWidth="1"/>
    <col min="2059" max="2059" width="4" style="1742" customWidth="1"/>
    <col min="2060" max="2060" width="5.109375" style="1742" customWidth="1"/>
    <col min="2061" max="2061" width="13.77734375" style="1742" customWidth="1"/>
    <col min="2062" max="2304" width="9" style="1742"/>
    <col min="2305" max="2305" width="4.88671875" style="1742" customWidth="1"/>
    <col min="2306" max="2306" width="13.21875" style="1742" customWidth="1"/>
    <col min="2307" max="2307" width="15.6640625" style="1742" customWidth="1"/>
    <col min="2308" max="2308" width="9.33203125" style="1742" bestFit="1" customWidth="1"/>
    <col min="2309" max="2309" width="13.44140625" style="1742" customWidth="1"/>
    <col min="2310" max="2310" width="9" style="1742"/>
    <col min="2311" max="2311" width="9.33203125" style="1742" bestFit="1" customWidth="1"/>
    <col min="2312" max="2313" width="9" style="1742"/>
    <col min="2314" max="2314" width="9.33203125" style="1742" bestFit="1" customWidth="1"/>
    <col min="2315" max="2315" width="4" style="1742" customWidth="1"/>
    <col min="2316" max="2316" width="5.109375" style="1742" customWidth="1"/>
    <col min="2317" max="2317" width="13.77734375" style="1742" customWidth="1"/>
    <col min="2318" max="2560" width="9" style="1742"/>
    <col min="2561" max="2561" width="4.88671875" style="1742" customWidth="1"/>
    <col min="2562" max="2562" width="13.21875" style="1742" customWidth="1"/>
    <col min="2563" max="2563" width="15.6640625" style="1742" customWidth="1"/>
    <col min="2564" max="2564" width="9.33203125" style="1742" bestFit="1" customWidth="1"/>
    <col min="2565" max="2565" width="13.44140625" style="1742" customWidth="1"/>
    <col min="2566" max="2566" width="9" style="1742"/>
    <col min="2567" max="2567" width="9.33203125" style="1742" bestFit="1" customWidth="1"/>
    <col min="2568" max="2569" width="9" style="1742"/>
    <col min="2570" max="2570" width="9.33203125" style="1742" bestFit="1" customWidth="1"/>
    <col min="2571" max="2571" width="4" style="1742" customWidth="1"/>
    <col min="2572" max="2572" width="5.109375" style="1742" customWidth="1"/>
    <col min="2573" max="2573" width="13.77734375" style="1742" customWidth="1"/>
    <col min="2574" max="2816" width="9" style="1742"/>
    <col min="2817" max="2817" width="4.88671875" style="1742" customWidth="1"/>
    <col min="2818" max="2818" width="13.21875" style="1742" customWidth="1"/>
    <col min="2819" max="2819" width="15.6640625" style="1742" customWidth="1"/>
    <col min="2820" max="2820" width="9.33203125" style="1742" bestFit="1" customWidth="1"/>
    <col min="2821" max="2821" width="13.44140625" style="1742" customWidth="1"/>
    <col min="2822" max="2822" width="9" style="1742"/>
    <col min="2823" max="2823" width="9.33203125" style="1742" bestFit="1" customWidth="1"/>
    <col min="2824" max="2825" width="9" style="1742"/>
    <col min="2826" max="2826" width="9.33203125" style="1742" bestFit="1" customWidth="1"/>
    <col min="2827" max="2827" width="4" style="1742" customWidth="1"/>
    <col min="2828" max="2828" width="5.109375" style="1742" customWidth="1"/>
    <col min="2829" max="2829" width="13.77734375" style="1742" customWidth="1"/>
    <col min="2830" max="3072" width="9" style="1742"/>
    <col min="3073" max="3073" width="4.88671875" style="1742" customWidth="1"/>
    <col min="3074" max="3074" width="13.21875" style="1742" customWidth="1"/>
    <col min="3075" max="3075" width="15.6640625" style="1742" customWidth="1"/>
    <col min="3076" max="3076" width="9.33203125" style="1742" bestFit="1" customWidth="1"/>
    <col min="3077" max="3077" width="13.44140625" style="1742" customWidth="1"/>
    <col min="3078" max="3078" width="9" style="1742"/>
    <col min="3079" max="3079" width="9.33203125" style="1742" bestFit="1" customWidth="1"/>
    <col min="3080" max="3081" width="9" style="1742"/>
    <col min="3082" max="3082" width="9.33203125" style="1742" bestFit="1" customWidth="1"/>
    <col min="3083" max="3083" width="4" style="1742" customWidth="1"/>
    <col min="3084" max="3084" width="5.109375" style="1742" customWidth="1"/>
    <col min="3085" max="3085" width="13.77734375" style="1742" customWidth="1"/>
    <col min="3086" max="3328" width="9" style="1742"/>
    <col min="3329" max="3329" width="4.88671875" style="1742" customWidth="1"/>
    <col min="3330" max="3330" width="13.21875" style="1742" customWidth="1"/>
    <col min="3331" max="3331" width="15.6640625" style="1742" customWidth="1"/>
    <col min="3332" max="3332" width="9.33203125" style="1742" bestFit="1" customWidth="1"/>
    <col min="3333" max="3333" width="13.44140625" style="1742" customWidth="1"/>
    <col min="3334" max="3334" width="9" style="1742"/>
    <col min="3335" max="3335" width="9.33203125" style="1742" bestFit="1" customWidth="1"/>
    <col min="3336" max="3337" width="9" style="1742"/>
    <col min="3338" max="3338" width="9.33203125" style="1742" bestFit="1" customWidth="1"/>
    <col min="3339" max="3339" width="4" style="1742" customWidth="1"/>
    <col min="3340" max="3340" width="5.109375" style="1742" customWidth="1"/>
    <col min="3341" max="3341" width="13.77734375" style="1742" customWidth="1"/>
    <col min="3342" max="3584" width="9" style="1742"/>
    <col min="3585" max="3585" width="4.88671875" style="1742" customWidth="1"/>
    <col min="3586" max="3586" width="13.21875" style="1742" customWidth="1"/>
    <col min="3587" max="3587" width="15.6640625" style="1742" customWidth="1"/>
    <col min="3588" max="3588" width="9.33203125" style="1742" bestFit="1" customWidth="1"/>
    <col min="3589" max="3589" width="13.44140625" style="1742" customWidth="1"/>
    <col min="3590" max="3590" width="9" style="1742"/>
    <col min="3591" max="3591" width="9.33203125" style="1742" bestFit="1" customWidth="1"/>
    <col min="3592" max="3593" width="9" style="1742"/>
    <col min="3594" max="3594" width="9.33203125" style="1742" bestFit="1" customWidth="1"/>
    <col min="3595" max="3595" width="4" style="1742" customWidth="1"/>
    <col min="3596" max="3596" width="5.109375" style="1742" customWidth="1"/>
    <col min="3597" max="3597" width="13.77734375" style="1742" customWidth="1"/>
    <col min="3598" max="3840" width="9" style="1742"/>
    <col min="3841" max="3841" width="4.88671875" style="1742" customWidth="1"/>
    <col min="3842" max="3842" width="13.21875" style="1742" customWidth="1"/>
    <col min="3843" max="3843" width="15.6640625" style="1742" customWidth="1"/>
    <col min="3844" max="3844" width="9.33203125" style="1742" bestFit="1" customWidth="1"/>
    <col min="3845" max="3845" width="13.44140625" style="1742" customWidth="1"/>
    <col min="3846" max="3846" width="9" style="1742"/>
    <col min="3847" max="3847" width="9.33203125" style="1742" bestFit="1" customWidth="1"/>
    <col min="3848" max="3849" width="9" style="1742"/>
    <col min="3850" max="3850" width="9.33203125" style="1742" bestFit="1" customWidth="1"/>
    <col min="3851" max="3851" width="4" style="1742" customWidth="1"/>
    <col min="3852" max="3852" width="5.109375" style="1742" customWidth="1"/>
    <col min="3853" max="3853" width="13.77734375" style="1742" customWidth="1"/>
    <col min="3854" max="4096" width="9" style="1742"/>
    <col min="4097" max="4097" width="4.88671875" style="1742" customWidth="1"/>
    <col min="4098" max="4098" width="13.21875" style="1742" customWidth="1"/>
    <col min="4099" max="4099" width="15.6640625" style="1742" customWidth="1"/>
    <col min="4100" max="4100" width="9.33203125" style="1742" bestFit="1" customWidth="1"/>
    <col min="4101" max="4101" width="13.44140625" style="1742" customWidth="1"/>
    <col min="4102" max="4102" width="9" style="1742"/>
    <col min="4103" max="4103" width="9.33203125" style="1742" bestFit="1" customWidth="1"/>
    <col min="4104" max="4105" width="9" style="1742"/>
    <col min="4106" max="4106" width="9.33203125" style="1742" bestFit="1" customWidth="1"/>
    <col min="4107" max="4107" width="4" style="1742" customWidth="1"/>
    <col min="4108" max="4108" width="5.109375" style="1742" customWidth="1"/>
    <col min="4109" max="4109" width="13.77734375" style="1742" customWidth="1"/>
    <col min="4110" max="4352" width="9" style="1742"/>
    <col min="4353" max="4353" width="4.88671875" style="1742" customWidth="1"/>
    <col min="4354" max="4354" width="13.21875" style="1742" customWidth="1"/>
    <col min="4355" max="4355" width="15.6640625" style="1742" customWidth="1"/>
    <col min="4356" max="4356" width="9.33203125" style="1742" bestFit="1" customWidth="1"/>
    <col min="4357" max="4357" width="13.44140625" style="1742" customWidth="1"/>
    <col min="4358" max="4358" width="9" style="1742"/>
    <col min="4359" max="4359" width="9.33203125" style="1742" bestFit="1" customWidth="1"/>
    <col min="4360" max="4361" width="9" style="1742"/>
    <col min="4362" max="4362" width="9.33203125" style="1742" bestFit="1" customWidth="1"/>
    <col min="4363" max="4363" width="4" style="1742" customWidth="1"/>
    <col min="4364" max="4364" width="5.109375" style="1742" customWidth="1"/>
    <col min="4365" max="4365" width="13.77734375" style="1742" customWidth="1"/>
    <col min="4366" max="4608" width="9" style="1742"/>
    <col min="4609" max="4609" width="4.88671875" style="1742" customWidth="1"/>
    <col min="4610" max="4610" width="13.21875" style="1742" customWidth="1"/>
    <col min="4611" max="4611" width="15.6640625" style="1742" customWidth="1"/>
    <col min="4612" max="4612" width="9.33203125" style="1742" bestFit="1" customWidth="1"/>
    <col min="4613" max="4613" width="13.44140625" style="1742" customWidth="1"/>
    <col min="4614" max="4614" width="9" style="1742"/>
    <col min="4615" max="4615" width="9.33203125" style="1742" bestFit="1" customWidth="1"/>
    <col min="4616" max="4617" width="9" style="1742"/>
    <col min="4618" max="4618" width="9.33203125" style="1742" bestFit="1" customWidth="1"/>
    <col min="4619" max="4619" width="4" style="1742" customWidth="1"/>
    <col min="4620" max="4620" width="5.109375" style="1742" customWidth="1"/>
    <col min="4621" max="4621" width="13.77734375" style="1742" customWidth="1"/>
    <col min="4622" max="4864" width="9" style="1742"/>
    <col min="4865" max="4865" width="4.88671875" style="1742" customWidth="1"/>
    <col min="4866" max="4866" width="13.21875" style="1742" customWidth="1"/>
    <col min="4867" max="4867" width="15.6640625" style="1742" customWidth="1"/>
    <col min="4868" max="4868" width="9.33203125" style="1742" bestFit="1" customWidth="1"/>
    <col min="4869" max="4869" width="13.44140625" style="1742" customWidth="1"/>
    <col min="4870" max="4870" width="9" style="1742"/>
    <col min="4871" max="4871" width="9.33203125" style="1742" bestFit="1" customWidth="1"/>
    <col min="4872" max="4873" width="9" style="1742"/>
    <col min="4874" max="4874" width="9.33203125" style="1742" bestFit="1" customWidth="1"/>
    <col min="4875" max="4875" width="4" style="1742" customWidth="1"/>
    <col min="4876" max="4876" width="5.109375" style="1742" customWidth="1"/>
    <col min="4877" max="4877" width="13.77734375" style="1742" customWidth="1"/>
    <col min="4878" max="5120" width="9" style="1742"/>
    <col min="5121" max="5121" width="4.88671875" style="1742" customWidth="1"/>
    <col min="5122" max="5122" width="13.21875" style="1742" customWidth="1"/>
    <col min="5123" max="5123" width="15.6640625" style="1742" customWidth="1"/>
    <col min="5124" max="5124" width="9.33203125" style="1742" bestFit="1" customWidth="1"/>
    <col min="5125" max="5125" width="13.44140625" style="1742" customWidth="1"/>
    <col min="5126" max="5126" width="9" style="1742"/>
    <col min="5127" max="5127" width="9.33203125" style="1742" bestFit="1" customWidth="1"/>
    <col min="5128" max="5129" width="9" style="1742"/>
    <col min="5130" max="5130" width="9.33203125" style="1742" bestFit="1" customWidth="1"/>
    <col min="5131" max="5131" width="4" style="1742" customWidth="1"/>
    <col min="5132" max="5132" width="5.109375" style="1742" customWidth="1"/>
    <col min="5133" max="5133" width="13.77734375" style="1742" customWidth="1"/>
    <col min="5134" max="5376" width="9" style="1742"/>
    <col min="5377" max="5377" width="4.88671875" style="1742" customWidth="1"/>
    <col min="5378" max="5378" width="13.21875" style="1742" customWidth="1"/>
    <col min="5379" max="5379" width="15.6640625" style="1742" customWidth="1"/>
    <col min="5380" max="5380" width="9.33203125" style="1742" bestFit="1" customWidth="1"/>
    <col min="5381" max="5381" width="13.44140625" style="1742" customWidth="1"/>
    <col min="5382" max="5382" width="9" style="1742"/>
    <col min="5383" max="5383" width="9.33203125" style="1742" bestFit="1" customWidth="1"/>
    <col min="5384" max="5385" width="9" style="1742"/>
    <col min="5386" max="5386" width="9.33203125" style="1742" bestFit="1" customWidth="1"/>
    <col min="5387" max="5387" width="4" style="1742" customWidth="1"/>
    <col min="5388" max="5388" width="5.109375" style="1742" customWidth="1"/>
    <col min="5389" max="5389" width="13.77734375" style="1742" customWidth="1"/>
    <col min="5390" max="5632" width="9" style="1742"/>
    <col min="5633" max="5633" width="4.88671875" style="1742" customWidth="1"/>
    <col min="5634" max="5634" width="13.21875" style="1742" customWidth="1"/>
    <col min="5635" max="5635" width="15.6640625" style="1742" customWidth="1"/>
    <col min="5636" max="5636" width="9.33203125" style="1742" bestFit="1" customWidth="1"/>
    <col min="5637" max="5637" width="13.44140625" style="1742" customWidth="1"/>
    <col min="5638" max="5638" width="9" style="1742"/>
    <col min="5639" max="5639" width="9.33203125" style="1742" bestFit="1" customWidth="1"/>
    <col min="5640" max="5641" width="9" style="1742"/>
    <col min="5642" max="5642" width="9.33203125" style="1742" bestFit="1" customWidth="1"/>
    <col min="5643" max="5643" width="4" style="1742" customWidth="1"/>
    <col min="5644" max="5644" width="5.109375" style="1742" customWidth="1"/>
    <col min="5645" max="5645" width="13.77734375" style="1742" customWidth="1"/>
    <col min="5646" max="5888" width="9" style="1742"/>
    <col min="5889" max="5889" width="4.88671875" style="1742" customWidth="1"/>
    <col min="5890" max="5890" width="13.21875" style="1742" customWidth="1"/>
    <col min="5891" max="5891" width="15.6640625" style="1742" customWidth="1"/>
    <col min="5892" max="5892" width="9.33203125" style="1742" bestFit="1" customWidth="1"/>
    <col min="5893" max="5893" width="13.44140625" style="1742" customWidth="1"/>
    <col min="5894" max="5894" width="9" style="1742"/>
    <col min="5895" max="5895" width="9.33203125" style="1742" bestFit="1" customWidth="1"/>
    <col min="5896" max="5897" width="9" style="1742"/>
    <col min="5898" max="5898" width="9.33203125" style="1742" bestFit="1" customWidth="1"/>
    <col min="5899" max="5899" width="4" style="1742" customWidth="1"/>
    <col min="5900" max="5900" width="5.109375" style="1742" customWidth="1"/>
    <col min="5901" max="5901" width="13.77734375" style="1742" customWidth="1"/>
    <col min="5902" max="6144" width="9" style="1742"/>
    <col min="6145" max="6145" width="4.88671875" style="1742" customWidth="1"/>
    <col min="6146" max="6146" width="13.21875" style="1742" customWidth="1"/>
    <col min="6147" max="6147" width="15.6640625" style="1742" customWidth="1"/>
    <col min="6148" max="6148" width="9.33203125" style="1742" bestFit="1" customWidth="1"/>
    <col min="6149" max="6149" width="13.44140625" style="1742" customWidth="1"/>
    <col min="6150" max="6150" width="9" style="1742"/>
    <col min="6151" max="6151" width="9.33203125" style="1742" bestFit="1" customWidth="1"/>
    <col min="6152" max="6153" width="9" style="1742"/>
    <col min="6154" max="6154" width="9.33203125" style="1742" bestFit="1" customWidth="1"/>
    <col min="6155" max="6155" width="4" style="1742" customWidth="1"/>
    <col min="6156" max="6156" width="5.109375" style="1742" customWidth="1"/>
    <col min="6157" max="6157" width="13.77734375" style="1742" customWidth="1"/>
    <col min="6158" max="6400" width="9" style="1742"/>
    <col min="6401" max="6401" width="4.88671875" style="1742" customWidth="1"/>
    <col min="6402" max="6402" width="13.21875" style="1742" customWidth="1"/>
    <col min="6403" max="6403" width="15.6640625" style="1742" customWidth="1"/>
    <col min="6404" max="6404" width="9.33203125" style="1742" bestFit="1" customWidth="1"/>
    <col min="6405" max="6405" width="13.44140625" style="1742" customWidth="1"/>
    <col min="6406" max="6406" width="9" style="1742"/>
    <col min="6407" max="6407" width="9.33203125" style="1742" bestFit="1" customWidth="1"/>
    <col min="6408" max="6409" width="9" style="1742"/>
    <col min="6410" max="6410" width="9.33203125" style="1742" bestFit="1" customWidth="1"/>
    <col min="6411" max="6411" width="4" style="1742" customWidth="1"/>
    <col min="6412" max="6412" width="5.109375" style="1742" customWidth="1"/>
    <col min="6413" max="6413" width="13.77734375" style="1742" customWidth="1"/>
    <col min="6414" max="6656" width="9" style="1742"/>
    <col min="6657" max="6657" width="4.88671875" style="1742" customWidth="1"/>
    <col min="6658" max="6658" width="13.21875" style="1742" customWidth="1"/>
    <col min="6659" max="6659" width="15.6640625" style="1742" customWidth="1"/>
    <col min="6660" max="6660" width="9.33203125" style="1742" bestFit="1" customWidth="1"/>
    <col min="6661" max="6661" width="13.44140625" style="1742" customWidth="1"/>
    <col min="6662" max="6662" width="9" style="1742"/>
    <col min="6663" max="6663" width="9.33203125" style="1742" bestFit="1" customWidth="1"/>
    <col min="6664" max="6665" width="9" style="1742"/>
    <col min="6666" max="6666" width="9.33203125" style="1742" bestFit="1" customWidth="1"/>
    <col min="6667" max="6667" width="4" style="1742" customWidth="1"/>
    <col min="6668" max="6668" width="5.109375" style="1742" customWidth="1"/>
    <col min="6669" max="6669" width="13.77734375" style="1742" customWidth="1"/>
    <col min="6670" max="6912" width="9" style="1742"/>
    <col min="6913" max="6913" width="4.88671875" style="1742" customWidth="1"/>
    <col min="6914" max="6914" width="13.21875" style="1742" customWidth="1"/>
    <col min="6915" max="6915" width="15.6640625" style="1742" customWidth="1"/>
    <col min="6916" max="6916" width="9.33203125" style="1742" bestFit="1" customWidth="1"/>
    <col min="6917" max="6917" width="13.44140625" style="1742" customWidth="1"/>
    <col min="6918" max="6918" width="9" style="1742"/>
    <col min="6919" max="6919" width="9.33203125" style="1742" bestFit="1" customWidth="1"/>
    <col min="6920" max="6921" width="9" style="1742"/>
    <col min="6922" max="6922" width="9.33203125" style="1742" bestFit="1" customWidth="1"/>
    <col min="6923" max="6923" width="4" style="1742" customWidth="1"/>
    <col min="6924" max="6924" width="5.109375" style="1742" customWidth="1"/>
    <col min="6925" max="6925" width="13.77734375" style="1742" customWidth="1"/>
    <col min="6926" max="7168" width="9" style="1742"/>
    <col min="7169" max="7169" width="4.88671875" style="1742" customWidth="1"/>
    <col min="7170" max="7170" width="13.21875" style="1742" customWidth="1"/>
    <col min="7171" max="7171" width="15.6640625" style="1742" customWidth="1"/>
    <col min="7172" max="7172" width="9.33203125" style="1742" bestFit="1" customWidth="1"/>
    <col min="7173" max="7173" width="13.44140625" style="1742" customWidth="1"/>
    <col min="7174" max="7174" width="9" style="1742"/>
    <col min="7175" max="7175" width="9.33203125" style="1742" bestFit="1" customWidth="1"/>
    <col min="7176" max="7177" width="9" style="1742"/>
    <col min="7178" max="7178" width="9.33203125" style="1742" bestFit="1" customWidth="1"/>
    <col min="7179" max="7179" width="4" style="1742" customWidth="1"/>
    <col min="7180" max="7180" width="5.109375" style="1742" customWidth="1"/>
    <col min="7181" max="7181" width="13.77734375" style="1742" customWidth="1"/>
    <col min="7182" max="7424" width="9" style="1742"/>
    <col min="7425" max="7425" width="4.88671875" style="1742" customWidth="1"/>
    <col min="7426" max="7426" width="13.21875" style="1742" customWidth="1"/>
    <col min="7427" max="7427" width="15.6640625" style="1742" customWidth="1"/>
    <col min="7428" max="7428" width="9.33203125" style="1742" bestFit="1" customWidth="1"/>
    <col min="7429" max="7429" width="13.44140625" style="1742" customWidth="1"/>
    <col min="7430" max="7430" width="9" style="1742"/>
    <col min="7431" max="7431" width="9.33203125" style="1742" bestFit="1" customWidth="1"/>
    <col min="7432" max="7433" width="9" style="1742"/>
    <col min="7434" max="7434" width="9.33203125" style="1742" bestFit="1" customWidth="1"/>
    <col min="7435" max="7435" width="4" style="1742" customWidth="1"/>
    <col min="7436" max="7436" width="5.109375" style="1742" customWidth="1"/>
    <col min="7437" max="7437" width="13.77734375" style="1742" customWidth="1"/>
    <col min="7438" max="7680" width="9" style="1742"/>
    <col min="7681" max="7681" width="4.88671875" style="1742" customWidth="1"/>
    <col min="7682" max="7682" width="13.21875" style="1742" customWidth="1"/>
    <col min="7683" max="7683" width="15.6640625" style="1742" customWidth="1"/>
    <col min="7684" max="7684" width="9.33203125" style="1742" bestFit="1" customWidth="1"/>
    <col min="7685" max="7685" width="13.44140625" style="1742" customWidth="1"/>
    <col min="7686" max="7686" width="9" style="1742"/>
    <col min="7687" max="7687" width="9.33203125" style="1742" bestFit="1" customWidth="1"/>
    <col min="7688" max="7689" width="9" style="1742"/>
    <col min="7690" max="7690" width="9.33203125" style="1742" bestFit="1" customWidth="1"/>
    <col min="7691" max="7691" width="4" style="1742" customWidth="1"/>
    <col min="7692" max="7692" width="5.109375" style="1742" customWidth="1"/>
    <col min="7693" max="7693" width="13.77734375" style="1742" customWidth="1"/>
    <col min="7694" max="7936" width="9" style="1742"/>
    <col min="7937" max="7937" width="4.88671875" style="1742" customWidth="1"/>
    <col min="7938" max="7938" width="13.21875" style="1742" customWidth="1"/>
    <col min="7939" max="7939" width="15.6640625" style="1742" customWidth="1"/>
    <col min="7940" max="7940" width="9.33203125" style="1742" bestFit="1" customWidth="1"/>
    <col min="7941" max="7941" width="13.44140625" style="1742" customWidth="1"/>
    <col min="7942" max="7942" width="9" style="1742"/>
    <col min="7943" max="7943" width="9.33203125" style="1742" bestFit="1" customWidth="1"/>
    <col min="7944" max="7945" width="9" style="1742"/>
    <col min="7946" max="7946" width="9.33203125" style="1742" bestFit="1" customWidth="1"/>
    <col min="7947" max="7947" width="4" style="1742" customWidth="1"/>
    <col min="7948" max="7948" width="5.109375" style="1742" customWidth="1"/>
    <col min="7949" max="7949" width="13.77734375" style="1742" customWidth="1"/>
    <col min="7950" max="8192" width="9" style="1742"/>
    <col min="8193" max="8193" width="4.88671875" style="1742" customWidth="1"/>
    <col min="8194" max="8194" width="13.21875" style="1742" customWidth="1"/>
    <col min="8195" max="8195" width="15.6640625" style="1742" customWidth="1"/>
    <col min="8196" max="8196" width="9.33203125" style="1742" bestFit="1" customWidth="1"/>
    <col min="8197" max="8197" width="13.44140625" style="1742" customWidth="1"/>
    <col min="8198" max="8198" width="9" style="1742"/>
    <col min="8199" max="8199" width="9.33203125" style="1742" bestFit="1" customWidth="1"/>
    <col min="8200" max="8201" width="9" style="1742"/>
    <col min="8202" max="8202" width="9.33203125" style="1742" bestFit="1" customWidth="1"/>
    <col min="8203" max="8203" width="4" style="1742" customWidth="1"/>
    <col min="8204" max="8204" width="5.109375" style="1742" customWidth="1"/>
    <col min="8205" max="8205" width="13.77734375" style="1742" customWidth="1"/>
    <col min="8206" max="8448" width="9" style="1742"/>
    <col min="8449" max="8449" width="4.88671875" style="1742" customWidth="1"/>
    <col min="8450" max="8450" width="13.21875" style="1742" customWidth="1"/>
    <col min="8451" max="8451" width="15.6640625" style="1742" customWidth="1"/>
    <col min="8452" max="8452" width="9.33203125" style="1742" bestFit="1" customWidth="1"/>
    <col min="8453" max="8453" width="13.44140625" style="1742" customWidth="1"/>
    <col min="8454" max="8454" width="9" style="1742"/>
    <col min="8455" max="8455" width="9.33203125" style="1742" bestFit="1" customWidth="1"/>
    <col min="8456" max="8457" width="9" style="1742"/>
    <col min="8458" max="8458" width="9.33203125" style="1742" bestFit="1" customWidth="1"/>
    <col min="8459" max="8459" width="4" style="1742" customWidth="1"/>
    <col min="8460" max="8460" width="5.109375" style="1742" customWidth="1"/>
    <col min="8461" max="8461" width="13.77734375" style="1742" customWidth="1"/>
    <col min="8462" max="8704" width="9" style="1742"/>
    <col min="8705" max="8705" width="4.88671875" style="1742" customWidth="1"/>
    <col min="8706" max="8706" width="13.21875" style="1742" customWidth="1"/>
    <col min="8707" max="8707" width="15.6640625" style="1742" customWidth="1"/>
    <col min="8708" max="8708" width="9.33203125" style="1742" bestFit="1" customWidth="1"/>
    <col min="8709" max="8709" width="13.44140625" style="1742" customWidth="1"/>
    <col min="8710" max="8710" width="9" style="1742"/>
    <col min="8711" max="8711" width="9.33203125" style="1742" bestFit="1" customWidth="1"/>
    <col min="8712" max="8713" width="9" style="1742"/>
    <col min="8714" max="8714" width="9.33203125" style="1742" bestFit="1" customWidth="1"/>
    <col min="8715" max="8715" width="4" style="1742" customWidth="1"/>
    <col min="8716" max="8716" width="5.109375" style="1742" customWidth="1"/>
    <col min="8717" max="8717" width="13.77734375" style="1742" customWidth="1"/>
    <col min="8718" max="8960" width="9" style="1742"/>
    <col min="8961" max="8961" width="4.88671875" style="1742" customWidth="1"/>
    <col min="8962" max="8962" width="13.21875" style="1742" customWidth="1"/>
    <col min="8963" max="8963" width="15.6640625" style="1742" customWidth="1"/>
    <col min="8964" max="8964" width="9.33203125" style="1742" bestFit="1" customWidth="1"/>
    <col min="8965" max="8965" width="13.44140625" style="1742" customWidth="1"/>
    <col min="8966" max="8966" width="9" style="1742"/>
    <col min="8967" max="8967" width="9.33203125" style="1742" bestFit="1" customWidth="1"/>
    <col min="8968" max="8969" width="9" style="1742"/>
    <col min="8970" max="8970" width="9.33203125" style="1742" bestFit="1" customWidth="1"/>
    <col min="8971" max="8971" width="4" style="1742" customWidth="1"/>
    <col min="8972" max="8972" width="5.109375" style="1742" customWidth="1"/>
    <col min="8973" max="8973" width="13.77734375" style="1742" customWidth="1"/>
    <col min="8974" max="9216" width="9" style="1742"/>
    <col min="9217" max="9217" width="4.88671875" style="1742" customWidth="1"/>
    <col min="9218" max="9218" width="13.21875" style="1742" customWidth="1"/>
    <col min="9219" max="9219" width="15.6640625" style="1742" customWidth="1"/>
    <col min="9220" max="9220" width="9.33203125" style="1742" bestFit="1" customWidth="1"/>
    <col min="9221" max="9221" width="13.44140625" style="1742" customWidth="1"/>
    <col min="9222" max="9222" width="9" style="1742"/>
    <col min="9223" max="9223" width="9.33203125" style="1742" bestFit="1" customWidth="1"/>
    <col min="9224" max="9225" width="9" style="1742"/>
    <col min="9226" max="9226" width="9.33203125" style="1742" bestFit="1" customWidth="1"/>
    <col min="9227" max="9227" width="4" style="1742" customWidth="1"/>
    <col min="9228" max="9228" width="5.109375" style="1742" customWidth="1"/>
    <col min="9229" max="9229" width="13.77734375" style="1742" customWidth="1"/>
    <col min="9230" max="9472" width="9" style="1742"/>
    <col min="9473" max="9473" width="4.88671875" style="1742" customWidth="1"/>
    <col min="9474" max="9474" width="13.21875" style="1742" customWidth="1"/>
    <col min="9475" max="9475" width="15.6640625" style="1742" customWidth="1"/>
    <col min="9476" max="9476" width="9.33203125" style="1742" bestFit="1" customWidth="1"/>
    <col min="9477" max="9477" width="13.44140625" style="1742" customWidth="1"/>
    <col min="9478" max="9478" width="9" style="1742"/>
    <col min="9479" max="9479" width="9.33203125" style="1742" bestFit="1" customWidth="1"/>
    <col min="9480" max="9481" width="9" style="1742"/>
    <col min="9482" max="9482" width="9.33203125" style="1742" bestFit="1" customWidth="1"/>
    <col min="9483" max="9483" width="4" style="1742" customWidth="1"/>
    <col min="9484" max="9484" width="5.109375" style="1742" customWidth="1"/>
    <col min="9485" max="9485" width="13.77734375" style="1742" customWidth="1"/>
    <col min="9486" max="9728" width="9" style="1742"/>
    <col min="9729" max="9729" width="4.88671875" style="1742" customWidth="1"/>
    <col min="9730" max="9730" width="13.21875" style="1742" customWidth="1"/>
    <col min="9731" max="9731" width="15.6640625" style="1742" customWidth="1"/>
    <col min="9732" max="9732" width="9.33203125" style="1742" bestFit="1" customWidth="1"/>
    <col min="9733" max="9733" width="13.44140625" style="1742" customWidth="1"/>
    <col min="9734" max="9734" width="9" style="1742"/>
    <col min="9735" max="9735" width="9.33203125" style="1742" bestFit="1" customWidth="1"/>
    <col min="9736" max="9737" width="9" style="1742"/>
    <col min="9738" max="9738" width="9.33203125" style="1742" bestFit="1" customWidth="1"/>
    <col min="9739" max="9739" width="4" style="1742" customWidth="1"/>
    <col min="9740" max="9740" width="5.109375" style="1742" customWidth="1"/>
    <col min="9741" max="9741" width="13.77734375" style="1742" customWidth="1"/>
    <col min="9742" max="9984" width="9" style="1742"/>
    <col min="9985" max="9985" width="4.88671875" style="1742" customWidth="1"/>
    <col min="9986" max="9986" width="13.21875" style="1742" customWidth="1"/>
    <col min="9987" max="9987" width="15.6640625" style="1742" customWidth="1"/>
    <col min="9988" max="9988" width="9.33203125" style="1742" bestFit="1" customWidth="1"/>
    <col min="9989" max="9989" width="13.44140625" style="1742" customWidth="1"/>
    <col min="9990" max="9990" width="9" style="1742"/>
    <col min="9991" max="9991" width="9.33203125" style="1742" bestFit="1" customWidth="1"/>
    <col min="9992" max="9993" width="9" style="1742"/>
    <col min="9994" max="9994" width="9.33203125" style="1742" bestFit="1" customWidth="1"/>
    <col min="9995" max="9995" width="4" style="1742" customWidth="1"/>
    <col min="9996" max="9996" width="5.109375" style="1742" customWidth="1"/>
    <col min="9997" max="9997" width="13.77734375" style="1742" customWidth="1"/>
    <col min="9998" max="10240" width="9" style="1742"/>
    <col min="10241" max="10241" width="4.88671875" style="1742" customWidth="1"/>
    <col min="10242" max="10242" width="13.21875" style="1742" customWidth="1"/>
    <col min="10243" max="10243" width="15.6640625" style="1742" customWidth="1"/>
    <col min="10244" max="10244" width="9.33203125" style="1742" bestFit="1" customWidth="1"/>
    <col min="10245" max="10245" width="13.44140625" style="1742" customWidth="1"/>
    <col min="10246" max="10246" width="9" style="1742"/>
    <col min="10247" max="10247" width="9.33203125" style="1742" bestFit="1" customWidth="1"/>
    <col min="10248" max="10249" width="9" style="1742"/>
    <col min="10250" max="10250" width="9.33203125" style="1742" bestFit="1" customWidth="1"/>
    <col min="10251" max="10251" width="4" style="1742" customWidth="1"/>
    <col min="10252" max="10252" width="5.109375" style="1742" customWidth="1"/>
    <col min="10253" max="10253" width="13.77734375" style="1742" customWidth="1"/>
    <col min="10254" max="10496" width="9" style="1742"/>
    <col min="10497" max="10497" width="4.88671875" style="1742" customWidth="1"/>
    <col min="10498" max="10498" width="13.21875" style="1742" customWidth="1"/>
    <col min="10499" max="10499" width="15.6640625" style="1742" customWidth="1"/>
    <col min="10500" max="10500" width="9.33203125" style="1742" bestFit="1" customWidth="1"/>
    <col min="10501" max="10501" width="13.44140625" style="1742" customWidth="1"/>
    <col min="10502" max="10502" width="9" style="1742"/>
    <col min="10503" max="10503" width="9.33203125" style="1742" bestFit="1" customWidth="1"/>
    <col min="10504" max="10505" width="9" style="1742"/>
    <col min="10506" max="10506" width="9.33203125" style="1742" bestFit="1" customWidth="1"/>
    <col min="10507" max="10507" width="4" style="1742" customWidth="1"/>
    <col min="10508" max="10508" width="5.109375" style="1742" customWidth="1"/>
    <col min="10509" max="10509" width="13.77734375" style="1742" customWidth="1"/>
    <col min="10510" max="10752" width="9" style="1742"/>
    <col min="10753" max="10753" width="4.88671875" style="1742" customWidth="1"/>
    <col min="10754" max="10754" width="13.21875" style="1742" customWidth="1"/>
    <col min="10755" max="10755" width="15.6640625" style="1742" customWidth="1"/>
    <col min="10756" max="10756" width="9.33203125" style="1742" bestFit="1" customWidth="1"/>
    <col min="10757" max="10757" width="13.44140625" style="1742" customWidth="1"/>
    <col min="10758" max="10758" width="9" style="1742"/>
    <col min="10759" max="10759" width="9.33203125" style="1742" bestFit="1" customWidth="1"/>
    <col min="10760" max="10761" width="9" style="1742"/>
    <col min="10762" max="10762" width="9.33203125" style="1742" bestFit="1" customWidth="1"/>
    <col min="10763" max="10763" width="4" style="1742" customWidth="1"/>
    <col min="10764" max="10764" width="5.109375" style="1742" customWidth="1"/>
    <col min="10765" max="10765" width="13.77734375" style="1742" customWidth="1"/>
    <col min="10766" max="11008" width="9" style="1742"/>
    <col min="11009" max="11009" width="4.88671875" style="1742" customWidth="1"/>
    <col min="11010" max="11010" width="13.21875" style="1742" customWidth="1"/>
    <col min="11011" max="11011" width="15.6640625" style="1742" customWidth="1"/>
    <col min="11012" max="11012" width="9.33203125" style="1742" bestFit="1" customWidth="1"/>
    <col min="11013" max="11013" width="13.44140625" style="1742" customWidth="1"/>
    <col min="11014" max="11014" width="9" style="1742"/>
    <col min="11015" max="11015" width="9.33203125" style="1742" bestFit="1" customWidth="1"/>
    <col min="11016" max="11017" width="9" style="1742"/>
    <col min="11018" max="11018" width="9.33203125" style="1742" bestFit="1" customWidth="1"/>
    <col min="11019" max="11019" width="4" style="1742" customWidth="1"/>
    <col min="11020" max="11020" width="5.109375" style="1742" customWidth="1"/>
    <col min="11021" max="11021" width="13.77734375" style="1742" customWidth="1"/>
    <col min="11022" max="11264" width="9" style="1742"/>
    <col min="11265" max="11265" width="4.88671875" style="1742" customWidth="1"/>
    <col min="11266" max="11266" width="13.21875" style="1742" customWidth="1"/>
    <col min="11267" max="11267" width="15.6640625" style="1742" customWidth="1"/>
    <col min="11268" max="11268" width="9.33203125" style="1742" bestFit="1" customWidth="1"/>
    <col min="11269" max="11269" width="13.44140625" style="1742" customWidth="1"/>
    <col min="11270" max="11270" width="9" style="1742"/>
    <col min="11271" max="11271" width="9.33203125" style="1742" bestFit="1" customWidth="1"/>
    <col min="11272" max="11273" width="9" style="1742"/>
    <col min="11274" max="11274" width="9.33203125" style="1742" bestFit="1" customWidth="1"/>
    <col min="11275" max="11275" width="4" style="1742" customWidth="1"/>
    <col min="11276" max="11276" width="5.109375" style="1742" customWidth="1"/>
    <col min="11277" max="11277" width="13.77734375" style="1742" customWidth="1"/>
    <col min="11278" max="11520" width="9" style="1742"/>
    <col min="11521" max="11521" width="4.88671875" style="1742" customWidth="1"/>
    <col min="11522" max="11522" width="13.21875" style="1742" customWidth="1"/>
    <col min="11523" max="11523" width="15.6640625" style="1742" customWidth="1"/>
    <col min="11524" max="11524" width="9.33203125" style="1742" bestFit="1" customWidth="1"/>
    <col min="11525" max="11525" width="13.44140625" style="1742" customWidth="1"/>
    <col min="11526" max="11526" width="9" style="1742"/>
    <col min="11527" max="11527" width="9.33203125" style="1742" bestFit="1" customWidth="1"/>
    <col min="11528" max="11529" width="9" style="1742"/>
    <col min="11530" max="11530" width="9.33203125" style="1742" bestFit="1" customWidth="1"/>
    <col min="11531" max="11531" width="4" style="1742" customWidth="1"/>
    <col min="11532" max="11532" width="5.109375" style="1742" customWidth="1"/>
    <col min="11533" max="11533" width="13.77734375" style="1742" customWidth="1"/>
    <col min="11534" max="11776" width="9" style="1742"/>
    <col min="11777" max="11777" width="4.88671875" style="1742" customWidth="1"/>
    <col min="11778" max="11778" width="13.21875" style="1742" customWidth="1"/>
    <col min="11779" max="11779" width="15.6640625" style="1742" customWidth="1"/>
    <col min="11780" max="11780" width="9.33203125" style="1742" bestFit="1" customWidth="1"/>
    <col min="11781" max="11781" width="13.44140625" style="1742" customWidth="1"/>
    <col min="11782" max="11782" width="9" style="1742"/>
    <col min="11783" max="11783" width="9.33203125" style="1742" bestFit="1" customWidth="1"/>
    <col min="11784" max="11785" width="9" style="1742"/>
    <col min="11786" max="11786" width="9.33203125" style="1742" bestFit="1" customWidth="1"/>
    <col min="11787" max="11787" width="4" style="1742" customWidth="1"/>
    <col min="11788" max="11788" width="5.109375" style="1742" customWidth="1"/>
    <col min="11789" max="11789" width="13.77734375" style="1742" customWidth="1"/>
    <col min="11790" max="12032" width="9" style="1742"/>
    <col min="12033" max="12033" width="4.88671875" style="1742" customWidth="1"/>
    <col min="12034" max="12034" width="13.21875" style="1742" customWidth="1"/>
    <col min="12035" max="12035" width="15.6640625" style="1742" customWidth="1"/>
    <col min="12036" max="12036" width="9.33203125" style="1742" bestFit="1" customWidth="1"/>
    <col min="12037" max="12037" width="13.44140625" style="1742" customWidth="1"/>
    <col min="12038" max="12038" width="9" style="1742"/>
    <col min="12039" max="12039" width="9.33203125" style="1742" bestFit="1" customWidth="1"/>
    <col min="12040" max="12041" width="9" style="1742"/>
    <col min="12042" max="12042" width="9.33203125" style="1742" bestFit="1" customWidth="1"/>
    <col min="12043" max="12043" width="4" style="1742" customWidth="1"/>
    <col min="12044" max="12044" width="5.109375" style="1742" customWidth="1"/>
    <col min="12045" max="12045" width="13.77734375" style="1742" customWidth="1"/>
    <col min="12046" max="12288" width="9" style="1742"/>
    <col min="12289" max="12289" width="4.88671875" style="1742" customWidth="1"/>
    <col min="12290" max="12290" width="13.21875" style="1742" customWidth="1"/>
    <col min="12291" max="12291" width="15.6640625" style="1742" customWidth="1"/>
    <col min="12292" max="12292" width="9.33203125" style="1742" bestFit="1" customWidth="1"/>
    <col min="12293" max="12293" width="13.44140625" style="1742" customWidth="1"/>
    <col min="12294" max="12294" width="9" style="1742"/>
    <col min="12295" max="12295" width="9.33203125" style="1742" bestFit="1" customWidth="1"/>
    <col min="12296" max="12297" width="9" style="1742"/>
    <col min="12298" max="12298" width="9.33203125" style="1742" bestFit="1" customWidth="1"/>
    <col min="12299" max="12299" width="4" style="1742" customWidth="1"/>
    <col min="12300" max="12300" width="5.109375" style="1742" customWidth="1"/>
    <col min="12301" max="12301" width="13.77734375" style="1742" customWidth="1"/>
    <col min="12302" max="12544" width="9" style="1742"/>
    <col min="12545" max="12545" width="4.88671875" style="1742" customWidth="1"/>
    <col min="12546" max="12546" width="13.21875" style="1742" customWidth="1"/>
    <col min="12547" max="12547" width="15.6640625" style="1742" customWidth="1"/>
    <col min="12548" max="12548" width="9.33203125" style="1742" bestFit="1" customWidth="1"/>
    <col min="12549" max="12549" width="13.44140625" style="1742" customWidth="1"/>
    <col min="12550" max="12550" width="9" style="1742"/>
    <col min="12551" max="12551" width="9.33203125" style="1742" bestFit="1" customWidth="1"/>
    <col min="12552" max="12553" width="9" style="1742"/>
    <col min="12554" max="12554" width="9.33203125" style="1742" bestFit="1" customWidth="1"/>
    <col min="12555" max="12555" width="4" style="1742" customWidth="1"/>
    <col min="12556" max="12556" width="5.109375" style="1742" customWidth="1"/>
    <col min="12557" max="12557" width="13.77734375" style="1742" customWidth="1"/>
    <col min="12558" max="12800" width="9" style="1742"/>
    <col min="12801" max="12801" width="4.88671875" style="1742" customWidth="1"/>
    <col min="12802" max="12802" width="13.21875" style="1742" customWidth="1"/>
    <col min="12803" max="12803" width="15.6640625" style="1742" customWidth="1"/>
    <col min="12804" max="12804" width="9.33203125" style="1742" bestFit="1" customWidth="1"/>
    <col min="12805" max="12805" width="13.44140625" style="1742" customWidth="1"/>
    <col min="12806" max="12806" width="9" style="1742"/>
    <col min="12807" max="12807" width="9.33203125" style="1742" bestFit="1" customWidth="1"/>
    <col min="12808" max="12809" width="9" style="1742"/>
    <col min="12810" max="12810" width="9.33203125" style="1742" bestFit="1" customWidth="1"/>
    <col min="12811" max="12811" width="4" style="1742" customWidth="1"/>
    <col min="12812" max="12812" width="5.109375" style="1742" customWidth="1"/>
    <col min="12813" max="12813" width="13.77734375" style="1742" customWidth="1"/>
    <col min="12814" max="13056" width="9" style="1742"/>
    <col min="13057" max="13057" width="4.88671875" style="1742" customWidth="1"/>
    <col min="13058" max="13058" width="13.21875" style="1742" customWidth="1"/>
    <col min="13059" max="13059" width="15.6640625" style="1742" customWidth="1"/>
    <col min="13060" max="13060" width="9.33203125" style="1742" bestFit="1" customWidth="1"/>
    <col min="13061" max="13061" width="13.44140625" style="1742" customWidth="1"/>
    <col min="13062" max="13062" width="9" style="1742"/>
    <col min="13063" max="13063" width="9.33203125" style="1742" bestFit="1" customWidth="1"/>
    <col min="13064" max="13065" width="9" style="1742"/>
    <col min="13066" max="13066" width="9.33203125" style="1742" bestFit="1" customWidth="1"/>
    <col min="13067" max="13067" width="4" style="1742" customWidth="1"/>
    <col min="13068" max="13068" width="5.109375" style="1742" customWidth="1"/>
    <col min="13069" max="13069" width="13.77734375" style="1742" customWidth="1"/>
    <col min="13070" max="13312" width="9" style="1742"/>
    <col min="13313" max="13313" width="4.88671875" style="1742" customWidth="1"/>
    <col min="13314" max="13314" width="13.21875" style="1742" customWidth="1"/>
    <col min="13315" max="13315" width="15.6640625" style="1742" customWidth="1"/>
    <col min="13316" max="13316" width="9.33203125" style="1742" bestFit="1" customWidth="1"/>
    <col min="13317" max="13317" width="13.44140625" style="1742" customWidth="1"/>
    <col min="13318" max="13318" width="9" style="1742"/>
    <col min="13319" max="13319" width="9.33203125" style="1742" bestFit="1" customWidth="1"/>
    <col min="13320" max="13321" width="9" style="1742"/>
    <col min="13322" max="13322" width="9.33203125" style="1742" bestFit="1" customWidth="1"/>
    <col min="13323" max="13323" width="4" style="1742" customWidth="1"/>
    <col min="13324" max="13324" width="5.109375" style="1742" customWidth="1"/>
    <col min="13325" max="13325" width="13.77734375" style="1742" customWidth="1"/>
    <col min="13326" max="13568" width="9" style="1742"/>
    <col min="13569" max="13569" width="4.88671875" style="1742" customWidth="1"/>
    <col min="13570" max="13570" width="13.21875" style="1742" customWidth="1"/>
    <col min="13571" max="13571" width="15.6640625" style="1742" customWidth="1"/>
    <col min="13572" max="13572" width="9.33203125" style="1742" bestFit="1" customWidth="1"/>
    <col min="13573" max="13573" width="13.44140625" style="1742" customWidth="1"/>
    <col min="13574" max="13574" width="9" style="1742"/>
    <col min="13575" max="13575" width="9.33203125" style="1742" bestFit="1" customWidth="1"/>
    <col min="13576" max="13577" width="9" style="1742"/>
    <col min="13578" max="13578" width="9.33203125" style="1742" bestFit="1" customWidth="1"/>
    <col min="13579" max="13579" width="4" style="1742" customWidth="1"/>
    <col min="13580" max="13580" width="5.109375" style="1742" customWidth="1"/>
    <col min="13581" max="13581" width="13.77734375" style="1742" customWidth="1"/>
    <col min="13582" max="13824" width="9" style="1742"/>
    <col min="13825" max="13825" width="4.88671875" style="1742" customWidth="1"/>
    <col min="13826" max="13826" width="13.21875" style="1742" customWidth="1"/>
    <col min="13827" max="13827" width="15.6640625" style="1742" customWidth="1"/>
    <col min="13828" max="13828" width="9.33203125" style="1742" bestFit="1" customWidth="1"/>
    <col min="13829" max="13829" width="13.44140625" style="1742" customWidth="1"/>
    <col min="13830" max="13830" width="9" style="1742"/>
    <col min="13831" max="13831" width="9.33203125" style="1742" bestFit="1" customWidth="1"/>
    <col min="13832" max="13833" width="9" style="1742"/>
    <col min="13834" max="13834" width="9.33203125" style="1742" bestFit="1" customWidth="1"/>
    <col min="13835" max="13835" width="4" style="1742" customWidth="1"/>
    <col min="13836" max="13836" width="5.109375" style="1742" customWidth="1"/>
    <col min="13837" max="13837" width="13.77734375" style="1742" customWidth="1"/>
    <col min="13838" max="14080" width="9" style="1742"/>
    <col min="14081" max="14081" width="4.88671875" style="1742" customWidth="1"/>
    <col min="14082" max="14082" width="13.21875" style="1742" customWidth="1"/>
    <col min="14083" max="14083" width="15.6640625" style="1742" customWidth="1"/>
    <col min="14084" max="14084" width="9.33203125" style="1742" bestFit="1" customWidth="1"/>
    <col min="14085" max="14085" width="13.44140625" style="1742" customWidth="1"/>
    <col min="14086" max="14086" width="9" style="1742"/>
    <col min="14087" max="14087" width="9.33203125" style="1742" bestFit="1" customWidth="1"/>
    <col min="14088" max="14089" width="9" style="1742"/>
    <col min="14090" max="14090" width="9.33203125" style="1742" bestFit="1" customWidth="1"/>
    <col min="14091" max="14091" width="4" style="1742" customWidth="1"/>
    <col min="14092" max="14092" width="5.109375" style="1742" customWidth="1"/>
    <col min="14093" max="14093" width="13.77734375" style="1742" customWidth="1"/>
    <col min="14094" max="14336" width="9" style="1742"/>
    <col min="14337" max="14337" width="4.88671875" style="1742" customWidth="1"/>
    <col min="14338" max="14338" width="13.21875" style="1742" customWidth="1"/>
    <col min="14339" max="14339" width="15.6640625" style="1742" customWidth="1"/>
    <col min="14340" max="14340" width="9.33203125" style="1742" bestFit="1" customWidth="1"/>
    <col min="14341" max="14341" width="13.44140625" style="1742" customWidth="1"/>
    <col min="14342" max="14342" width="9" style="1742"/>
    <col min="14343" max="14343" width="9.33203125" style="1742" bestFit="1" customWidth="1"/>
    <col min="14344" max="14345" width="9" style="1742"/>
    <col min="14346" max="14346" width="9.33203125" style="1742" bestFit="1" customWidth="1"/>
    <col min="14347" max="14347" width="4" style="1742" customWidth="1"/>
    <col min="14348" max="14348" width="5.109375" style="1742" customWidth="1"/>
    <col min="14349" max="14349" width="13.77734375" style="1742" customWidth="1"/>
    <col min="14350" max="14592" width="9" style="1742"/>
    <col min="14593" max="14593" width="4.88671875" style="1742" customWidth="1"/>
    <col min="14594" max="14594" width="13.21875" style="1742" customWidth="1"/>
    <col min="14595" max="14595" width="15.6640625" style="1742" customWidth="1"/>
    <col min="14596" max="14596" width="9.33203125" style="1742" bestFit="1" customWidth="1"/>
    <col min="14597" max="14597" width="13.44140625" style="1742" customWidth="1"/>
    <col min="14598" max="14598" width="9" style="1742"/>
    <col min="14599" max="14599" width="9.33203125" style="1742" bestFit="1" customWidth="1"/>
    <col min="14600" max="14601" width="9" style="1742"/>
    <col min="14602" max="14602" width="9.33203125" style="1742" bestFit="1" customWidth="1"/>
    <col min="14603" max="14603" width="4" style="1742" customWidth="1"/>
    <col min="14604" max="14604" width="5.109375" style="1742" customWidth="1"/>
    <col min="14605" max="14605" width="13.77734375" style="1742" customWidth="1"/>
    <col min="14606" max="14848" width="9" style="1742"/>
    <col min="14849" max="14849" width="4.88671875" style="1742" customWidth="1"/>
    <col min="14850" max="14850" width="13.21875" style="1742" customWidth="1"/>
    <col min="14851" max="14851" width="15.6640625" style="1742" customWidth="1"/>
    <col min="14852" max="14852" width="9.33203125" style="1742" bestFit="1" customWidth="1"/>
    <col min="14853" max="14853" width="13.44140625" style="1742" customWidth="1"/>
    <col min="14854" max="14854" width="9" style="1742"/>
    <col min="14855" max="14855" width="9.33203125" style="1742" bestFit="1" customWidth="1"/>
    <col min="14856" max="14857" width="9" style="1742"/>
    <col min="14858" max="14858" width="9.33203125" style="1742" bestFit="1" customWidth="1"/>
    <col min="14859" max="14859" width="4" style="1742" customWidth="1"/>
    <col min="14860" max="14860" width="5.109375" style="1742" customWidth="1"/>
    <col min="14861" max="14861" width="13.77734375" style="1742" customWidth="1"/>
    <col min="14862" max="15104" width="9" style="1742"/>
    <col min="15105" max="15105" width="4.88671875" style="1742" customWidth="1"/>
    <col min="15106" max="15106" width="13.21875" style="1742" customWidth="1"/>
    <col min="15107" max="15107" width="15.6640625" style="1742" customWidth="1"/>
    <col min="15108" max="15108" width="9.33203125" style="1742" bestFit="1" customWidth="1"/>
    <col min="15109" max="15109" width="13.44140625" style="1742" customWidth="1"/>
    <col min="15110" max="15110" width="9" style="1742"/>
    <col min="15111" max="15111" width="9.33203125" style="1742" bestFit="1" customWidth="1"/>
    <col min="15112" max="15113" width="9" style="1742"/>
    <col min="15114" max="15114" width="9.33203125" style="1742" bestFit="1" customWidth="1"/>
    <col min="15115" max="15115" width="4" style="1742" customWidth="1"/>
    <col min="15116" max="15116" width="5.109375" style="1742" customWidth="1"/>
    <col min="15117" max="15117" width="13.77734375" style="1742" customWidth="1"/>
    <col min="15118" max="15360" width="9" style="1742"/>
    <col min="15361" max="15361" width="4.88671875" style="1742" customWidth="1"/>
    <col min="15362" max="15362" width="13.21875" style="1742" customWidth="1"/>
    <col min="15363" max="15363" width="15.6640625" style="1742" customWidth="1"/>
    <col min="15364" max="15364" width="9.33203125" style="1742" bestFit="1" customWidth="1"/>
    <col min="15365" max="15365" width="13.44140625" style="1742" customWidth="1"/>
    <col min="15366" max="15366" width="9" style="1742"/>
    <col min="15367" max="15367" width="9.33203125" style="1742" bestFit="1" customWidth="1"/>
    <col min="15368" max="15369" width="9" style="1742"/>
    <col min="15370" max="15370" width="9.33203125" style="1742" bestFit="1" customWidth="1"/>
    <col min="15371" max="15371" width="4" style="1742" customWidth="1"/>
    <col min="15372" max="15372" width="5.109375" style="1742" customWidth="1"/>
    <col min="15373" max="15373" width="13.77734375" style="1742" customWidth="1"/>
    <col min="15374" max="15616" width="9" style="1742"/>
    <col min="15617" max="15617" width="4.88671875" style="1742" customWidth="1"/>
    <col min="15618" max="15618" width="13.21875" style="1742" customWidth="1"/>
    <col min="15619" max="15619" width="15.6640625" style="1742" customWidth="1"/>
    <col min="15620" max="15620" width="9.33203125" style="1742" bestFit="1" customWidth="1"/>
    <col min="15621" max="15621" width="13.44140625" style="1742" customWidth="1"/>
    <col min="15622" max="15622" width="9" style="1742"/>
    <col min="15623" max="15623" width="9.33203125" style="1742" bestFit="1" customWidth="1"/>
    <col min="15624" max="15625" width="9" style="1742"/>
    <col min="15626" max="15626" width="9.33203125" style="1742" bestFit="1" customWidth="1"/>
    <col min="15627" max="15627" width="4" style="1742" customWidth="1"/>
    <col min="15628" max="15628" width="5.109375" style="1742" customWidth="1"/>
    <col min="15629" max="15629" width="13.77734375" style="1742" customWidth="1"/>
    <col min="15630" max="15872" width="9" style="1742"/>
    <col min="15873" max="15873" width="4.88671875" style="1742" customWidth="1"/>
    <col min="15874" max="15874" width="13.21875" style="1742" customWidth="1"/>
    <col min="15875" max="15875" width="15.6640625" style="1742" customWidth="1"/>
    <col min="15876" max="15876" width="9.33203125" style="1742" bestFit="1" customWidth="1"/>
    <col min="15877" max="15877" width="13.44140625" style="1742" customWidth="1"/>
    <col min="15878" max="15878" width="9" style="1742"/>
    <col min="15879" max="15879" width="9.33203125" style="1742" bestFit="1" customWidth="1"/>
    <col min="15880" max="15881" width="9" style="1742"/>
    <col min="15882" max="15882" width="9.33203125" style="1742" bestFit="1" customWidth="1"/>
    <col min="15883" max="15883" width="4" style="1742" customWidth="1"/>
    <col min="15884" max="15884" width="5.109375" style="1742" customWidth="1"/>
    <col min="15885" max="15885" width="13.77734375" style="1742" customWidth="1"/>
    <col min="15886" max="16128" width="9" style="1742"/>
    <col min="16129" max="16129" width="4.88671875" style="1742" customWidth="1"/>
    <col min="16130" max="16130" width="13.21875" style="1742" customWidth="1"/>
    <col min="16131" max="16131" width="15.6640625" style="1742" customWidth="1"/>
    <col min="16132" max="16132" width="9.33203125" style="1742" bestFit="1" customWidth="1"/>
    <col min="16133" max="16133" width="13.44140625" style="1742" customWidth="1"/>
    <col min="16134" max="16134" width="9" style="1742"/>
    <col min="16135" max="16135" width="9.33203125" style="1742" bestFit="1" customWidth="1"/>
    <col min="16136" max="16137" width="9" style="1742"/>
    <col min="16138" max="16138" width="9.33203125" style="1742" bestFit="1" customWidth="1"/>
    <col min="16139" max="16139" width="4" style="1742" customWidth="1"/>
    <col min="16140" max="16140" width="5.109375" style="1742" customWidth="1"/>
    <col min="16141" max="16141" width="13.77734375" style="1742" customWidth="1"/>
    <col min="16142" max="16384" width="9" style="1742"/>
  </cols>
  <sheetData>
    <row r="1" spans="1:257" s="1805" customFormat="1" ht="15" thickBot="1">
      <c r="A1" s="1800"/>
      <c r="B1" s="1801" t="s">
        <v>1185</v>
      </c>
      <c r="C1" s="1806">
        <f>项目基本情况!D2</f>
        <v>43328</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6"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399999999999999">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2">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31.2">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6.8">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908" customWidth="1"/>
    <col min="2" max="2" width="37.88671875" style="1908" customWidth="1"/>
    <col min="3" max="3" width="16.109375" style="1908" customWidth="1"/>
    <col min="4" max="4" width="22.21875" style="1908" customWidth="1"/>
    <col min="5" max="5" width="4.109375" style="1908" customWidth="1"/>
    <col min="6" max="7" width="13" style="1908" customWidth="1"/>
    <col min="8" max="16384" width="9" style="1908"/>
  </cols>
  <sheetData>
    <row r="1" spans="1:5" ht="17.399999999999999">
      <c r="A1" s="1928" t="s">
        <v>782</v>
      </c>
      <c r="B1" s="1926"/>
      <c r="C1" s="1926"/>
      <c r="D1" s="1926"/>
      <c r="E1" s="1926"/>
    </row>
    <row r="2" spans="1:5" ht="78.75" customHeight="1">
      <c r="A2" s="27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5"/>
      <c r="C2" s="2745"/>
      <c r="D2" s="2745"/>
      <c r="E2" s="2745"/>
    </row>
    <row r="3" spans="1:5" ht="13.5" customHeight="1">
      <c r="A3" s="1929"/>
      <c r="B3" s="1929"/>
      <c r="C3" s="1929"/>
      <c r="D3" s="1929"/>
      <c r="E3" s="1929"/>
    </row>
    <row r="4" spans="1:5" ht="18" thickBot="1">
      <c r="A4" s="2746" t="str">
        <f>IF(项目基本情况!D5="房地产市场价值","估价结果一览表（市场价值不需本页表格)","估价结果一览表")</f>
        <v>估价结果一览表</v>
      </c>
      <c r="B4" s="2746"/>
      <c r="C4" s="2746"/>
      <c r="D4" s="2746"/>
      <c r="E4" s="2746"/>
    </row>
    <row r="5" spans="1:5" ht="14.25" customHeight="1" thickTop="1">
      <c r="A5" s="1926"/>
      <c r="B5" s="1930" t="s">
        <v>742</v>
      </c>
      <c r="C5" s="2747" t="s">
        <v>783</v>
      </c>
      <c r="D5" s="2748"/>
      <c r="E5" s="1926"/>
    </row>
    <row r="6" spans="1:5" ht="15.6">
      <c r="A6" s="1926"/>
      <c r="B6" s="1931" t="str">
        <f>项目基本情况!I1</f>
        <v>北京市房地产</v>
      </c>
      <c r="C6" s="2749">
        <f>项目基本情况!C12</f>
        <v>424.6</v>
      </c>
      <c r="D6" s="2749"/>
      <c r="E6" s="1926"/>
    </row>
    <row r="7" spans="1:5" ht="15.6">
      <c r="A7" s="1926"/>
      <c r="B7" s="2743" t="s">
        <v>784</v>
      </c>
      <c r="C7" s="1932" t="str">
        <f>IF('数据-取费表'!B3="万元","总价（万元）","总价（元）")</f>
        <v>总价（万元）</v>
      </c>
      <c r="D7" s="1933">
        <f ca="1">IF('数据-取费表'!E3="否",结果表!I102,'结果表 (1修多)'!I103)</f>
        <v>1440</v>
      </c>
      <c r="E7" s="1926"/>
    </row>
    <row r="8" spans="1:5" ht="15.6">
      <c r="A8" s="1926"/>
      <c r="B8" s="2743"/>
      <c r="C8" s="1934" t="s">
        <v>1175</v>
      </c>
      <c r="D8" s="1935" t="str">
        <f ca="1">IF('数据-取费表'!B3="万元",NUMBERSTRING(INT(D7*10000),2)&amp;"元整",NUMBERSTRING(INT(D7),2)&amp;"元整")</f>
        <v>壹仟肆佰肆拾万元整</v>
      </c>
      <c r="E8" s="1926"/>
    </row>
    <row r="9" spans="1:5" ht="15.6">
      <c r="A9" s="1926"/>
      <c r="B9" s="2743"/>
      <c r="C9" s="1936" t="s">
        <v>1274</v>
      </c>
      <c r="D9" s="1933">
        <f ca="1">IF('数据-取费表'!E3="否",结果表!I103,'结果表 (1修多)'!I104)</f>
        <v>33914</v>
      </c>
      <c r="E9" s="1926"/>
    </row>
    <row r="10" spans="1:5" ht="15.6">
      <c r="A10" s="1926"/>
      <c r="B10" s="2750"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5.6">
      <c r="A11" s="1926"/>
      <c r="B11" s="2750"/>
      <c r="C11" s="1934" t="s">
        <v>1175</v>
      </c>
      <c r="D11" s="1935" t="str">
        <f>IF('数据-取费表'!B3="万元",NUMBERSTRING(INT(D10*10000),2)&amp;"元整",NUMBERSTRING(INT(D10),2)&amp;"元整")</f>
        <v>零元整</v>
      </c>
      <c r="E11" s="1926"/>
    </row>
    <row r="12" spans="1:5" ht="15.6">
      <c r="A12" s="1926"/>
      <c r="B12" s="1938" t="s">
        <v>743</v>
      </c>
      <c r="C12" s="1939" t="str">
        <f>C10</f>
        <v>总额（万元）</v>
      </c>
      <c r="D12" s="1940">
        <f>IF('数据-取费表'!E3="否",结果表!I106,'结果表 (1修多)'!I107)</f>
        <v>0</v>
      </c>
      <c r="E12" s="1926"/>
    </row>
    <row r="13" spans="1:5" ht="15.6">
      <c r="A13" s="1926"/>
      <c r="B13" s="1938" t="s">
        <v>744</v>
      </c>
      <c r="C13" s="1939" t="str">
        <f>C10</f>
        <v>总额（万元）</v>
      </c>
      <c r="D13" s="1940">
        <f>IF('数据-取费表'!E3="否",结果表!I107,'结果表 (1修多)'!I108)</f>
        <v>0</v>
      </c>
      <c r="E13" s="1926"/>
    </row>
    <row r="14" spans="1:5" ht="15.6">
      <c r="A14" s="1926"/>
      <c r="B14" s="1938" t="s">
        <v>745</v>
      </c>
      <c r="C14" s="1939" t="str">
        <f>C10</f>
        <v>总额（万元）</v>
      </c>
      <c r="D14" s="1940">
        <f>IF('数据-取费表'!E3="否",结果表!I108,'结果表 (1修多)'!I109)</f>
        <v>0</v>
      </c>
      <c r="E14" s="1926"/>
    </row>
    <row r="15" spans="1:5" ht="15.6">
      <c r="A15" s="1926"/>
      <c r="B15" s="2750" t="str">
        <f>IF('数据-取费表'!E3="否",结果表!F110,'结果表 (1修多)'!F111)</f>
        <v>——</v>
      </c>
      <c r="C15" s="1927" t="str">
        <f>C7</f>
        <v>总价（万元）</v>
      </c>
      <c r="D15" s="1933" t="str">
        <f>IF('数据-取费表'!E3="否",结果表!I110,'结果表 (1修多)'!I111)</f>
        <v>——</v>
      </c>
      <c r="E15" s="1926"/>
    </row>
    <row r="16" spans="1:5" ht="15.6">
      <c r="A16" s="1926"/>
      <c r="B16" s="2750"/>
      <c r="C16" s="1934" t="s">
        <v>1175</v>
      </c>
      <c r="D16" s="1933" t="e">
        <f>IF('数据-取费表'!B3="万元",NUMBERSTRING(INT(D15*10000),2)&amp;"元整",NUMBERSTRING(INT(D15),2)&amp;"元整")</f>
        <v>#VALUE!</v>
      </c>
      <c r="E16" s="1926"/>
    </row>
    <row r="17" spans="1:5" ht="15.6">
      <c r="A17" s="1926"/>
      <c r="B17" s="2750"/>
      <c r="C17" s="1936" t="s">
        <v>1274</v>
      </c>
      <c r="D17" s="1933" t="e">
        <f ca="1">IF('数据-取费表'!E3="否",结果表!I111,'结果表 (1修多)'!I112)</f>
        <v>#VALUE!</v>
      </c>
      <c r="E17" s="1926"/>
    </row>
    <row r="18" spans="1:5" ht="15.6">
      <c r="A18" s="1926"/>
      <c r="B18" s="2750" t="str">
        <f>IF('数据-取费表'!E3="否",结果表!F112,'结果表 (1修多)'!F113)</f>
        <v>3.抵押担保权已注销时的房地产抵押价值</v>
      </c>
      <c r="C18" s="1927" t="str">
        <f>C7</f>
        <v>总价（万元）</v>
      </c>
      <c r="D18" s="1933">
        <f ca="1">IF('数据-取费表'!E3="否",结果表!I112,'结果表 (1修多)'!I113)</f>
        <v>1440</v>
      </c>
      <c r="E18" s="1926"/>
    </row>
    <row r="19" spans="1:5" ht="15.6">
      <c r="A19" s="1926"/>
      <c r="B19" s="2750"/>
      <c r="C19" s="1934" t="s">
        <v>1175</v>
      </c>
      <c r="D19" s="1933" t="str">
        <f ca="1">IF('数据-取费表'!B3="万元",NUMBERSTRING(INT(D18*10000),2)&amp;"元整",NUMBERSTRING(INT(D18),2)&amp;"元整")</f>
        <v>壹仟肆佰肆拾万元整</v>
      </c>
      <c r="E19" s="1926"/>
    </row>
    <row r="20" spans="1:5" ht="15.6">
      <c r="A20" s="1926"/>
      <c r="B20" s="2750"/>
      <c r="C20" s="1936" t="s">
        <v>1274</v>
      </c>
      <c r="D20" s="1933">
        <f ca="1">IF('数据-取费表'!E3="否",结果表!I113,'结果表 (1修多)'!I114)</f>
        <v>33914</v>
      </c>
      <c r="E20" s="1926"/>
    </row>
    <row r="21" spans="1:5" ht="15.6">
      <c r="A21" s="1926"/>
      <c r="B21" s="2743" t="str">
        <f>IF('数据-取费表'!E3="否",结果表!F114,'结果表 (1修多)'!F115)</f>
        <v>——</v>
      </c>
      <c r="C21" s="1932" t="str">
        <f>C7</f>
        <v>总价（万元）</v>
      </c>
      <c r="D21" s="1933" t="str">
        <f>IF('数据-取费表'!E3="否",结果表!I114,'结果表 (1修多)'!I115)</f>
        <v>——</v>
      </c>
      <c r="E21" s="1926"/>
    </row>
    <row r="22" spans="1:5" ht="15.6">
      <c r="A22" s="1926"/>
      <c r="B22" s="2743"/>
      <c r="C22" s="1934" t="s">
        <v>1175</v>
      </c>
      <c r="D22" s="1935" t="e">
        <f>IF('数据-取费表'!B3="万元",NUMBERSTRING(INT(D21*10000),2)&amp;"元整",NUMBERSTRING(INT(D21),2)&amp;"元整")</f>
        <v>#VALUE!</v>
      </c>
      <c r="E22" s="1926"/>
    </row>
    <row r="23" spans="1:5" ht="16.2" thickBot="1">
      <c r="A23" s="1926"/>
      <c r="B23" s="2744"/>
      <c r="C23" s="1941" t="s">
        <v>1274</v>
      </c>
      <c r="D23" s="1942" t="str">
        <f ca="1">IF('数据-取费表'!E3="否",结果表!I115,'结果表 (1修多)'!I116)</f>
        <v>——</v>
      </c>
      <c r="E23" s="1926"/>
    </row>
    <row r="24" spans="1:5" ht="15" thickTop="1">
      <c r="A24" s="1926"/>
      <c r="B24" s="1926"/>
      <c r="C24" s="1926"/>
      <c r="D24" s="1926"/>
      <c r="E24" s="1926"/>
    </row>
    <row r="25" spans="1:5" ht="18.75" customHeight="1" thickBot="1">
      <c r="A25" s="1926"/>
      <c r="B25" s="2758" t="s">
        <v>1275</v>
      </c>
      <c r="C25" s="2758"/>
      <c r="D25" s="2758"/>
      <c r="E25" s="1926"/>
    </row>
    <row r="26" spans="1:5" ht="18.75" customHeight="1" thickTop="1">
      <c r="A26" s="1926"/>
      <c r="B26" s="2761" t="s">
        <v>1174</v>
      </c>
      <c r="C26" s="2762"/>
      <c r="D26" s="2759" t="s">
        <v>1173</v>
      </c>
      <c r="E26" s="1926"/>
    </row>
    <row r="27" spans="1:5" ht="18.75" customHeight="1">
      <c r="A27" s="1926"/>
      <c r="B27" s="2763"/>
      <c r="C27" s="2764"/>
      <c r="D27" s="2760"/>
      <c r="E27" s="1926"/>
    </row>
    <row r="28" spans="1:5" ht="15.6">
      <c r="A28" s="1926"/>
      <c r="B28" s="2751" t="s">
        <v>784</v>
      </c>
      <c r="C28" s="1943" t="s">
        <v>1176</v>
      </c>
      <c r="D28" s="1944">
        <f ca="1">IF('数据-取费表'!E3="否",结果表!I102,'结果表 (1修多)'!I103)</f>
        <v>1440</v>
      </c>
      <c r="E28" s="1926"/>
    </row>
    <row r="29" spans="1:5" ht="15.6">
      <c r="A29" s="1926"/>
      <c r="B29" s="2752"/>
      <c r="C29" s="1945" t="s">
        <v>1175</v>
      </c>
      <c r="D29" s="1946" t="str">
        <f ca="1">IF('数据-取费表'!B3="万元",NUMBERSTRING(INT(D28*10000),2)&amp;"元整",NUMBERSTRING(INT(D28),2)&amp;"元整")</f>
        <v>壹仟肆佰肆拾万元整</v>
      </c>
      <c r="E29" s="1926"/>
    </row>
    <row r="30" spans="1:5" ht="15.6">
      <c r="A30" s="1926"/>
      <c r="B30" s="2753"/>
      <c r="C30" s="1936" t="s">
        <v>1178</v>
      </c>
      <c r="D30" s="1947">
        <f ca="1">IF('数据-取费表'!E3="否",结果表!I103,'结果表 (1修多)'!I104)</f>
        <v>33914</v>
      </c>
      <c r="E30" s="1926"/>
    </row>
    <row r="31" spans="1:5" ht="15.6">
      <c r="A31" s="1926"/>
      <c r="B31" s="2756" t="str">
        <f>B10</f>
        <v>2.估价师所知悉的法定优先受偿款</v>
      </c>
      <c r="C31" s="1948" t="s">
        <v>1177</v>
      </c>
      <c r="D31" s="1949">
        <f>IF('数据-取费表'!E3="否",结果表!I105,'结果表 (1修多)'!I106)</f>
        <v>0</v>
      </c>
      <c r="E31" s="1926"/>
    </row>
    <row r="32" spans="1:5" ht="15.6">
      <c r="A32" s="1926"/>
      <c r="B32" s="2765"/>
      <c r="C32" s="1945" t="s">
        <v>1175</v>
      </c>
      <c r="D32" s="1950" t="str">
        <f>IF('数据-取费表'!B3="万元",NUMBERSTRING(INT(D31*10000),2)&amp;"元整",NUMBERSTRING(INT(D31),2)&amp;"元整")</f>
        <v>零元整</v>
      </c>
      <c r="E32" s="1926"/>
    </row>
    <row r="33" spans="1:5" ht="15.6">
      <c r="A33" s="1926"/>
      <c r="B33" s="1934" t="s">
        <v>1158</v>
      </c>
      <c r="C33" s="1934" t="str">
        <f>C31</f>
        <v>总额</v>
      </c>
      <c r="D33" s="1947">
        <f>IF('数据-取费表'!E3="否",结果表!I106,'结果表 (1修多)'!I107)</f>
        <v>0</v>
      </c>
      <c r="E33" s="1926"/>
    </row>
    <row r="34" spans="1:5" ht="15.6">
      <c r="A34" s="1926"/>
      <c r="B34" s="1934" t="s">
        <v>1159</v>
      </c>
      <c r="C34" s="1934" t="str">
        <f>C31</f>
        <v>总额</v>
      </c>
      <c r="D34" s="1947">
        <f>IF('数据-取费表'!E3="否",结果表!I107,'结果表 (1修多)'!I108)</f>
        <v>0</v>
      </c>
      <c r="E34" s="1926"/>
    </row>
    <row r="35" spans="1:5" ht="15.6">
      <c r="A35" s="1926"/>
      <c r="B35" s="1934" t="s">
        <v>1160</v>
      </c>
      <c r="C35" s="1934" t="str">
        <f>C31</f>
        <v>总额</v>
      </c>
      <c r="D35" s="1947">
        <f>IF('数据-取费表'!E3="否",结果表!I108,'结果表 (1修多)'!I109)</f>
        <v>0</v>
      </c>
      <c r="E35" s="1926"/>
    </row>
    <row r="36" spans="1:5" ht="15.6">
      <c r="A36" s="1926"/>
      <c r="B36" s="2754" t="str">
        <f>B15</f>
        <v>——</v>
      </c>
      <c r="C36" s="1948" t="str">
        <f>C28</f>
        <v>总价</v>
      </c>
      <c r="D36" s="1949" t="str">
        <f>IF('数据-取费表'!E3="否",结果表!I110,'结果表 (1修多)'!I111)</f>
        <v>——</v>
      </c>
      <c r="E36" s="1926"/>
    </row>
    <row r="37" spans="1:5" ht="15.6">
      <c r="A37" s="1926"/>
      <c r="B37" s="2754"/>
      <c r="C37" s="1945" t="s">
        <v>1175</v>
      </c>
      <c r="D37" s="1950" t="e">
        <f>IF('数据-取费表'!B3="万元",NUMBERSTRING(INT(D36*10000),2)&amp;"元整",NUMBERSTRING(INT(D36),2)&amp;"元整")</f>
        <v>#VALUE!</v>
      </c>
      <c r="E37" s="1926"/>
    </row>
    <row r="38" spans="1:5" ht="15.6">
      <c r="A38" s="1926"/>
      <c r="B38" s="2754"/>
      <c r="C38" s="1936" t="s">
        <v>1179</v>
      </c>
      <c r="D38" s="1947" t="e">
        <f ca="1">IF('数据-取费表'!E3="否",结果表!D113,'结果表 (1修多)'!D116)</f>
        <v>#VALUE!</v>
      </c>
      <c r="E38" s="1926"/>
    </row>
    <row r="39" spans="1:5" ht="15.6">
      <c r="A39" s="1926"/>
      <c r="B39" s="2755" t="str">
        <f>B18</f>
        <v>3.抵押担保权已注销时的房地产抵押价值</v>
      </c>
      <c r="C39" s="1948" t="str">
        <f>C28</f>
        <v>总价</v>
      </c>
      <c r="D39" s="1949">
        <f ca="1">IF('数据-取费表'!E3="否",结果表!I112,'结果表 (1修多)'!I113)</f>
        <v>1440</v>
      </c>
      <c r="E39" s="1926"/>
    </row>
    <row r="40" spans="1:5" ht="15.6">
      <c r="A40" s="1926"/>
      <c r="B40" s="2755"/>
      <c r="C40" s="1945" t="s">
        <v>1175</v>
      </c>
      <c r="D40" s="1950" t="str">
        <f ca="1">IF('数据-取费表'!B3="万元",NUMBERSTRING(INT(D39*10000),2)&amp;"元整",NUMBERSTRING(INT(D39),2)&amp;"元整")</f>
        <v>壹仟肆佰肆拾万元整</v>
      </c>
      <c r="E40" s="1926"/>
    </row>
    <row r="41" spans="1:5" ht="15.6">
      <c r="A41" s="1926"/>
      <c r="B41" s="2755"/>
      <c r="C41" s="1936" t="s">
        <v>1179</v>
      </c>
      <c r="D41" s="1947">
        <f ca="1">IF('数据-取费表'!E3="否",结果表!D115,'结果表 (1修多)'!D118)</f>
        <v>33914</v>
      </c>
      <c r="E41" s="1926"/>
    </row>
    <row r="42" spans="1:5" ht="15.6">
      <c r="A42" s="1926"/>
      <c r="B42" s="2754" t="str">
        <f>B21</f>
        <v>——</v>
      </c>
      <c r="C42" s="1948" t="str">
        <f>C28</f>
        <v>总价</v>
      </c>
      <c r="D42" s="1949" t="str">
        <f>IF('数据-取费表'!E3="否",结果表!I114,'结果表 (1修多)'!I115)</f>
        <v>——</v>
      </c>
      <c r="E42" s="1926"/>
    </row>
    <row r="43" spans="1:5" ht="15.6">
      <c r="A43" s="1926"/>
      <c r="B43" s="2756"/>
      <c r="C43" s="1945" t="s">
        <v>1175</v>
      </c>
      <c r="D43" s="1951" t="e">
        <f>IF('数据-取费表'!B3="万元",NUMBERSTRING(INT(D42*10000),2)&amp;"元整",NUMBERSTRING(INT(D42),2)&amp;"元整")</f>
        <v>#VALUE!</v>
      </c>
      <c r="E43" s="1926"/>
    </row>
    <row r="44" spans="1:5" ht="16.2" thickBot="1">
      <c r="A44" s="1926"/>
      <c r="B44" s="2757"/>
      <c r="C44" s="1941" t="s">
        <v>1179</v>
      </c>
      <c r="D44" s="1952" t="str">
        <f ca="1">IF('数据-取费表'!E3="否",结果表!D117,'结果表 (1修多)'!D120)</f>
        <v>——</v>
      </c>
      <c r="E44" s="1926"/>
    </row>
    <row r="45" spans="1:5" ht="15" thickTop="1">
      <c r="A45" s="1926"/>
      <c r="B45" s="1926" t="str">
        <f>IF('数据-取费表'!B3="元","单位：元、元/平方米（单位：人民币）","单位：万元、元/平方米（单位：人民币）")</f>
        <v>单位：万元、元/平方米（单位：人民币）</v>
      </c>
      <c r="C45" s="1926"/>
      <c r="D45" s="1926"/>
      <c r="E45" s="1926"/>
    </row>
    <row r="46" spans="1:5" ht="17.399999999999999">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911" customWidth="1"/>
    <col min="2" max="9" width="12.21875" style="1911" customWidth="1"/>
    <col min="10" max="16384" width="9" style="1911"/>
  </cols>
  <sheetData>
    <row r="1" spans="1:9" ht="16.2" thickBot="1">
      <c r="A1" s="2772" t="str">
        <f>IF(项目基本情况!D5="房地产市场价值","估价结果一览表","结果表-2")</f>
        <v>结果表-2</v>
      </c>
      <c r="B1" s="2772"/>
      <c r="C1" s="2772"/>
      <c r="D1" s="2772"/>
      <c r="E1" s="2772"/>
      <c r="F1" s="2772"/>
      <c r="G1" s="2772"/>
      <c r="H1" s="2772"/>
      <c r="I1" s="2772"/>
    </row>
    <row r="2" spans="1:9" ht="30" customHeight="1" thickTop="1">
      <c r="A2" s="2773" t="s">
        <v>1276</v>
      </c>
      <c r="B2" s="2773" t="s">
        <v>1277</v>
      </c>
      <c r="C2" s="2773" t="s">
        <v>1278</v>
      </c>
      <c r="D2" s="2773" t="str">
        <f>IF('数据-取费表'!E3="否",结果表!D119,'结果表 (1修多)'!D122)</f>
        <v>出让国有建设用地使用权价值</v>
      </c>
      <c r="E2" s="2773"/>
      <c r="F2" s="2773" t="s">
        <v>1279</v>
      </c>
      <c r="G2" s="2773"/>
      <c r="H2" s="2773" t="s">
        <v>1280</v>
      </c>
      <c r="I2" s="2773"/>
    </row>
    <row r="3" spans="1:9" ht="15.6">
      <c r="A3" s="2768"/>
      <c r="B3" s="2768"/>
      <c r="C3" s="2768"/>
      <c r="D3" s="1048" t="s">
        <v>1281</v>
      </c>
      <c r="E3" s="1048" t="s">
        <v>1282</v>
      </c>
      <c r="F3" s="1048" t="s">
        <v>1281</v>
      </c>
      <c r="G3" s="1048" t="s">
        <v>1283</v>
      </c>
      <c r="H3" s="1048" t="s">
        <v>1281</v>
      </c>
      <c r="I3" s="1048" t="s">
        <v>1283</v>
      </c>
    </row>
    <row r="4" spans="1:9" ht="46.5" customHeight="1">
      <c r="A4" s="1048" t="str">
        <f>项目基本情况!I1</f>
        <v>北京市房地产</v>
      </c>
      <c r="B4" s="1048">
        <f>结果表!B121</f>
        <v>424.6</v>
      </c>
      <c r="C4" s="1048">
        <f>结果表!C121</f>
        <v>0</v>
      </c>
      <c r="D4" s="1048">
        <f>IF('数据-取费表'!E3="否",结果表!D121,'结果表 (1修多)'!D124)</f>
        <v>0</v>
      </c>
      <c r="E4" s="1048">
        <f>IF('数据-取费表'!E3="否",结果表!E121,'结果表 (1修多)'!E124)</f>
        <v>0</v>
      </c>
      <c r="F4" s="1048">
        <f>IF('数据-取费表'!E3="否",结果表!F121,'结果表 (1修多)'!F124)</f>
        <v>0</v>
      </c>
      <c r="G4" s="1048">
        <f>IF('数据-取费表'!E3="否",结果表!G121,'结果表 (1修多)'!G124)</f>
        <v>0</v>
      </c>
      <c r="H4" s="1048">
        <f ca="1">IF('数据-取费表'!E3="否",结果表!H121,'结果表 (1修多)'!H124)</f>
        <v>1440</v>
      </c>
      <c r="I4" s="1048">
        <f ca="1">IF('数据-取费表'!E3="否",结果表!I121,'结果表 (1修多)'!I124)</f>
        <v>33914</v>
      </c>
    </row>
    <row r="5" spans="1:9" ht="15">
      <c r="A5" s="2768" t="s">
        <v>1284</v>
      </c>
      <c r="B5" s="2768"/>
      <c r="C5" s="2768"/>
      <c r="D5" s="2766" t="str">
        <f>IF('数据-取费表'!E3="否",结果表!D122,'结果表 (1修多)'!D125)</f>
        <v>零元整</v>
      </c>
      <c r="E5" s="2766"/>
      <c r="F5" s="2766" t="str">
        <f>IF('数据-取费表'!E3="否",结果表!F122,'结果表 (1修多)'!F125)</f>
        <v>零元整</v>
      </c>
      <c r="G5" s="2766"/>
      <c r="H5" s="2766" t="str">
        <f ca="1">IF('数据-取费表'!E3="否",结果表!H122,'结果表 (1修多)'!H125)</f>
        <v>壹仟肆佰肆拾万元整</v>
      </c>
      <c r="I5" s="2766"/>
    </row>
    <row r="6" spans="1:9" ht="15.6">
      <c r="A6" s="2767" t="str">
        <f>IF('数据-取费表'!E3="否",结果表!A123,'结果表 (1修多)'!A126)</f>
        <v>估价师所知悉的法定优先受偿款</v>
      </c>
      <c r="B6" s="2767"/>
      <c r="C6" s="2767"/>
      <c r="D6" s="2767">
        <f>IF('数据-取费表'!E3="否",结果表!D123,'结果表 (1修多)'!D126)</f>
        <v>0</v>
      </c>
      <c r="E6" s="2767"/>
      <c r="F6" s="2767"/>
      <c r="G6" s="2767"/>
      <c r="H6" s="2767"/>
      <c r="I6" s="2767"/>
    </row>
    <row r="7" spans="1:9" ht="15">
      <c r="A7" s="2768" t="s">
        <v>1284</v>
      </c>
      <c r="B7" s="2768"/>
      <c r="C7" s="2768"/>
      <c r="D7" s="2769">
        <f>IF('数据-取费表'!E3="否",结果表!D124,'结果表 (1修多)'!D127)</f>
        <v>0</v>
      </c>
      <c r="E7" s="2770"/>
      <c r="F7" s="2770"/>
      <c r="G7" s="2770"/>
      <c r="H7" s="2770"/>
      <c r="I7" s="2771"/>
    </row>
    <row r="8" spans="1:9" ht="15.6">
      <c r="A8" s="2767" t="str">
        <f>IF('数据-取费表'!E3="否",结果表!A125,'结果表 (1修多)'!A128)</f>
        <v/>
      </c>
      <c r="B8" s="2767"/>
      <c r="C8" s="2767"/>
      <c r="D8" s="2767" t="str">
        <f>IF('数据-取费表'!E3="否",结果表!D125,'结果表 (1修多)'!D128)</f>
        <v>——</v>
      </c>
      <c r="E8" s="2767"/>
      <c r="F8" s="2767"/>
      <c r="G8" s="2767"/>
      <c r="H8" s="2767"/>
      <c r="I8" s="2767"/>
    </row>
    <row r="9" spans="1:9" ht="15">
      <c r="A9" s="2768" t="s">
        <v>1284</v>
      </c>
      <c r="B9" s="2768"/>
      <c r="C9" s="2768"/>
      <c r="D9" s="2766" t="e">
        <f ca="1">IF('数据-取费表'!E3="否",结果表!D126,'结果表 (1修多)'!D129)</f>
        <v>#VALUE!</v>
      </c>
      <c r="E9" s="2766"/>
      <c r="F9" s="2766"/>
      <c r="G9" s="2766"/>
      <c r="H9" s="2766"/>
      <c r="I9" s="2766"/>
    </row>
    <row r="10" spans="1:9" ht="15.6">
      <c r="A10" s="2767" t="str">
        <f>IF('数据-取费表'!E3="否",结果表!A127,'结果表 (1修多)'!A130)</f>
        <v>抵押担保权已注销时的房地产抵押价值</v>
      </c>
      <c r="B10" s="2767"/>
      <c r="C10" s="2767"/>
      <c r="D10" s="2767" t="e">
        <f ca="1">IF('数据-取费表'!E3="否",结果表!D127,'结果表 (1修多)'!D129)</f>
        <v>#VALUE!</v>
      </c>
      <c r="E10" s="2767"/>
      <c r="F10" s="2767"/>
      <c r="G10" s="2767"/>
      <c r="H10" s="2767"/>
      <c r="I10" s="2767"/>
    </row>
    <row r="11" spans="1:9" ht="15">
      <c r="A11" s="2768" t="s">
        <v>1284</v>
      </c>
      <c r="B11" s="2768"/>
      <c r="C11" s="2768"/>
      <c r="D11" s="2766">
        <f ca="1">IF('数据-取费表'!E3="否",结果表!D128,'结果表 (1修多)'!D131)</f>
        <v>33914</v>
      </c>
      <c r="E11" s="2766"/>
      <c r="F11" s="2766"/>
      <c r="G11" s="2766"/>
      <c r="H11" s="2766"/>
      <c r="I11" s="2766"/>
    </row>
    <row r="12" spans="1:9" ht="15.6">
      <c r="A12" s="2767" t="str">
        <f>IF('数据-取费表'!E3="否",结果表!A129,'结果表 (1修多)'!A132)</f>
        <v/>
      </c>
      <c r="B12" s="2767"/>
      <c r="C12" s="2767"/>
      <c r="D12" s="2767" t="str">
        <f>IF('数据-取费表'!E3="否",结果表!D129,'结果表 (1修多)'!D132)</f>
        <v>——</v>
      </c>
      <c r="E12" s="2767"/>
      <c r="F12" s="2767"/>
      <c r="G12" s="2767"/>
      <c r="H12" s="2767"/>
      <c r="I12" s="2767"/>
    </row>
    <row r="13" spans="1:9" ht="15.6" thickBot="1">
      <c r="A13" s="2774" t="s">
        <v>1284</v>
      </c>
      <c r="B13" s="2774"/>
      <c r="C13" s="2774"/>
      <c r="D13" s="2775">
        <f>IF('数据-取费表'!E3="否",结果表!D130,'结果表 (1修多)'!D133)</f>
        <v>0</v>
      </c>
      <c r="E13" s="2775"/>
      <c r="F13" s="2775"/>
      <c r="G13" s="2775"/>
      <c r="H13" s="2775"/>
      <c r="I13" s="2775"/>
    </row>
    <row r="14" spans="1:9" ht="14.4" thickTop="1">
      <c r="A14" s="2776" t="str">
        <f>IF('数据-取费表'!E3="否",结果表!A131,'结果表 (1修多)'!A134)</f>
        <v>单位：平方米、万元、元/平方米（币种：人民币）</v>
      </c>
      <c r="B14" s="2776"/>
      <c r="C14" s="2776"/>
      <c r="D14" s="2776"/>
      <c r="E14" s="2776"/>
      <c r="F14" s="2776"/>
      <c r="G14" s="2776"/>
      <c r="H14" s="2776"/>
      <c r="I14" s="2776"/>
    </row>
    <row r="15" spans="1:9">
      <c r="A15" s="714"/>
      <c r="B15" s="714"/>
      <c r="C15" s="714"/>
      <c r="D15" s="714"/>
      <c r="E15" s="714"/>
      <c r="F15" s="714"/>
      <c r="G15" s="714"/>
      <c r="H15" s="714"/>
      <c r="I15" s="714"/>
    </row>
    <row r="16" spans="1:9" ht="17.399999999999999">
      <c r="A16" s="1954" t="s">
        <v>1285</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911" customWidth="1"/>
    <col min="2" max="2" width="24" style="1911" customWidth="1"/>
    <col min="3" max="3" width="23.21875" style="1911" customWidth="1"/>
    <col min="4" max="4" width="21" style="1911" customWidth="1"/>
    <col min="5" max="16384" width="9" style="1911"/>
  </cols>
  <sheetData>
    <row r="1" spans="1:4" ht="17.399999999999999">
      <c r="A1" s="2781" t="s">
        <v>1298</v>
      </c>
      <c r="B1" s="2781"/>
      <c r="C1" s="2781"/>
      <c r="D1" s="2781"/>
    </row>
    <row r="2" spans="1:4" ht="17.399999999999999">
      <c r="A2" s="2780" t="s">
        <v>1286</v>
      </c>
      <c r="B2" s="2780"/>
      <c r="C2" s="2780"/>
      <c r="D2" s="2780"/>
    </row>
    <row r="3" spans="1:4" ht="17.399999999999999">
      <c r="A3" s="1955" t="s">
        <v>1287</v>
      </c>
      <c r="B3" s="1955" t="s">
        <v>1288</v>
      </c>
      <c r="C3" s="1955" t="s">
        <v>1289</v>
      </c>
      <c r="D3" s="1955" t="s">
        <v>1290</v>
      </c>
    </row>
    <row r="4" spans="1:4" ht="56.25" customHeight="1">
      <c r="A4" s="1956" t="str">
        <f>项目基本情况!B3</f>
        <v>欧红伟</v>
      </c>
      <c r="B4" s="1957">
        <f ca="1">项目基本情况!C3</f>
        <v>1120000080</v>
      </c>
      <c r="C4" s="1958"/>
      <c r="D4" s="1959" t="s">
        <v>1299</v>
      </c>
    </row>
    <row r="5" spans="1:4" ht="56.25" customHeight="1">
      <c r="A5" s="1956" t="str">
        <f>项目基本情况!D3</f>
        <v>崔锴</v>
      </c>
      <c r="B5" s="1957">
        <f ca="1">项目基本情况!E3</f>
        <v>1120100036</v>
      </c>
      <c r="C5" s="1960"/>
      <c r="D5" s="1959" t="s">
        <v>1299</v>
      </c>
    </row>
    <row r="6" spans="1:4" ht="12" customHeight="1">
      <c r="A6" s="1956"/>
      <c r="B6" s="1957"/>
      <c r="C6" s="1961"/>
      <c r="D6" s="1959"/>
    </row>
    <row r="7" spans="1:4" ht="17.399999999999999">
      <c r="A7" s="2780" t="s">
        <v>1291</v>
      </c>
      <c r="B7" s="2780"/>
      <c r="C7" s="2780"/>
      <c r="D7" s="2780"/>
    </row>
    <row r="8" spans="1:4" ht="17.399999999999999">
      <c r="A8" s="1955" t="s">
        <v>1287</v>
      </c>
      <c r="B8" s="1957" t="s">
        <v>1292</v>
      </c>
      <c r="C8" s="1955" t="s">
        <v>1289</v>
      </c>
      <c r="D8" s="1955" t="s">
        <v>1290</v>
      </c>
    </row>
    <row r="9" spans="1:4" ht="56.25" customHeight="1">
      <c r="A9" s="1962" t="s">
        <v>785</v>
      </c>
      <c r="B9" s="1962" t="s">
        <v>786</v>
      </c>
      <c r="C9" s="1958"/>
      <c r="D9" s="1959" t="s">
        <v>1299</v>
      </c>
    </row>
    <row r="11" spans="1:4" ht="17.399999999999999">
      <c r="A11" s="1963" t="s">
        <v>1293</v>
      </c>
    </row>
    <row r="12" spans="1:4" ht="30" customHeight="1">
      <c r="A12" s="2777" t="s">
        <v>1300</v>
      </c>
      <c r="B12" s="2779"/>
      <c r="C12" s="2779"/>
      <c r="D12" s="2779"/>
    </row>
    <row r="13" spans="1:4" ht="15.6">
      <c r="A13" s="27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9"/>
      <c r="C13" s="2779"/>
      <c r="D13" s="2779"/>
    </row>
    <row r="14" spans="1:4" ht="30" customHeight="1">
      <c r="A14" s="277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9"/>
      <c r="C14" s="2779"/>
      <c r="D14" s="2779"/>
    </row>
    <row r="15" spans="1:4" ht="15.75" customHeight="1">
      <c r="A15" s="2777" t="str">
        <f>IF(项目基本情况!D4="抵押","4.本次评估估价师所知悉的法定优先受偿款情况说明如下：","——")</f>
        <v>4.本次评估估价师所知悉的法定优先受偿款情况说明如下：</v>
      </c>
      <c r="B15" s="2779"/>
      <c r="C15" s="2779"/>
      <c r="D15" s="2779"/>
    </row>
    <row r="16" spans="1:4" ht="75" customHeight="1">
      <c r="A16" s="2777"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7"/>
      <c r="C16" s="2777"/>
      <c r="D16" s="2777"/>
    </row>
    <row r="17" spans="1:4" ht="63.75" customHeight="1">
      <c r="A17" s="2778" t="s">
        <v>1301</v>
      </c>
      <c r="B17" s="2778"/>
      <c r="C17" s="2778"/>
      <c r="D17" s="2778"/>
    </row>
    <row r="18" spans="1:4" ht="15.75" customHeight="1">
      <c r="A18" s="2777" t="str">
        <f>IF(项目基本情况!D4="抵押",结果表!K106,"——")</f>
        <v>本次评估不存在估价师所知悉的法定优先受偿款。</v>
      </c>
      <c r="B18" s="2777"/>
      <c r="C18" s="2777"/>
      <c r="D18" s="2777"/>
    </row>
    <row r="19" spans="1:4" ht="46.5" customHeight="1">
      <c r="A19" s="27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7"/>
      <c r="C19" s="2777"/>
      <c r="D19" s="2777"/>
    </row>
    <row r="20" spans="1:4" ht="15">
      <c r="A20" s="2778" t="s">
        <v>1294</v>
      </c>
      <c r="B20" s="2778"/>
      <c r="C20" s="2778"/>
      <c r="D20" s="2778"/>
    </row>
    <row r="21" spans="1:4">
      <c r="A21" s="1964"/>
      <c r="B21" s="1289"/>
      <c r="C21" s="1289"/>
      <c r="D21" s="1289"/>
    </row>
    <row r="22" spans="1:4">
      <c r="A22" s="1964"/>
      <c r="B22" s="1289"/>
      <c r="C22" s="1289"/>
      <c r="D22" s="1289"/>
    </row>
    <row r="23" spans="1:4" ht="17.399999999999999">
      <c r="A23" s="1925" t="s">
        <v>1295</v>
      </c>
    </row>
    <row r="24" spans="1:4" ht="17.399999999999999">
      <c r="A24" s="1925"/>
    </row>
    <row r="25" spans="1:4" ht="17.399999999999999">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73" customWidth="1"/>
    <col min="2" max="16384" width="14.44140625" style="714"/>
  </cols>
  <sheetData>
    <row r="1" spans="1:7" s="1954" customFormat="1" ht="17.399999999999999">
      <c r="A1" s="712" t="s">
        <v>1368</v>
      </c>
    </row>
    <row r="3" spans="1:7">
      <c r="A3" s="1971" t="s">
        <v>1369</v>
      </c>
      <c r="B3" s="714" t="s">
        <v>1370</v>
      </c>
      <c r="G3" s="1972"/>
    </row>
    <row r="4" spans="1:7">
      <c r="G4" s="1972"/>
    </row>
    <row r="5" spans="1:7">
      <c r="A5" s="1974" t="s">
        <v>1371</v>
      </c>
      <c r="B5" s="714" t="s">
        <v>1372</v>
      </c>
      <c r="G5" s="1972"/>
    </row>
    <row r="6" spans="1:7">
      <c r="G6" s="1972"/>
    </row>
    <row r="7" spans="1:7">
      <c r="A7" s="1975" t="s">
        <v>1373</v>
      </c>
      <c r="B7" s="714" t="s">
        <v>1374</v>
      </c>
      <c r="G7" s="1972"/>
    </row>
    <row r="8" spans="1:7">
      <c r="G8" s="1972"/>
    </row>
    <row r="9" spans="1:7">
      <c r="A9" s="1976" t="s">
        <v>1375</v>
      </c>
      <c r="B9" s="714" t="s">
        <v>1376</v>
      </c>
    </row>
    <row r="11" spans="1:7">
      <c r="A11" s="1977" t="s">
        <v>1377</v>
      </c>
      <c r="B11" s="1978" t="s">
        <v>1378</v>
      </c>
    </row>
    <row r="13" spans="1:7">
      <c r="A13" s="1680" t="s">
        <v>1379</v>
      </c>
    </row>
    <row r="15" spans="1:7" ht="14.4">
      <c r="A15" s="2787" t="s">
        <v>1380</v>
      </c>
      <c r="B15" s="2782" t="s">
        <v>1381</v>
      </c>
      <c r="C15" s="2783"/>
    </row>
    <row r="16" spans="1:7" ht="14.4">
      <c r="A16" s="2788"/>
      <c r="B16" s="2782" t="s">
        <v>1382</v>
      </c>
      <c r="C16" s="2783"/>
    </row>
    <row r="17" spans="1:3" ht="14.4">
      <c r="A17" s="2788"/>
      <c r="B17" s="2782" t="s">
        <v>1383</v>
      </c>
      <c r="C17" s="2783"/>
    </row>
    <row r="18" spans="1:3" ht="14.4">
      <c r="A18" s="2789"/>
      <c r="B18" s="2784" t="s">
        <v>1384</v>
      </c>
      <c r="C18" s="2783"/>
    </row>
    <row r="19" spans="1:3" ht="14.4">
      <c r="A19" s="1979" t="s">
        <v>1385</v>
      </c>
      <c r="B19" s="1980"/>
      <c r="C19" s="1981"/>
    </row>
    <row r="20" spans="1:3" ht="14.4">
      <c r="A20" s="2785" t="s">
        <v>1386</v>
      </c>
      <c r="B20" s="2784" t="s">
        <v>1387</v>
      </c>
      <c r="C20" s="2783"/>
    </row>
    <row r="21" spans="1:3" ht="14.4">
      <c r="A21" s="2785"/>
      <c r="B21" s="2784" t="s">
        <v>1388</v>
      </c>
      <c r="C21" s="2783"/>
    </row>
    <row r="22" spans="1:3" ht="14.4">
      <c r="A22" s="2785"/>
      <c r="B22" s="2784" t="s">
        <v>1389</v>
      </c>
      <c r="C22" s="2783"/>
    </row>
    <row r="23" spans="1:3" ht="14.4">
      <c r="A23" s="2785"/>
      <c r="B23" s="2786" t="s">
        <v>1390</v>
      </c>
      <c r="C23" s="1982" t="s">
        <v>1391</v>
      </c>
    </row>
    <row r="24" spans="1:3" ht="14.4">
      <c r="A24" s="2785"/>
      <c r="B24" s="2786"/>
      <c r="C24" s="1982" t="s">
        <v>1392</v>
      </c>
    </row>
    <row r="25" spans="1:3" ht="14.4">
      <c r="A25" s="2785"/>
      <c r="B25" s="2786"/>
      <c r="C25" s="1982" t="s">
        <v>1393</v>
      </c>
    </row>
    <row r="26" spans="1:3" ht="14.4">
      <c r="A26" s="2785"/>
      <c r="B26" s="2786"/>
      <c r="C26" s="1982" t="s">
        <v>1394</v>
      </c>
    </row>
    <row r="27" spans="1:3" ht="14.4">
      <c r="A27" s="2785"/>
      <c r="B27" s="2786"/>
      <c r="C27" s="1982" t="s">
        <v>1395</v>
      </c>
    </row>
    <row r="28" spans="1:3" ht="14.4">
      <c r="A28" s="2785"/>
      <c r="B28" s="2786"/>
      <c r="C28" s="1982" t="s">
        <v>1396</v>
      </c>
    </row>
    <row r="29" spans="1:3" ht="14.4">
      <c r="A29" s="2785"/>
      <c r="B29" s="2786"/>
      <c r="C29" s="1982" t="s">
        <v>1397</v>
      </c>
    </row>
    <row r="30" spans="1:3" ht="14.4">
      <c r="A30" s="2785"/>
      <c r="B30" s="2786"/>
      <c r="C30" s="1982" t="s">
        <v>1398</v>
      </c>
    </row>
    <row r="31" spans="1:3" ht="14.4">
      <c r="A31" s="2785"/>
      <c r="B31" s="2786"/>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640625" defaultRowHeight="24" customHeight="1"/>
  <cols>
    <col min="1" max="3" width="22.6640625" style="1026"/>
    <col min="4" max="4" width="41.33203125" style="1026" customWidth="1"/>
    <col min="5" max="6" width="22.6640625" style="1026"/>
    <col min="7" max="7" width="25.6640625" style="1026" customWidth="1"/>
    <col min="8" max="16384" width="22.6640625" style="1026"/>
  </cols>
  <sheetData>
    <row r="2" spans="1:8" ht="24" customHeight="1">
      <c r="A2" s="1023" t="s">
        <v>746</v>
      </c>
      <c r="B2" s="1024">
        <f ca="1">TODAY()</f>
        <v>43332</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2814</v>
      </c>
      <c r="B12" s="1030">
        <v>1120110054</v>
      </c>
      <c r="C12" s="1810">
        <v>43937</v>
      </c>
      <c r="D12" s="1811" t="str">
        <f t="shared" si="0"/>
        <v>白景生（注册号：1120110054）</v>
      </c>
      <c r="E12" s="1809" t="s">
        <v>2814</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0" t="s">
        <v>768</v>
      </c>
      <c r="B25" s="2790"/>
      <c r="C25" s="2790"/>
      <c r="D25" s="2790"/>
      <c r="E25" s="2790"/>
      <c r="F25" s="2790"/>
      <c r="G25" s="2790"/>
      <c r="H25" s="2790"/>
    </row>
    <row r="26" spans="1:8" s="1033" customFormat="1" ht="24" customHeight="1">
      <c r="A26" s="2791" t="s">
        <v>769</v>
      </c>
      <c r="B26" s="2791"/>
      <c r="C26" s="2791"/>
      <c r="D26" s="1061"/>
      <c r="E26" s="1061"/>
      <c r="F26" s="2791" t="s">
        <v>770</v>
      </c>
      <c r="G26" s="2791"/>
      <c r="H26" s="2791"/>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3.8"/>
  <cols>
    <col min="1" max="1" width="14" style="715" customWidth="1"/>
    <col min="2" max="2" width="22.44140625" style="714"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4" customWidth="1"/>
    <col min="27" max="16384" width="9" style="714"/>
  </cols>
  <sheetData>
    <row r="1" spans="1:25" s="713" customFormat="1" ht="28.8">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ht="14.4">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ht="14.4">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ht="14.4">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ht="14.4">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ht="14.4">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ht="14.4">
      <c r="A7" s="1987" t="s">
        <v>1480</v>
      </c>
      <c r="B7" s="1989" t="s">
        <v>1481</v>
      </c>
      <c r="C7" s="1988" t="s">
        <v>1482</v>
      </c>
      <c r="F7" s="7" t="s">
        <v>1483</v>
      </c>
      <c r="H7" s="7" t="s">
        <v>1484</v>
      </c>
      <c r="I7" s="7" t="s">
        <v>1485</v>
      </c>
      <c r="X7" s="1990"/>
    </row>
    <row r="8" spans="1:25" ht="14.4">
      <c r="A8" s="1987" t="s">
        <v>1486</v>
      </c>
      <c r="B8" s="1989" t="s">
        <v>1487</v>
      </c>
      <c r="C8" s="1988" t="s">
        <v>1488</v>
      </c>
      <c r="F8" s="7" t="s">
        <v>1489</v>
      </c>
      <c r="H8" s="7" t="s">
        <v>1490</v>
      </c>
      <c r="I8" s="7" t="s">
        <v>1491</v>
      </c>
      <c r="X8" s="1990"/>
    </row>
    <row r="9" spans="1:25" ht="14.4">
      <c r="A9" s="1987" t="s">
        <v>1492</v>
      </c>
      <c r="B9" s="1987" t="s">
        <v>1493</v>
      </c>
      <c r="C9" s="1988" t="s">
        <v>1494</v>
      </c>
      <c r="F9" s="7" t="s">
        <v>1495</v>
      </c>
      <c r="H9" s="7" t="s">
        <v>1496</v>
      </c>
    </row>
    <row r="10" spans="1:25" ht="14.4">
      <c r="A10" s="1987" t="s">
        <v>1497</v>
      </c>
      <c r="B10" s="1987" t="s">
        <v>1498</v>
      </c>
      <c r="C10" s="1988" t="s">
        <v>1499</v>
      </c>
      <c r="F10" s="7" t="s">
        <v>13</v>
      </c>
    </row>
    <row r="11" spans="1:25" ht="14.4">
      <c r="A11" s="1987" t="s">
        <v>1500</v>
      </c>
      <c r="B11" s="1987" t="s">
        <v>1501</v>
      </c>
      <c r="C11" s="1988" t="s">
        <v>1502</v>
      </c>
    </row>
    <row r="12" spans="1:25" ht="14.4">
      <c r="A12" s="1987" t="s">
        <v>1503</v>
      </c>
      <c r="B12" s="1987" t="s">
        <v>1504</v>
      </c>
      <c r="C12" s="1988" t="s">
        <v>1505</v>
      </c>
    </row>
    <row r="13" spans="1:25" ht="14.4">
      <c r="A13" s="1987" t="s">
        <v>1506</v>
      </c>
      <c r="B13" s="1987" t="s">
        <v>1507</v>
      </c>
      <c r="C13" s="1988" t="s">
        <v>1508</v>
      </c>
    </row>
    <row r="14" spans="1:25" ht="14.4">
      <c r="A14" s="1987" t="s">
        <v>1509</v>
      </c>
      <c r="B14" s="1987" t="s">
        <v>1510</v>
      </c>
      <c r="C14" s="1988"/>
    </row>
    <row r="15" spans="1:25" ht="14.4">
      <c r="A15" s="1987" t="s">
        <v>1511</v>
      </c>
      <c r="B15" s="1987" t="s">
        <v>1512</v>
      </c>
      <c r="C15" s="1988"/>
    </row>
    <row r="16" spans="1:25" ht="14.4">
      <c r="A16" s="1987" t="s">
        <v>1513</v>
      </c>
      <c r="B16" s="1987" t="s">
        <v>1514</v>
      </c>
      <c r="C16" s="1988"/>
    </row>
    <row r="17" spans="1:3" ht="14.4">
      <c r="A17" s="1987" t="s">
        <v>1515</v>
      </c>
      <c r="B17" s="1987" t="s">
        <v>1516</v>
      </c>
      <c r="C17" s="1988"/>
    </row>
    <row r="18" spans="1:3" ht="14.4">
      <c r="A18" s="1987" t="s">
        <v>1517</v>
      </c>
      <c r="B18" s="1987" t="s">
        <v>1518</v>
      </c>
      <c r="C18" s="1988"/>
    </row>
    <row r="19" spans="1:3" ht="14.4">
      <c r="A19" s="1987" t="s">
        <v>1519</v>
      </c>
      <c r="B19" s="1987" t="s">
        <v>1520</v>
      </c>
      <c r="C19" s="1988"/>
    </row>
    <row r="20" spans="1:3" ht="14.4">
      <c r="A20" s="1987" t="s">
        <v>1521</v>
      </c>
      <c r="B20" s="1987" t="s">
        <v>740</v>
      </c>
      <c r="C20" s="1988"/>
    </row>
    <row r="21" spans="1:3" ht="14.4">
      <c r="A21" s="1987" t="s">
        <v>1522</v>
      </c>
      <c r="B21" s="1987" t="s">
        <v>740</v>
      </c>
      <c r="C21" s="1988"/>
    </row>
    <row r="22" spans="1:3" ht="14.4">
      <c r="A22" s="1987" t="s">
        <v>1523</v>
      </c>
      <c r="B22" s="1987" t="s">
        <v>740</v>
      </c>
      <c r="C22" s="1988"/>
    </row>
    <row r="23" spans="1:3" ht="14.4">
      <c r="A23" s="1987" t="s">
        <v>1524</v>
      </c>
      <c r="B23" s="1987" t="s">
        <v>740</v>
      </c>
      <c r="C23" s="1988"/>
    </row>
    <row r="24" spans="1:3" ht="14.4">
      <c r="A24" s="1987" t="s">
        <v>1525</v>
      </c>
      <c r="B24" s="1987" t="s">
        <v>740</v>
      </c>
      <c r="C24" s="1988"/>
    </row>
    <row r="25" spans="1:3" ht="14.4">
      <c r="A25" s="1987" t="s">
        <v>1526</v>
      </c>
      <c r="B25" s="1987" t="s">
        <v>740</v>
      </c>
      <c r="C25" s="1988"/>
    </row>
    <row r="26" spans="1:3" ht="14.4">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ht="14.4">
      <c r="A51" s="1991" t="s">
        <v>1528</v>
      </c>
      <c r="B51" s="9" t="str">
        <f>"为估价委托人在向"&amp;项目基本情况!B5&amp;"办理贷款手续过程中，确定房地产抵押贷款额度提供参考依据而评估房地产抵押价值。"</f>
        <v>为估价委托人在向交通银行北京芳群园支行办理贷款手续过程中，确定房地产抵押贷款额度提供参考依据而评估房地产抵押价值。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众信龙达科技发展有限公司拟使用北京市房地产作为抵押担保物，向交通银行北京芳群园支行办理贷款手续。交通银行北京芳群园支行特委托北京康正宏基房地产评估有限公司对上述抵押物进行评估。本次评估为确定房地产抵押贷款额度提供参考依据而评估房地产抵押价值。</v>
      </c>
      <c r="D51" s="717" t="s">
        <v>1529</v>
      </c>
    </row>
    <row r="52" spans="1:4" ht="14.4">
      <c r="A52" s="1991" t="s">
        <v>1530</v>
      </c>
      <c r="B52" s="1991" t="s">
        <v>1531</v>
      </c>
      <c r="C52" s="9" t="s">
        <v>1532</v>
      </c>
      <c r="D52" s="9" t="s">
        <v>1533</v>
      </c>
    </row>
    <row r="53" spans="1:4" ht="14.25" customHeight="1">
      <c r="A53" s="279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本次估价的“房地产价值”是指在正常市场情况下，在价值时点2018年8月16日，估价对象规划用途为，假定未设立法定优先受偿款下的房地产市场价值。</v>
      </c>
    </row>
    <row r="54" spans="1:4" ht="14.4">
      <c r="A54" s="2792"/>
      <c r="B54" s="9" t="s">
        <v>1536</v>
      </c>
      <c r="C54" s="9" t="s">
        <v>1537</v>
      </c>
    </row>
    <row r="55" spans="1:4" ht="14.4">
      <c r="A55" s="2792"/>
      <c r="B55" s="9" t="s">
        <v>1538</v>
      </c>
      <c r="C55" s="9" t="s">
        <v>1539</v>
      </c>
    </row>
    <row r="56" spans="1:4" ht="14.4">
      <c r="A56" s="2792"/>
      <c r="B56" s="9" t="s">
        <v>1540</v>
      </c>
      <c r="C56" s="9" t="s">
        <v>1541</v>
      </c>
    </row>
    <row r="57" spans="1:4" ht="14.4">
      <c r="A57" s="2792"/>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实际成交</vt:lpstr>
      <vt:lpstr>案例</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2018-08-20T07:03:00Z</dcterms:modified>
</cp:coreProperties>
</file>