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2"/>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4"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25" i="64" l="1"/>
  <c r="M87" i="64" s="1"/>
  <c r="D14" i="9"/>
  <c r="K26" i="64"/>
  <c r="C145" i="64"/>
  <c r="J142" i="64"/>
  <c r="J140" i="64"/>
  <c r="K145" i="64" s="1"/>
  <c r="K139" i="64"/>
  <c r="K143" i="64" s="1"/>
  <c r="B130" i="64"/>
  <c r="B128" i="64"/>
  <c r="B126" i="64"/>
  <c r="E125" i="64"/>
  <c r="F125" i="64" s="1"/>
  <c r="G125" i="64" s="1"/>
  <c r="D125" i="64"/>
  <c r="E123" i="64"/>
  <c r="F123" i="64" s="1"/>
  <c r="G123" i="64" s="1"/>
  <c r="H123" i="64" s="1"/>
  <c r="I123" i="64" s="1"/>
  <c r="J123" i="64" s="1"/>
  <c r="K123" i="64" s="1"/>
  <c r="L123" i="64" s="1"/>
  <c r="M123" i="64" s="1"/>
  <c r="D123" i="64"/>
  <c r="E119" i="64"/>
  <c r="F119" i="64" s="1"/>
  <c r="G119" i="64" s="1"/>
  <c r="H119" i="64" s="1"/>
  <c r="I119" i="64" s="1"/>
  <c r="J119" i="64" s="1"/>
  <c r="K119" i="64" s="1"/>
  <c r="L119" i="64" s="1"/>
  <c r="M119" i="64" s="1"/>
  <c r="D119" i="64"/>
  <c r="E117" i="64"/>
  <c r="F117" i="64" s="1"/>
  <c r="G117" i="64" s="1"/>
  <c r="D117" i="64"/>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G89" i="64" s="1"/>
  <c r="H89" i="64" s="1"/>
  <c r="I89" i="64" s="1"/>
  <c r="J89" i="64" s="1"/>
  <c r="K89" i="64" s="1"/>
  <c r="L89" i="64" s="1"/>
  <c r="M89" i="64" s="1"/>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Z45" i="64"/>
  <c r="Q45" i="64"/>
  <c r="J45" i="64"/>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E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F33" i="64"/>
  <c r="AA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AC19" i="64"/>
  <c r="Q19" i="64"/>
  <c r="Z19" i="64" s="1"/>
  <c r="J19" i="64"/>
  <c r="W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J8" i="64"/>
  <c r="W8" i="64" s="1"/>
  <c r="H8" i="64"/>
  <c r="AB8" i="64" s="1"/>
  <c r="F8" i="64"/>
  <c r="S8" i="64" s="1"/>
  <c r="C7" i="64"/>
  <c r="C58" i="64" s="1"/>
  <c r="D58" i="64" s="1"/>
  <c r="E58" i="64" s="1"/>
  <c r="F58" i="64" s="1"/>
  <c r="G58" i="64" s="1"/>
  <c r="H58" i="64" s="1"/>
  <c r="I58" i="64" s="1"/>
  <c r="J58" i="64" s="1"/>
  <c r="K58" i="64" s="1"/>
  <c r="L58" i="64" s="1"/>
  <c r="M58" i="64" s="1"/>
  <c r="N58" i="64" s="1"/>
  <c r="O58" i="64" s="1"/>
  <c r="D3" i="64"/>
  <c r="C2" i="64"/>
  <c r="F2" i="64" s="1"/>
  <c r="C37" i="21"/>
  <c r="E37" i="21" s="1"/>
  <c r="G37" i="21" s="1"/>
  <c r="I37" i="21" s="1"/>
  <c r="C33" i="21"/>
  <c r="E2" i="64"/>
  <c r="H7" i="64" l="1"/>
  <c r="U8" i="64"/>
  <c r="AA8" i="64"/>
  <c r="AC8" i="64"/>
  <c r="U9" i="64"/>
  <c r="S10" i="64"/>
  <c r="W10" i="64"/>
  <c r="U11" i="64"/>
  <c r="S12" i="64"/>
  <c r="W12" i="64"/>
  <c r="U13" i="64"/>
  <c r="S14" i="64"/>
  <c r="W14" i="64"/>
  <c r="S15" i="64"/>
  <c r="W15" i="64"/>
  <c r="S17" i="64"/>
  <c r="W17" i="64"/>
  <c r="S19" i="64"/>
  <c r="W21" i="64"/>
  <c r="AB33" i="64"/>
  <c r="U33" i="64"/>
  <c r="F37" i="64"/>
  <c r="G37" i="64"/>
  <c r="F7" i="64"/>
  <c r="J7" i="64"/>
  <c r="S9" i="64"/>
  <c r="W9" i="64"/>
  <c r="U10" i="64"/>
  <c r="S11" i="64"/>
  <c r="W11" i="64"/>
  <c r="U12" i="64"/>
  <c r="S13" i="64"/>
  <c r="W13" i="64"/>
  <c r="U14" i="64"/>
  <c r="U15" i="64"/>
  <c r="U17" i="64"/>
  <c r="U19" i="64"/>
  <c r="S21"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AC45" i="64"/>
  <c r="W45" i="64"/>
  <c r="S45" i="64"/>
  <c r="S46" i="64"/>
  <c r="W46" i="64"/>
  <c r="K141" i="64"/>
  <c r="U46" i="64"/>
  <c r="K144" i="64"/>
  <c r="AA7" i="64" l="1"/>
  <c r="S7" i="64"/>
  <c r="AA37" i="64"/>
  <c r="S37" i="64"/>
  <c r="AC7" i="64"/>
  <c r="W7" i="64"/>
  <c r="H37" i="64"/>
  <c r="I37" i="64"/>
  <c r="J37" i="64" s="1"/>
  <c r="U7" i="64"/>
  <c r="AB7" i="64"/>
  <c r="L3" i="59"/>
  <c r="K3" i="59"/>
  <c r="J3" i="59"/>
  <c r="I3" i="59"/>
  <c r="V48" i="64" l="1"/>
  <c r="I48" i="64" s="1"/>
  <c r="AC37" i="64"/>
  <c r="W37" i="64"/>
  <c r="AB37" i="64"/>
  <c r="T48" i="64" s="1"/>
  <c r="G48" i="64" s="1"/>
  <c r="U37" i="64"/>
  <c r="R48" i="64"/>
  <c r="AH5" i="59"/>
  <c r="AG5" i="59"/>
  <c r="AE5" i="59"/>
  <c r="AF5" i="59" s="1"/>
  <c r="AD5" i="59"/>
  <c r="G53" i="64" l="1"/>
  <c r="H53" i="64" s="1"/>
  <c r="G52" i="64"/>
  <c r="H52" i="64" s="1"/>
  <c r="R49" i="64"/>
  <c r="E48" i="64"/>
  <c r="I52" i="64"/>
  <c r="J52" i="64" s="1"/>
  <c r="Q5" i="59"/>
  <c r="P5" i="59"/>
  <c r="O5" i="59"/>
  <c r="N5" i="59"/>
  <c r="Q6" i="59"/>
  <c r="P6" i="59"/>
  <c r="O6" i="59"/>
  <c r="N6" i="59"/>
  <c r="F6" i="59"/>
  <c r="E6" i="59"/>
  <c r="C6" i="59"/>
  <c r="D6" i="59" s="1"/>
  <c r="B6" i="59"/>
  <c r="E53" i="64" l="1"/>
  <c r="F53" i="64" s="1"/>
  <c r="E52" i="64"/>
  <c r="F52" i="64" s="1"/>
  <c r="I53" i="64"/>
  <c r="J53" i="64" s="1"/>
  <c r="C49" i="64"/>
  <c r="C48" i="64"/>
  <c r="F5" i="59"/>
  <c r="AB5" i="59"/>
  <c r="E5" i="59"/>
  <c r="AA5" i="59"/>
  <c r="C5" i="59"/>
  <c r="D5" i="59" s="1"/>
  <c r="Y5" i="59"/>
  <c r="Z5" i="59" s="1"/>
  <c r="B5" i="59"/>
  <c r="X5" i="59"/>
  <c r="A2" i="50"/>
  <c r="B3" i="64" l="1"/>
  <c r="B2" i="64"/>
  <c r="P59" i="15"/>
  <c r="K60" i="15"/>
  <c r="P72" i="15" s="1"/>
  <c r="A126" i="57" l="1"/>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4" i="61"/>
  <c r="F5" i="61"/>
  <c r="D5" i="61"/>
  <c r="F4" i="61"/>
  <c r="F6" i="61"/>
  <c r="F3" i="61"/>
  <c r="D3" i="61"/>
  <c r="D7"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G1" i="61"/>
  <c r="B74" i="43" l="1"/>
  <c r="C27" i="39"/>
  <c r="W25" i="21"/>
  <c r="W43" i="21"/>
  <c r="U42" i="21"/>
  <c r="AC38" i="21"/>
  <c r="AB38" i="21"/>
  <c r="AA38" i="21"/>
  <c r="AB37" i="21"/>
  <c r="W36" i="21"/>
  <c r="AC35" i="21"/>
  <c r="U35" i="21"/>
  <c r="AB34" i="21"/>
  <c r="S33" i="21"/>
  <c r="U33" i="21"/>
  <c r="S23" i="21"/>
  <c r="S19" i="21"/>
  <c r="W17" i="21"/>
  <c r="AC15" i="21"/>
  <c r="S10" i="21"/>
  <c r="W8" i="21"/>
  <c r="C106" i="9"/>
  <c r="H102" i="9" s="1"/>
  <c r="B103" i="9"/>
  <c r="C113" i="57"/>
  <c r="H108" i="57" s="1"/>
  <c r="P51" i="15"/>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21"/>
  <c r="E2" i="36"/>
  <c r="E2" i="34"/>
  <c r="E2" i="33"/>
  <c r="C19" i="57"/>
  <c r="C20" i="57"/>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21" i="50"/>
  <c r="D42" i="50"/>
  <c r="D43" i="50" s="1"/>
  <c r="D12" i="52" l="1"/>
  <c r="I14" i="62"/>
  <c r="B8" i="62" s="1"/>
  <c r="D22" i="50"/>
  <c r="B35" i="60" s="1"/>
  <c r="B33" i="60"/>
  <c r="I110" i="9"/>
  <c r="D125" i="9" s="1"/>
  <c r="D8" i="52" s="1"/>
  <c r="D112" i="9"/>
  <c r="D8" i="62" l="1"/>
  <c r="C8" i="62"/>
  <c r="D36" i="50"/>
  <c r="D37" i="50" s="1"/>
  <c r="D15" i="50"/>
  <c r="D16" i="50" l="1"/>
  <c r="B30" i="60" s="1"/>
  <c r="B29" i="60"/>
  <c r="F121" i="9"/>
  <c r="F4" i="52" s="1"/>
  <c r="B40" i="60" s="1"/>
  <c r="D121" i="9"/>
  <c r="E121" i="9" s="1"/>
  <c r="E4" i="52" s="1"/>
  <c r="B38" i="60" s="1"/>
  <c r="H121" i="9"/>
  <c r="C103" i="9" l="1"/>
  <c r="D14" i="62"/>
  <c r="H122" i="9"/>
  <c r="H5" i="52" s="1"/>
  <c r="D122" i="9"/>
  <c r="D5" i="52" s="1"/>
  <c r="B39" i="60" s="1"/>
  <c r="D106" i="9"/>
  <c r="H4" i="52"/>
  <c r="I102" i="9"/>
  <c r="I121" i="9"/>
  <c r="D4" i="52"/>
  <c r="B37" i="60" s="1"/>
  <c r="F122" i="9"/>
  <c r="F5" i="52" s="1"/>
  <c r="B42" i="60" s="1"/>
  <c r="G121" i="9"/>
  <c r="G4" i="52" s="1"/>
  <c r="B41" i="60" s="1"/>
  <c r="E14" i="62" l="1"/>
  <c r="F14" i="62"/>
  <c r="B5" i="62"/>
  <c r="D107" i="9"/>
  <c r="I4" i="52"/>
  <c r="C104" i="9"/>
  <c r="I103" i="9"/>
  <c r="M48" i="9"/>
  <c r="D7" i="50"/>
  <c r="D28" i="50"/>
  <c r="D29" i="50" s="1"/>
  <c r="D45" i="9"/>
  <c r="I112" i="9"/>
  <c r="D113" i="9"/>
  <c r="D114" i="9"/>
  <c r="D115" i="9" s="1"/>
  <c r="C5" i="62" l="1"/>
  <c r="D5" i="62"/>
  <c r="D18" i="50"/>
  <c r="M49" i="9"/>
  <c r="D127" i="9"/>
  <c r="D39" i="50"/>
  <c r="D40" i="50" s="1"/>
  <c r="I111" i="9"/>
  <c r="D117" i="9"/>
  <c r="D38" i="50"/>
  <c r="B62" i="60" s="1"/>
  <c r="D52" i="9"/>
  <c r="C78" i="9"/>
  <c r="C73" i="9" s="1"/>
  <c r="C93" i="9"/>
  <c r="C86" i="9" s="1"/>
  <c r="C72" i="9"/>
  <c r="D53" i="9"/>
  <c r="D48" i="9" s="1"/>
  <c r="M52" i="9" s="1"/>
  <c r="D55" i="9"/>
  <c r="M53" i="9" s="1"/>
  <c r="D59" i="9"/>
  <c r="M55" i="9" s="1"/>
  <c r="C64" i="9"/>
  <c r="C63" i="9" s="1"/>
  <c r="C67" i="9" s="1"/>
  <c r="C68" i="9" s="1"/>
  <c r="D54" i="9" s="1"/>
  <c r="C85" i="9"/>
  <c r="C95" i="9" s="1"/>
  <c r="B19" i="60"/>
  <c r="D8" i="50"/>
  <c r="B22" i="60" s="1"/>
  <c r="D30" i="50"/>
  <c r="D9" i="50"/>
  <c r="B21" i="60" s="1"/>
  <c r="D41" i="50"/>
  <c r="B63" i="60" s="1"/>
  <c r="I113" i="9"/>
  <c r="D10" i="52" l="1"/>
  <c r="H14" i="62"/>
  <c r="B7" i="62" s="1"/>
  <c r="C79" i="9"/>
  <c r="C80" i="9" s="1"/>
  <c r="E80" i="9" s="1"/>
  <c r="E81" i="9" s="1"/>
  <c r="D20" i="50"/>
  <c r="D128" i="9"/>
  <c r="D11" i="52" s="1"/>
  <c r="I115" i="9"/>
  <c r="D23" i="50" s="1"/>
  <c r="B34" i="60" s="1"/>
  <c r="D44" i="50"/>
  <c r="L67" i="9"/>
  <c r="M67" i="9" s="1"/>
  <c r="L64" i="9"/>
  <c r="M64" i="9" s="1"/>
  <c r="L63" i="9"/>
  <c r="M63" i="9" s="1"/>
  <c r="L66" i="9"/>
  <c r="M66" i="9" s="1"/>
  <c r="L65" i="9"/>
  <c r="M65" i="9" s="1"/>
  <c r="L68" i="9"/>
  <c r="M68" i="9" s="1"/>
  <c r="C96" i="9"/>
  <c r="E96" i="9" s="1"/>
  <c r="E97" i="9" s="1"/>
  <c r="D126" i="9"/>
  <c r="D9" i="52" s="1"/>
  <c r="D17" i="50"/>
  <c r="B31" i="60"/>
  <c r="D19" i="50"/>
  <c r="B32" i="60" s="1"/>
  <c r="M69" i="9" l="1"/>
  <c r="N69" i="9" s="1"/>
  <c r="C97" i="9"/>
  <c r="D58" i="9" s="1"/>
  <c r="D56" i="9" s="1"/>
  <c r="M54" i="9" s="1"/>
  <c r="N57" i="9" s="1"/>
  <c r="P57" i="9" s="1"/>
  <c r="D7" i="62"/>
  <c r="C7" i="62"/>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<sst xmlns="http://schemas.openxmlformats.org/spreadsheetml/2006/main" count="7220" uniqueCount="2875">
  <si>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</si>
  <si>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</si>
  <si>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</si>
  <si>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</si>
  <si>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</si>
  <si>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</si>
  <si>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</si>
  <si>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</si>
  <si>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</si>
  <si>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</si>
  <si>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</si>
  <si>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</si>
  <si>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</si>
  <si>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</si>
  <si>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</si>
  <si>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</si>
  <si>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</si>
  <si>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</si>
  <si>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</si>
  <si>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</si>
  <si>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</si>
  <si>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</si>
  <si>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</si>
  <si>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</si>
  <si>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</si>
  <si>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</si>
  <si>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</si>
  <si>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</si>
  <si>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</si>
  <si>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</si>
  <si>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</si>
  <si>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</si>
  <si>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</si>
  <si>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</si>
  <si>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</si>
  <si>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</si>
  <si>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</si>
  <si>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</si>
  <si>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</si>
  <si>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</si>
  <si>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</si>
  <si>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</si>
  <si>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</si>
  <si>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</si>
  <si>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</si>
  <si>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</si>
  <si>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</si>
  <si>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</si>
  <si>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</si>
  <si>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</si>
  <si>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</si>
  <si>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</si>
  <si>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</si>
  <si>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</si>
  <si>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</si>
  <si>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</si>
  <si>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</si>
  <si>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</si>
  <si>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</si>
  <si>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</si>
  <si>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</si>
  <si>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</si>
  <si>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</si>
  <si>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</si>
  <si>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</si>
  <si>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</si>
  <si>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</si>
  <si>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</si>
  <si>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</si>
  <si>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</si>
  <si>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</si>
  <si>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</si>
  <si>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</si>
  <si>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</si>
  <si>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</si>
  <si>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</si>
  <si>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</si>
  <si>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</si>
  <si>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</si>
  <si>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</si>
  <si>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</si>
  <si>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</si>
  <si>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</si>
  <si>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</si>
  <si>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</si>
  <si>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</si>
  <si>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</si>
  <si>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</si>
  <si>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</si>
  <si>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</si>
  <si>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</si>
  <si>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</si>
  <si>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</si>
  <si>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</si>
  <si>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</si>
  <si>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</si>
  <si>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</si>
  <si>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</si>
  <si>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</si>
  <si>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</si>
  <si>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</si>
  <si>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</si>
  <si>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</si>
  <si>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</si>
  <si>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</si>
  <si>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</si>
  <si>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</si>
  <si>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</si>
  <si>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</si>
  <si>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</si>
  <si>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</si>
  <si>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</si>
  <si>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</si>
  <si>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</si>
  <si>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</si>
  <si>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</si>
  <si>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</si>
  <si>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</si>
  <si>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</si>
  <si>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</si>
  <si>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</si>
  <si>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</si>
  <si>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</si>
  <si>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</si>
  <si>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</si>
  <si>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</si>
  <si>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</si>
  <si>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</si>
  <si>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</si>
  <si>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</si>
  <si>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</si>
  <si>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</si>
  <si>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</si>
  <si>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</si>
  <si>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</si>
  <si>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</si>
  <si>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</si>
  <si>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</si>
  <si>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</si>
  <si>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</si>
  <si>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</si>
  <si>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</si>
  <si>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</si>
  <si>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</si>
  <si>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</si>
  <si>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</si>
  <si>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</si>
  <si>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</si>
  <si>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</si>
  <si>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</si>
  <si>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</si>
  <si>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</si>
  <si>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</si>
  <si>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</si>
  <si>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</si>
  <si>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</si>
  <si>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</si>
  <si>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</si>
  <si>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</si>
  <si>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</si>
  <si>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</si>
  <si>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</si>
  <si>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</si>
  <si>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</si>
  <si>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</si>
  <si>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</si>
  <si>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</si>
  <si>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</si>
  <si>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</si>
  <si>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</si>
  <si>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</si>
  <si>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</si>
  <si>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</si>
  <si>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</si>
  <si>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</si>
  <si>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</si>
  <si>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</si>
  <si>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</si>
  <si>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</si>
  <si>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</si>
  <si>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</si>
  <si>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</si>
  <si>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</si>
  <si>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</si>
  <si>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</si>
  <si>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</si>
  <si>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</si>
  <si>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</si>
  <si>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</si>
  <si>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</si>
  <si>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</si>
  <si>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</si>
  <si>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</si>
  <si>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</si>
  <si>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</si>
  <si>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</si>
  <si>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</si>
  <si>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</si>
  <si>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</si>
  <si>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</si>
  <si>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</si>
  <si>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</si>
  <si>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</si>
  <si>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</si>
  <si>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</si>
  <si>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</si>
  <si>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</si>
  <si>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</si>
  <si>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</si>
  <si>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</si>
  <si>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</si>
  <si>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</si>
  <si>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</si>
  <si>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</si>
  <si>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</si>
  <si>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</si>
  <si>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</si>
  <si>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</si>
  <si>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</si>
  <si>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</si>
  <si>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</si>
  <si>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</si>
  <si>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</si>
  <si>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</si>
  <si>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</si>
  <si>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</si>
  <si>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</si>
  <si>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</si>
  <si>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</si>
  <si>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</si>
  <si>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</si>
  <si>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</si>
  <si>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</si>
  <si>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</si>
  <si>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</si>
  <si>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</si>
  <si>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</si>
  <si>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</si>
  <si>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</si>
  <si>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</si>
  <si>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</si>
  <si>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</si>
  <si>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</si>
  <si>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</si>
  <si>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</si>
  <si>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</si>
  <si>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</si>
  <si>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</si>
  <si>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</si>
  <si>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</si>
  <si>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</si>
  <si>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</si>
  <si>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</si>
  <si>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</si>
  <si>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</si>
  <si>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</si>
  <si>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</si>
  <si>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</si>
  <si>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</si>
  <si>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</si>
  <si>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</si>
  <si>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</si>
  <si>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</si>
  <si>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</si>
  <si>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</si>
  <si>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</si>
  <si>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</si>
  <si>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</si>
  <si>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</si>
  <si>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</si>
  <si>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</si>
  <si>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</si>
  <si>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</si>
  <si>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</si>
  <si>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</si>
  <si>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</si>
  <si>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</si>
  <si>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</si>
  <si>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</si>
  <si>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</si>
  <si>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</si>
  <si>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</si>
  <si>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</si>
  <si>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</si>
  <si>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</si>
  <si>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</si>
  <si>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</si>
  <si>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</si>
  <si>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</si>
  <si>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</si>
  <si>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</si>
  <si>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</si>
  <si>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</si>
  <si>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</si>
  <si>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</si>
  <si>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</si>
  <si>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</si>
  <si>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</si>
  <si>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</si>
  <si>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</si>
  <si>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</si>
  <si>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</si>
  <si>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</si>
  <si>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</si>
  <si>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</si>
  <si>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</si>
  <si>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</si>
  <si>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</si>
  <si>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</si>
  <si>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</si>
  <si>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</si>
  <si>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</si>
  <si>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</si>
  <si>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</si>
  <si>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</si>
  <si>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</si>
  <si>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</si>
  <si>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</si>
  <si>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</si>
  <si>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</si>
  <si>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</si>
  <si>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</si>
  <si>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</si>
  <si>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</si>
  <si>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</si>
  <si>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</si>
  <si>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</si>
  <si>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</si>
  <si>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</si>
  <si>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</si>
  <si>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</si>
  <si>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</si>
  <si>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</si>
  <si>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</si>
  <si>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</si>
  <si>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</si>
  <si>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</si>
  <si>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</si>
  <si>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</si>
  <si>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</si>
  <si>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</si>
  <si>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</si>
  <si>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</si>
  <si>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</si>
  <si>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</si>
  <si>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</si>
  <si>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</si>
  <si>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</si>
  <si>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</si>
  <si>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</si>
  <si>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</si>
  <si>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</si>
  <si>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</si>
  <si>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</si>
  <si>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</si>
  <si>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</si>
  <si>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</si>
  <si>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</si>
  <si>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</si>
  <si>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</si>
  <si>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</si>
  <si>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</si>
  <si>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</si>
  <si>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</si>
  <si>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</si>
  <si>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</si>
  <si>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</si>
  <si>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</si>
  <si>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</si>
  <si>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</si>
  <si>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</si>
  <si>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</si>
  <si>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</si>
  <si>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</si>
  <si>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</si>
  <si>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</si>
  <si>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</si>
  <si>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</si>
  <si>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</si>
  <si>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</si>
  <si>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</si>
  <si>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</si>
  <si>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</si>
  <si>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</si>
  <si>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</si>
  <si>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</si>
  <si>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</si>
  <si>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</si>
  <si>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</si>
  <si>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</si>
  <si>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</si>
  <si>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</si>
  <si>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</si>
  <si>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</si>
  <si>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</si>
  <si>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</si>
  <si>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</si>
  <si>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</si>
  <si>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</si>
  <si>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</si>
  <si>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</si>
  <si>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</si>
  <si>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</si>
  <si>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</si>
  <si>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</si>
  <si>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</si>
  <si>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</si>
  <si>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</si>
  <si>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</si>
  <si>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</si>
  <si>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</si>
  <si>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</si>
  <si>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</si>
  <si>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</si>
  <si>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</si>
  <si>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</si>
  <si>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</si>
  <si>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</si>
  <si>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</si>
  <si>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</si>
  <si>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</si>
  <si>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</si>
  <si>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</si>
  <si>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</si>
  <si>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</si>
  <si>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</si>
  <si>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</si>
  <si>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</si>
  <si>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</si>
  <si>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</si>
  <si>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</si>
  <si>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</si>
  <si>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</si>
  <si>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</si>
  <si>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</si>
  <si>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</si>
  <si>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</si>
  <si>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</si>
  <si>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</si>
  <si>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</si>
  <si>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</si>
  <si>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</si>
  <si>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</si>
  <si>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</si>
  <si>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</si>
  <si>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</si>
  <si>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</si>
  <si>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</si>
  <si>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</si>
  <si>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</si>
  <si>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</si>
  <si>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</si>
  <si>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</si>
  <si>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</si>
  <si>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</si>
  <si>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</si>
  <si>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</si>
  <si>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</si>
  <si>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</si>
  <si>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</si>
  <si>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</si>
  <si>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</si>
  <si>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</si>
  <si>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</si>
  <si>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</si>
  <si>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</si>
  <si>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</si>
  <si>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</si>
  <si>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</si>
  <si>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</si>
  <si>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</si>
  <si>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</si>
  <si>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</si>
  <si>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</si>
  <si>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</si>
  <si>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</si>
  <si>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</si>
  <si>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</si>
  <si>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</si>
  <si>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</si>
  <si>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</si>
  <si>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</si>
  <si>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</si>
  <si>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</si>
  <si>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</si>
  <si>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</si>
  <si>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</si>
  <si>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</si>
  <si>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</si>
  <si>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</si>
  <si>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</si>
  <si>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</si>
  <si>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</si>
  <si>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</si>
  <si>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</si>
  <si>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</si>
  <si>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</si>
  <si>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</si>
  <si>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</si>
  <si>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</si>
  <si>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</si>
  <si>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</si>
  <si>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</si>
  <si>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</si>
  <si>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</si>
  <si>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</si>
  <si>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</si>
  <si>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</si>
  <si>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</si>
  <si>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</si>
  <si>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</si>
  <si>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</si>
  <si>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</si>
  <si>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</si>
  <si>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</si>
  <si>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</si>
  <si>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</si>
  <si>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</si>
  <si>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</si>
  <si>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</si>
  <si>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</si>
  <si>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</si>
  <si>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</si>
  <si>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</si>
  <si>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</si>
  <si>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</si>
  <si>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</si>
  <si>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</si>
  <si>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</si>
  <si>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</si>
  <si>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</si>
  <si>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</si>
  <si>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</si>
  <si>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</si>
  <si>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</si>
  <si>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</si>
  <si>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</si>
  <si>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</si>
  <si>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</si>
  <si>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</si>
  <si>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</si>
  <si>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</si>
  <si>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</si>
  <si>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</si>
  <si>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</si>
  <si>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</si>
  <si>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</si>
  <si>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</si>
  <si>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</si>
  <si>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</si>
  <si>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</si>
  <si>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</si>
  <si>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</si>
  <si>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</si>
  <si>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</si>
  <si>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</si>
  <si>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</si>
  <si>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</si>
  <si>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</si>
  <si>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</si>
  <si>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</si>
  <si>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</si>
  <si>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</si>
  <si>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</si>
  <si>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</si>
  <si>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</si>
  <si>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</si>
  <si>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</si>
  <si>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</si>
  <si>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</si>
  <si>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</si>
  <si>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</si>
  <si>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</si>
  <si>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</si>
  <si>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</si>
  <si>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</si>
  <si>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</si>
  <si>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</si>
  <si>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</si>
  <si>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</si>
  <si>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</si>
  <si>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</si>
  <si>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</si>
  <si>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</si>
  <si>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</si>
  <si>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</si>
  <si>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</si>
  <si>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</si>
  <si>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</si>
  <si>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</si>
  <si>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</si>
  <si>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</si>
  <si>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</si>
  <si>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</si>
  <si>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</si>
  <si>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</si>
  <si>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</si>
  <si>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</si>
  <si>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</si>
  <si>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</si>
  <si>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</si>
  <si>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</si>
  <si>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</si>
  <si>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</si>
  <si>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</si>
  <si>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</si>
  <si>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</si>
  <si>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</si>
  <si>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</si>
  <si>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</si>
  <si>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</si>
  <si>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</si>
  <si>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</si>
  <si>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</si>
  <si>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</si>
  <si>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</si>
  <si>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</si>
  <si>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</si>
  <si>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</si>
  <si>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</si>
  <si>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</si>
  <si>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</si>
  <si>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</si>
  <si>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</si>
  <si>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</si>
  <si>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</si>
  <si>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</si>
  <si>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</si>
  <si>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</si>
  <si>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</si>
  <si>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</si>
  <si>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</si>
  <si>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</si>
  <si>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</si>
  <si>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</si>
  <si>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</si>
  <si>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</si>
  <si>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</si>
  <si>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</si>
  <si>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</si>
  <si>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</si>
  <si>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</si>
  <si>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</si>
  <si>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</si>
  <si>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</si>
  <si>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</si>
  <si>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</si>
  <si>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</si>
  <si>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</si>
  <si>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</si>
  <si>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</si>
  <si>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</si>
  <si>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</si>
  <si>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</si>
  <si>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</si>
  <si>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</si>
  <si>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</si>
  <si>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</si>
  <si>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</si>
  <si>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</si>
  <si>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</si>
  <si>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</si>
  <si>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</si>
  <si>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</si>
  <si>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</si>
  <si>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</si>
  <si>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</si>
  <si>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</si>
  <si>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</si>
  <si>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</si>
  <si>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</si>
  <si>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</si>
  <si>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</si>
  <si>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</si>
  <si>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</si>
  <si>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</si>
  <si>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</si>
  <si>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</si>
  <si>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</si>
  <si>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</si>
  <si>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</si>
  <si>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</si>
  <si>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</si>
  <si>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</si>
  <si>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</si>
  <si>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</si>
  <si>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</si>
  <si>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</si>
  <si>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</si>
  <si>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</si>
  <si>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</si>
  <si>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</si>
  <si>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</si>
  <si>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</si>
  <si>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</si>
  <si>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</si>
  <si>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</si>
  <si>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</si>
  <si>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</si>
  <si>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</si>
  <si>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</si>
  <si>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</si>
  <si>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</si>
  <si>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</si>
  <si>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</si>
  <si>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</si>
  <si>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</si>
  <si>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</si>
  <si>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</si>
  <si>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</si>
  <si>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</si>
  <si>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</si>
  <si>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</si>
  <si>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</si>
  <si>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</si>
  <si>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</si>
  <si>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</si>
  <si>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</si>
  <si>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</si>
  <si>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</si>
  <si>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</si>
  <si>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</si>
  <si>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</si>
  <si>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</si>
  <si>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</si>
  <si>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</si>
  <si>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</si>
  <si>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</si>
  <si>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</si>
  <si>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</si>
  <si>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</si>
  <si>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</si>
  <si>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</si>
  <si>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</si>
  <si>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</si>
  <si>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</si>
  <si>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</si>
  <si>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</si>
  <si>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</si>
  <si>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</si>
  <si>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</si>
  <si>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</si>
  <si>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</si>
  <si>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</si>
  <si>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</si>
  <si>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</si>
  <si>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</si>
  <si>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</si>
  <si>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</si>
  <si>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</si>
  <si>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</si>
  <si>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</si>
  <si>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</si>
  <si>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</si>
  <si>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</si>
  <si>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</si>
  <si>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</si>
  <si>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</si>
  <si>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</si>
  <si>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</si>
  <si>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</si>
  <si>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</si>
  <si>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</si>
  <si>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</si>
  <si>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</si>
  <si>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</si>
  <si>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</si>
  <si>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</si>
  <si>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</si>
  <si>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</si>
  <si>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</si>
  <si>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</si>
  <si>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</si>
  <si>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</si>
  <si>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</si>
  <si>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</si>
  <si>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</si>
  <si>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</si>
  <si>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</si>
  <si>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</si>
  <si>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</si>
  <si>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</si>
  <si>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</si>
  <si>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</si>
  <si>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</si>
  <si>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</si>
  <si>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</si>
  <si>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</si>
  <si>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</si>
  <si>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</si>
  <si>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</si>
  <si>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</si>
  <si>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</si>
  <si>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</si>
  <si>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</si>
  <si>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</si>
  <si>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</si>
  <si>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</si>
  <si>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</si>
  <si>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</si>
  <si>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</si>
  <si>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</si>
  <si>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</si>
  <si>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</si>
  <si>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</si>
  <si>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</si>
  <si>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</si>
  <si>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</si>
  <si>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</si>
  <si>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</si>
  <si>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</si>
  <si>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</si>
  <si>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</si>
  <si>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</si>
  <si>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</si>
  <si>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</si>
  <si>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</si>
  <si>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</si>
  <si>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</si>
  <si>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</si>
  <si>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</si>
  <si>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</si>
  <si>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</si>
  <si>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</si>
  <si>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</si>
  <si>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</si>
  <si>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</si>
  <si>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</si>
  <si>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</si>
  <si>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</si>
  <si>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</si>
  <si>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</si>
  <si>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</si>
  <si>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</si>
  <si>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</si>
  <si>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</si>
  <si>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</si>
  <si>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</si>
  <si>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</si>
  <si>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</si>
  <si>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</si>
  <si>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</si>
  <si>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</si>
  <si>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</si>
  <si>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</si>
  <si>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</si>
  <si>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</si>
  <si>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</si>
  <si>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</si>
  <si>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</si>
  <si>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</si>
  <si>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</si>
  <si>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</si>
  <si>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</si>
  <si>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</si>
  <si>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</si>
  <si>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</si>
  <si>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</si>
  <si>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</si>
  <si>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</si>
  <si>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</si>
  <si>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</si>
  <si>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</si>
  <si>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</si>
  <si>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</si>
  <si>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</si>
  <si>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</si>
  <si>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</si>
  <si>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</si>
  <si>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</si>
  <si>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</si>
  <si>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</si>
  <si>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</si>
  <si>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</si>
  <si>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</si>
  <si>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</si>
  <si>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</si>
  <si>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</si>
  <si>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</si>
  <si>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</si>
  <si>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</si>
  <si>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</si>
  <si>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</si>
  <si>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</si>
  <si>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</si>
  <si>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</si>
  <si>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</si>
  <si>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</si>
  <si>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</si>
  <si>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</si>
  <si>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</si>
  <si>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</si>
  <si>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</si>
  <si>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</si>
  <si>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</si>
  <si>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</si>
  <si>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</si>
  <si>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</si>
  <si>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</si>
  <si>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</si>
  <si>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</si>
  <si>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</si>
  <si>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</si>
  <si>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</si>
  <si>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</si>
  <si>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</si>
  <si>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</si>
  <si>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</si>
  <si>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</si>
  <si>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</si>
  <si>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</si>
  <si>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</si>
  <si>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</si>
  <si>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</si>
  <si>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</si>
  <si>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</si>
  <si>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</si>
  <si>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</si>
  <si>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</si>
  <si>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</si>
  <si>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</si>
  <si>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</si>
  <si>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</si>
  <si>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</si>
  <si>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</si>
  <si>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</si>
  <si>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</si>
  <si>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</si>
  <si>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</si>
  <si>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</si>
  <si>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</si>
  <si>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</si>
  <si>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</si>
  <si>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</si>
  <si>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</si>
  <si>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</si>
  <si>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</si>
  <si>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</si>
  <si>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</si>
  <si>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</si>
  <si>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</si>
  <si>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</si>
  <si>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</si>
  <si>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</si>
  <si>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</si>
  <si>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</si>
  <si>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</si>
  <si>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</si>
  <si>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</si>
  <si>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</si>
  <si>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</si>
  <si>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</si>
  <si>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</si>
  <si>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</si>
  <si>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</si>
  <si>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</si>
  <si>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</si>
  <si>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</si>
  <si>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</si>
  <si>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</si>
  <si>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</si>
  <si>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</si>
  <si>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</si>
  <si>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</si>
  <si>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</si>
  <si>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</si>
  <si>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</si>
  <si>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</si>
  <si>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</si>
  <si>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</si>
  <si>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</si>
  <si>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</si>
  <si>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</si>
  <si>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</si>
  <si>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</si>
  <si>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</si>
  <si>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</si>
  <si>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</si>
  <si>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</si>
  <si>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</si>
  <si>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</si>
  <si>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</si>
  <si>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</si>
  <si>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</si>
  <si>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</si>
  <si>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</si>
  <si>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</si>
  <si>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</si>
  <si>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</si>
  <si>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</si>
  <si>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</si>
  <si>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</si>
  <si>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</si>
  <si>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</si>
  <si>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</si>
  <si>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</si>
  <si>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</si>
  <si>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</si>
  <si>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</si>
  <si>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</si>
  <si>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</si>
  <si>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</si>
  <si>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</si>
  <si>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</si>
  <si>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</si>
  <si>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</si>
  <si>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</si>
  <si>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</si>
  <si>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</si>
  <si>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</si>
  <si>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</si>
  <si>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</si>
  <si>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</si>
  <si>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</si>
  <si>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</si>
  <si>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</si>
  <si>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</si>
  <si>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</si>
  <si>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</si>
  <si>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</si>
  <si>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</si>
  <si>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</si>
  <si>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</si>
  <si>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</si>
  <si>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</si>
  <si>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</si>
  <si>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</si>
  <si>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</si>
  <si>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</si>
  <si>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</si>
  <si>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</si>
  <si>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</si>
  <si>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</si>
  <si>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</si>
  <si>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</si>
  <si>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</si>
  <si>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</si>
  <si>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</si>
  <si>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</si>
  <si>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</si>
  <si>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</si>
  <si>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</si>
  <si>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</si>
  <si>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</si>
  <si>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</si>
  <si>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</si>
  <si>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</si>
  <si>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</si>
  <si>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</si>
  <si>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</si>
  <si>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</si>
  <si>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</si>
  <si>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</si>
  <si>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</si>
  <si>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</si>
  <si>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</si>
  <si>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</si>
  <si>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</si>
  <si>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</si>
  <si>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</si>
  <si>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</si>
  <si>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</si>
  <si>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</si>
  <si>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</si>
  <si>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</si>
  <si>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</si>
  <si>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</si>
  <si>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</si>
  <si>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</si>
  <si>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</si>
  <si>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</si>
  <si>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</si>
  <si>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</si>
  <si>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</si>
  <si>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</si>
  <si>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</si>
  <si>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</si>
  <si>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</si>
  <si>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</si>
  <si>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</si>
  <si>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</si>
  <si>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</si>
  <si>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</si>
  <si>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</si>
  <si>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</si>
  <si>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</si>
  <si>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</si>
  <si>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</si>
  <si>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</si>
  <si>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</si>
  <si>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</si>
  <si>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</si>
  <si>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</si>
  <si>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</si>
  <si>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</si>
  <si>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</si>
  <si>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</si>
  <si>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</si>
  <si>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</si>
  <si>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</si>
  <si>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</si>
  <si>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</si>
  <si>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</si>
  <si>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</si>
  <si>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</si>
  <si>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</si>
  <si>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</si>
  <si>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</si>
  <si>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</si>
  <si>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</si>
  <si>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</si>
  <si>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</si>
  <si>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</si>
  <si>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</si>
  <si>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</si>
  <si>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</si>
  <si>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</si>
  <si>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</si>
  <si>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</si>
  <si>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</si>
  <si>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</si>
  <si>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</si>
  <si>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</si>
  <si>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</si>
  <si>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</si>
  <si>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</si>
  <si>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</si>
  <si>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</si>
  <si>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</si>
  <si>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</si>
  <si>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</si>
  <si>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</si>
  <si>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</si>
  <si>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</si>
  <si>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</si>
  <si>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</si>
  <si>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</si>
  <si>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</si>
  <si>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</si>
  <si>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</si>
  <si>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</si>
  <si>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</si>
  <si>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</si>
  <si>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</si>
  <si>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</si>
  <si>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</si>
  <si>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</si>
  <si>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</si>
  <si>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</si>
  <si>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</si>
  <si>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</si>
  <si>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</si>
  <si>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</si>
  <si>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</si>
  <si>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</si>
  <si>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</si>
  <si>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</si>
  <si>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</si>
  <si>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</si>
  <si>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</si>
  <si>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</si>
  <si>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</si>
  <si>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</si>
  <si>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</si>
  <si>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</si>
  <si>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</si>
  <si>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</si>
  <si>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</si>
  <si>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</si>
  <si>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</si>
  <si>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</si>
  <si>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</si>
  <si>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</si>
  <si>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</si>
  <si>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</si>
  <si>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</si>
  <si>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</si>
  <si>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</si>
  <si>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</si>
  <si>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</si>
  <si>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</si>
  <si>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</si>
  <si>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</si>
  <si>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</si>
  <si>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</si>
  <si>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</si>
  <si>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</si>
  <si>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</si>
  <si>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</si>
  <si>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</si>
  <si>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</si>
  <si>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</si>
  <si>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</si>
  <si>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</si>
  <si>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</si>
  <si>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</si>
  <si>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</si>
  <si>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</si>
  <si>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</si>
  <si>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</si>
  <si>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</si>
  <si>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</si>
  <si>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</si>
  <si>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</si>
  <si>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</si>
  <si>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</si>
  <si>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</si>
  <si>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</si>
  <si>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</si>
  <si>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</si>
  <si>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</si>
  <si>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</si>
  <si>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</si>
  <si>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</si>
  <si>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</si>
  <si>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</si>
  <si>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</si>
  <si>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</si>
  <si>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</si>
  <si>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</si>
  <si>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</si>
  <si>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</si>
  <si>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</si>
  <si>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</si>
  <si>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</si>
  <si>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</si>
  <si>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</si>
  <si>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</si>
  <si>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</si>
  <si>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</si>
  <si>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</si>
  <si>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</si>
  <si>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</si>
  <si>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</si>
  <si>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</si>
  <si>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</si>
  <si>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</si>
  <si>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</si>
  <si>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</si>
  <si>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</si>
  <si>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</si>
  <si>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</si>
  <si>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</si>
  <si>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</si>
  <si>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</si>
  <si>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</si>
  <si>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</si>
  <si>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</si>
  <si>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</si>
  <si>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</si>
  <si>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</si>
  <si>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</si>
  <si>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</si>
  <si>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</si>
  <si>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</si>
  <si>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</si>
  <si>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</si>
  <si>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</si>
  <si>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</si>
  <si>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</si>
  <si>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</si>
  <si>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</si>
  <si>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</si>
  <si>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</si>
  <si>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</si>
  <si>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</si>
  <si>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</si>
  <si>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</si>
  <si>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</si>
  <si>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</si>
  <si>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</si>
  <si>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</si>
  <si>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</si>
  <si>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</si>
  <si>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</si>
  <si>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</si>
  <si>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</si>
  <si>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</si>
  <si>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</si>
  <si>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</si>
  <si>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</si>
  <si>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</si>
  <si>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</si>
  <si>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</si>
  <si>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</si>
  <si>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</si>
  <si>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</si>
  <si>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</si>
  <si>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</si>
  <si>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</si>
  <si>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</si>
  <si>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</si>
  <si>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</si>
  <si>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</si>
  <si>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</si>
  <si>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</si>
  <si>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</si>
  <si>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</si>
  <si>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</si>
  <si>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</si>
  <si>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</si>
  <si>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</si>
  <si>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</si>
  <si>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</si>
  <si>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</si>
  <si>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</si>
  <si>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</si>
  <si>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</si>
  <si>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</si>
  <si>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</si>
  <si>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</si>
  <si>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</si>
  <si>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</si>
  <si>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</si>
  <si>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</si>
  <si>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</si>
  <si>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</si>
  <si>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</si>
  <si>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</si>
  <si>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</si>
  <si>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</si>
  <si>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</si>
  <si>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</si>
  <si>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</si>
  <si>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</si>
  <si>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</si>
  <si>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</si>
  <si>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</si>
  <si>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</si>
  <si>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</si>
  <si>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</si>
  <si>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</si>
  <si>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</si>
  <si>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</si>
  <si>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</si>
  <si>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</si>
  <si>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</si>
  <si>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</si>
  <si>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</si>
  <si>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</si>
  <si>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</si>
  <si>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</si>
  <si>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</si>
  <si>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</si>
  <si>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</si>
  <si>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</si>
  <si>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</si>
  <si>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</si>
  <si>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</si>
  <si>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</si>
  <si>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</si>
  <si>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</si>
  <si>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</si>
  <si>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</si>
  <si>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</si>
  <si>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</si>
  <si>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</si>
  <si>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</si>
  <si>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</si>
  <si>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</si>
  <si>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</si>
  <si>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</si>
  <si>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</si>
  <si>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</si>
  <si>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</si>
  <si>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</si>
  <si>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</si>
  <si>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</si>
  <si>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</si>
  <si>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</si>
  <si>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</si>
  <si>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</si>
  <si>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</si>
  <si>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</si>
  <si>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</si>
  <si>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</si>
  <si>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</si>
  <si>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</si>
  <si>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</si>
  <si>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</si>
  <si>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</si>
  <si>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</si>
  <si>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</si>
  <si>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</si>
  <si>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</si>
  <si>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</si>
  <si>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</si>
  <si>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</si>
  <si>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</si>
  <si>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</si>
  <si>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</si>
  <si>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</si>
  <si>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</si>
  <si>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</si>
  <si>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</si>
  <si>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</si>
  <si>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</si>
  <si>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</si>
  <si>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</si>
  <si>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</si>
  <si>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</si>
  <si>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</si>
  <si>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</si>
  <si>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</si>
  <si>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</si>
  <si>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</si>
  <si>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</si>
  <si>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</si>
  <si>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</si>
  <si>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</si>
  <si>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</si>
  <si>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</si>
  <si>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</si>
  <si>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</si>
  <si>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</si>
  <si>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</si>
  <si>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</si>
  <si>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</si>
  <si>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</si>
  <si>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</si>
  <si>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</si>
  <si>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</si>
  <si>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</si>
  <si>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</si>
  <si>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</si>
  <si>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</si>
  <si>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</si>
  <si>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</si>
  <si>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</si>
  <si>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</si>
  <si>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</si>
  <si>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</si>
  <si>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</si>
  <si>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</si>
  <si>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</si>
  <si>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</si>
  <si>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</si>
  <si>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</si>
  <si>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</si>
  <si>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</si>
  <si>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</si>
  <si>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</si>
  <si>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</si>
  <si>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</si>
  <si>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</si>
  <si>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</si>
  <si>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</si>
  <si>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</si>
  <si>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</si>
  <si>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</si>
  <si>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</si>
  <si>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</si>
  <si>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</si>
  <si>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</si>
  <si>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</si>
  <si>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</si>
  <si>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</si>
  <si>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</si>
  <si>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</si>
  <si>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</si>
  <si>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</si>
  <si>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</si>
  <si>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</si>
  <si>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</si>
  <si>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</si>
  <si>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</si>
  <si>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</si>
  <si>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</si>
  <si>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</si>
  <si>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</si>
  <si>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</si>
  <si>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</si>
  <si>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</si>
  <si>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</si>
  <si>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</si>
  <si>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</si>
  <si>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</si>
  <si>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</si>
  <si>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</si>
  <si>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</si>
  <si>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</si>
  <si>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</si>
  <si>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</si>
  <si>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</si>
  <si>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</si>
  <si>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</si>
  <si>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</si>
  <si>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</si>
  <si>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</si>
  <si>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</si>
  <si>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</si>
  <si>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</si>
  <si>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</si>
  <si>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</si>
  <si>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</si>
  <si>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</si>
  <si>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</si>
  <si>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</si>
  <si>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</si>
  <si>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</si>
  <si>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</si>
  <si>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</si>
  <si>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</si>
  <si>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</si>
  <si>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</si>
  <si>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</si>
  <si>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</si>
  <si>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</si>
  <si>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</si>
  <si>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</si>
  <si>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</si>
  <si>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</si>
  <si>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</si>
  <si>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</si>
  <si>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</si>
  <si>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</si>
  <si>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</si>
  <si>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</si>
  <si>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</si>
  <si>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</si>
  <si>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</si>
  <si>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</si>
  <si>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</si>
  <si>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</si>
  <si>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</si>
  <si>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</si>
  <si>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</si>
  <si>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</si>
  <si>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</si>
  <si>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</si>
  <si>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</si>
  <si>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</si>
  <si>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</si>
  <si>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</si>
  <si>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</si>
  <si>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</si>
  <si>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</si>
  <si>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</si>
  <si>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</si>
  <si>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</si>
  <si>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</si>
  <si>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</si>
  <si>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</si>
  <si>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</si>
  <si>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</si>
  <si>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</si>
  <si>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</si>
  <si>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</si>
  <si>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</si>
  <si>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</si>
  <si>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</si>
  <si>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</si>
  <si>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</si>
  <si>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</si>
  <si>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</si>
  <si>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</si>
  <si>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</si>
  <si>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</si>
  <si>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</si>
  <si>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</si>
  <si>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</si>
  <si>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</si>
  <si>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</si>
  <si>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</si>
  <si>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</si>
  <si>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</si>
  <si>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</si>
  <si>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</si>
  <si>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</si>
  <si>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</si>
  <si>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</si>
  <si>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</si>
  <si>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</si>
  <si>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</si>
  <si>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</si>
  <si>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</si>
  <si>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</si>
  <si>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</si>
  <si>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</si>
  <si>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</si>
  <si>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</si>
  <si>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</si>
  <si>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</si>
  <si>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</si>
  <si>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</si>
  <si>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</si>
  <si>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</si>
  <si>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</si>
  <si>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</si>
  <si>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</si>
  <si>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</si>
  <si>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</si>
  <si>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</si>
  <si>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</si>
  <si>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</si>
  <si>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</si>
  <si>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</si>
  <si>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</si>
  <si>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</si>
  <si>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</si>
  <si>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</si>
  <si>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</si>
  <si>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</si>
  <si>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</si>
  <si>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</si>
  <si>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</si>
  <si>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</si>
  <si>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</si>
  <si>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</si>
  <si>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</si>
  <si>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</si>
  <si>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</si>
  <si>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</si>
  <si>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</si>
  <si>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</si>
  <si>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</si>
  <si>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</si>
  <si>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</si>
  <si>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</si>
  <si>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</si>
  <si>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</si>
  <si>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</si>
  <si>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</si>
  <si>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</si>
  <si>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</si>
  <si>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</si>
  <si>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</si>
  <si>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</si>
  <si>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</si>
  <si>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</si>
  <si>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</si>
  <si>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</si>
  <si>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</si>
  <si>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</si>
  <si>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</si>
  <si>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</si>
  <si>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</si>
  <si>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</si>
  <si>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</si>
  <si>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</si>
  <si>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</si>
  <si>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</si>
  <si>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</si>
  <si>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</si>
  <si>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</si>
  <si>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</si>
  <si>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</si>
  <si>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</si>
  <si>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</si>
  <si>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</si>
  <si>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</si>
  <si>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</si>
  <si>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</si>
  <si>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</si>
  <si>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</si>
  <si>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</si>
  <si>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</si>
  <si>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</si>
  <si>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</si>
  <si>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</si>
  <si>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</si>
  <si>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</si>
  <si>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</si>
  <si>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</si>
  <si>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</si>
  <si>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</si>
  <si>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</si>
  <si>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</si>
  <si>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</si>
  <si>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</si>
  <si>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</si>
  <si>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</si>
  <si>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</si>
  <si>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</si>
  <si>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</si>
  <si>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</si>
  <si>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</si>
  <si>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</si>
  <si>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</si>
  <si>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</si>
  <si>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</si>
  <si>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</si>
  <si>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</si>
  <si>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</si>
  <si>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</si>
  <si>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</si>
  <si>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</si>
  <si>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</si>
  <si>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</si>
  <si>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</si>
  <si>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</si>
  <si>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</si>
  <si>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</si>
  <si>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</si>
  <si>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</si>
  <si>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</si>
  <si>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</si>
  <si>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</si>
  <si>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</si>
  <si>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</si>
  <si>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</si>
  <si>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</si>
  <si>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</si>
  <si>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</si>
  <si>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</si>
  <si>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</si>
  <si>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</si>
  <si>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</si>
  <si>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</si>
  <si>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</si>
  <si>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</si>
  <si>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</si>
  <si>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</si>
  <si>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</si>
  <si>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</si>
  <si>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</si>
  <si>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</si>
  <si>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</si>
  <si>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</si>
  <si>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</si>
  <si>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</si>
  <si>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</si>
  <si>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</si>
  <si>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</si>
  <si>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</si>
  <si>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</si>
  <si>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</si>
  <si>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</si>
  <si>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</si>
  <si>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</si>
  <si>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</si>
  <si>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</si>
  <si>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</si>
  <si>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</si>
  <si>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</si>
  <si>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</si>
  <si>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</si>
  <si>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</si>
  <si>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</si>
  <si>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</si>
  <si>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</si>
  <si>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</si>
  <si>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</si>
  <si>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</si>
  <si>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</si>
  <si>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</si>
  <si>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</si>
  <si>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</si>
  <si>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</si>
  <si>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</si>
  <si>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</si>
  <si>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</si>
  <si>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</si>
  <si>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</si>
  <si>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</si>
  <si>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</si>
  <si>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</si>
  <si>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</si>
  <si>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</si>
  <si>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</si>
  <si>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</si>
  <si>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</si>
  <si>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</si>
  <si>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</si>
  <si>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</si>
  <si>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</si>
  <si>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</si>
  <si>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</si>
  <si>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</si>
  <si>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</si>
  <si>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</si>
  <si>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</si>
  <si>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</si>
  <si>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</si>
  <si>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</si>
  <si>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</si>
  <si>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</si>
  <si>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</si>
  <si>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</si>
  <si>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</si>
  <si>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</si>
  <si>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</si>
  <si>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</si>
  <si>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</si>
  <si>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</si>
  <si>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</si>
  <si>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</si>
  <si>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</si>
  <si>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</si>
  <si>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</si>
  <si>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</si>
  <si>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</si>
  <si>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</si>
  <si>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</si>
  <si>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</si>
  <si>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</si>
  <si>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</si>
  <si>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</si>
  <si>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</si>
  <si>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</si>
  <si>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</si>
  <si>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</si>
  <si>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</si>
  <si>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</si>
  <si>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</si>
  <si>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</si>
  <si>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</si>
  <si>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</si>
  <si>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</si>
  <si>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</si>
  <si>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</si>
  <si>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</si>
  <si>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</si>
  <si>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</si>
  <si>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</si>
  <si>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</si>
  <si>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</si>
  <si>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</si>
  <si>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</si>
  <si>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</si>
  <si>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</si>
  <si>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</si>
  <si>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</si>
  <si>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</si>
  <si>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</si>
  <si>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</si>
  <si>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</si>
  <si>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</si>
  <si>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</si>
  <si>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</si>
  <si>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</si>
  <si>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</si>
  <si>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</si>
  <si>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</si>
  <si>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</si>
  <si>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</si>
  <si>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</si>
  <si>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</si>
  <si>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</si>
  <si>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</si>
  <si>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</si>
  <si>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</si>
  <si>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</si>
  <si>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</si>
  <si>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</si>
  <si>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</si>
  <si>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</si>
  <si>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</si>
  <si>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</si>
  <si>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</si>
  <si>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</si>
  <si>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</si>
  <si>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</si>
  <si>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</si>
  <si>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</si>
  <si>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</si>
  <si>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</si>
  <si>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</si>
  <si>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</si>
  <si>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</si>
  <si>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</si>
  <si>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</si>
  <si>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</si>
  <si>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</si>
  <si>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</si>
  <si>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</si>
  <si>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</si>
  <si>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</si>
  <si>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</si>
  <si>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</si>
  <si>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</si>
  <si>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</si>
  <si>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</si>
  <si>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</si>
  <si>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</si>
  <si>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</si>
  <si>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</si>
  <si>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</si>
  <si>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</si>
  <si>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</si>
  <si>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</si>
  <si>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</si>
  <si>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</si>
  <si>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</si>
  <si>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</si>
  <si>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</si>
  <si>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</si>
  <si>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</si>
  <si>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</si>
  <si>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</si>
  <si>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</si>
  <si>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</si>
  <si>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</si>
  <si>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</si>
  <si>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</si>
  <si>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</si>
  <si>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</si>
  <si>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</si>
  <si>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</si>
  <si>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</si>
  <si>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</si>
  <si>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</si>
  <si>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</si>
  <si>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</si>
  <si>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</si>
  <si>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</si>
  <si>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</si>
  <si>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</si>
  <si>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</si>
  <si>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</si>
  <si>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</si>
  <si>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</si>
  <si>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</si>
  <si>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</si>
  <si>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</si>
  <si>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</si>
  <si>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</si>
  <si>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</si>
  <si>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</si>
  <si>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</si>
  <si>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</si>
  <si>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</si>
  <si>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</si>
  <si>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</si>
  <si>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</si>
  <si>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</si>
  <si>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</si>
  <si>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</si>
  <si>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</si>
  <si>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</si>
  <si>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</si>
  <si>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</si>
  <si>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</si>
  <si>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</si>
  <si>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</si>
  <si>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</si>
  <si>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</si>
  <si>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</si>
  <si>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</si>
  <si>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</si>
  <si>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</si>
  <si>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</si>
  <si>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</si>
  <si>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</si>
  <si>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</si>
  <si>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</si>
  <si>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</si>
  <si>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</si>
  <si>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</si>
  <si>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</si>
  <si>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</si>
  <si>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</si>
  <si>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</si>
  <si>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</si>
  <si>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</si>
  <si>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</si>
  <si>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</si>
  <si>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</si>
  <si>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</si>
  <si>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</si>
  <si>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</si>
  <si>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</si>
  <si>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</si>
  <si>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</si>
  <si>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</si>
  <si>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</si>
  <si>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</si>
  <si>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</si>
  <si>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</si>
  <si>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</si>
  <si>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</si>
  <si>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</si>
  <si>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</si>
  <si>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</si>
  <si>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</si>
  <si>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</si>
  <si>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</si>
  <si>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</si>
  <si>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</si>
  <si>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</si>
  <si>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</si>
  <si>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</si>
  <si>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</si>
  <si>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</si>
  <si>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</si>
  <si>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</si>
  <si>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</si>
  <si>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</si>
  <si>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</si>
  <si>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</si>
  <si>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</si>
  <si>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</si>
  <si>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</si>
  <si>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</si>
  <si>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</si>
  <si>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</si>
  <si>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</si>
  <si>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</si>
  <si>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</si>
  <si>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</si>
  <si>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</si>
  <si>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</si>
  <si>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</si>
  <si>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</si>
  <si>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</si>
  <si>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</si>
  <si>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</si>
  <si>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</si>
  <si>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</si>
  <si>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</si>
  <si>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</si>
  <si>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</si>
  <si>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</si>
  <si>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</si>
  <si>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</si>
  <si>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</si>
  <si>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</si>
  <si>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</si>
  <si>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</si>
  <si>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</si>
  <si>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</si>
  <si>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</si>
  <si>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</si>
  <si>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</si>
  <si>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</si>
  <si>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</si>
  <si>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</si>
  <si>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</si>
  <si>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</si>
  <si>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</si>
  <si>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</si>
  <si>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</si>
  <si>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</si>
  <si>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</si>
  <si>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</si>
  <si>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</si>
  <si>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</si>
  <si>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</si>
  <si>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</si>
  <si>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</si>
  <si>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</si>
  <si>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</si>
  <si>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</si>
  <si>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</si>
  <si>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</si>
  <si>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</si>
  <si>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</si>
  <si>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</si>
  <si>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</si>
  <si>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</si>
  <si>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</si>
  <si>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</si>
  <si>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</si>
  <si>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</si>
  <si>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</si>
  <si>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</si>
  <si>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</si>
  <si>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</si>
  <si>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</si>
  <si>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</si>
  <si>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</si>
  <si>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</si>
  <si>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</si>
  <si>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</si>
  <si>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</si>
  <si>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</si>
  <si>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</si>
  <si>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</si>
  <si>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</si>
  <si>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</si>
  <si>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</si>
  <si>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</si>
  <si>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</si>
  <si>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</si>
  <si>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</si>
  <si>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</si>
  <si>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</si>
  <si>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</si>
  <si>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</si>
  <si>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</si>
  <si>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</si>
  <si>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</si>
  <si>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</si>
  <si>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</si>
  <si>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</si>
  <si>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</si>
  <si>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</si>
  <si>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</si>
  <si>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</si>
  <si>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</si>
  <si>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</si>
  <si>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</si>
  <si>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</si>
  <si>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</si>
  <si>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</si>
  <si>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</si>
  <si>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</si>
  <si>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</si>
  <si>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</si>
  <si>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</si>
  <si>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</si>
  <si>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</si>
  <si>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</si>
  <si>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</si>
  <si>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</si>
  <si>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</si>
  <si>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</si>
  <si>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</si>
  <si>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</si>
  <si>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</si>
  <si>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</si>
  <si>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</si>
  <si>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</si>
  <si>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</si>
  <si>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</si>
  <si>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</si>
  <si>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</si>
  <si>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</si>
  <si>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</si>
  <si>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</si>
  <si>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</si>
  <si>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</si>
  <si>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</si>
  <si>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</si>
  <si>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</si>
  <si>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</si>
  <si>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</si>
  <si>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</si>
  <si>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</si>
  <si>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</si>
  <si>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</si>
  <si>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</si>
  <si>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</si>
  <si>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</si>
  <si>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</si>
  <si>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</si>
  <si>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</si>
  <si>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</si>
  <si>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</si>
  <si>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</si>
  <si>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</si>
  <si>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</si>
  <si>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</si>
  <si>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</si>
  <si>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</si>
  <si>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</si>
  <si>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</si>
  <si>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</si>
  <si>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</si>
  <si>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</si>
  <si>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</si>
  <si>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</si>
  <si>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</si>
  <si>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</si>
  <si>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</si>
  <si>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</si>
  <si>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</si>
  <si>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</si>
  <si>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</si>
  <si>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</si>
  <si>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</si>
  <si>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</si>
  <si>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</si>
  <si>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</si>
  <si>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</si>
  <si>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</si>
  <si>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</si>
  <si>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</si>
  <si>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</si>
  <si>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</si>
  <si>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</si>
  <si>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</si>
  <si>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</si>
  <si>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</si>
  <si>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</si>
  <si>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</si>
  <si>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</si>
  <si>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</si>
  <si>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</si>
  <si>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</si>
  <si>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</si>
  <si>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</si>
  <si>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</si>
  <si>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</si>
  <si>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</si>
  <si>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</si>
  <si>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</si>
  <si>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</si>
  <si>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</si>
  <si>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</si>
  <si>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</si>
  <si>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</si>
  <si>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</si>
  <si>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</si>
  <si>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</si>
  <si>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</si>
  <si>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</si>
  <si>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</si>
  <si>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</si>
  <si>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</si>
  <si>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</si>
  <si>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</si>
  <si>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</si>
  <si>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</si>
  <si>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</si>
  <si>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</si>
  <si>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</si>
  <si>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</si>
  <si>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</si>
  <si>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</si>
  <si>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</si>
  <si>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</si>
  <si>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</si>
  <si>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</si>
  <si>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</si>
  <si>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</si>
  <si>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</si>
  <si>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</si>
  <si>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</si>
  <si>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</si>
  <si>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</si>
  <si>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</si>
  <si>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</si>
  <si>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</si>
  <si>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</si>
  <si>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</si>
  <si>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</si>
  <si>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</si>
  <si>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</si>
  <si>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</si>
  <si>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</si>
  <si>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</si>
  <si>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</si>
  <si>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</si>
  <si>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</si>
  <si>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</si>
  <si>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</si>
  <si>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</si>
  <si>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</si>
  <si>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</si>
  <si>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</si>
  <si>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</si>
  <si>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</si>
  <si>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</si>
  <si>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</si>
  <si>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</si>
  <si>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</si>
  <si>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</si>
  <si>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</si>
  <si>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</si>
  <si>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</si>
  <si>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</si>
  <si>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</si>
  <si>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</si>
  <si>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</si>
  <si>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</si>
  <si>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</si>
  <si>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</si>
  <si>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</si>
  <si>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</si>
  <si>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</si>
  <si>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</si>
  <si>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</si>
  <si>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</si>
  <si>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</si>
  <si>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</si>
  <si>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</si>
  <si>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</si>
  <si>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</si>
  <si>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</si>
  <si>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</si>
  <si>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</si>
  <si>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</si>
  <si>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</si>
  <si>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</si>
  <si>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</si>
  <si>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</si>
  <si>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</si>
  <si>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</si>
  <si>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</si>
  <si>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</si>
  <si>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</si>
  <si>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</si>
  <si>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</si>
  <si>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</si>
  <si>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</si>
  <si>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</si>
  <si>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</si>
  <si>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</si>
  <si>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</si>
  <si>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</si>
  <si>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</si>
  <si>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</si>
  <si>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</si>
  <si>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</si>
  <si>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</si>
  <si>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</si>
  <si>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</si>
  <si>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</si>
  <si>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</si>
  <si>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</si>
  <si>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</si>
  <si>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</si>
  <si>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</si>
  <si>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</si>
  <si>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</si>
  <si>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</si>
  <si>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</si>
  <si>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</si>
  <si>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</si>
  <si>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</si>
  <si>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</si>
  <si>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</si>
  <si>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</si>
  <si>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</si>
  <si>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</si>
  <si>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</si>
  <si>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</si>
  <si>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</si>
  <si>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</si>
  <si>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</si>
  <si>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</si>
  <si>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</si>
  <si>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</si>
  <si>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</si>
  <si>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</si>
  <si>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</si>
  <si>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</si>
  <si>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</si>
  <si>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</si>
  <si>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</si>
  <si>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</si>
  <si>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</si>
  <si>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</si>
  <si>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</si>
  <si>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</si>
  <si>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</si>
  <si>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</si>
  <si>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</si>
  <si>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</si>
  <si>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</si>
  <si>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</si>
  <si>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</si>
  <si>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</si>
  <si>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</si>
  <si>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</si>
  <si>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</si>
  <si>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</si>
  <si>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</si>
  <si>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</si>
  <si>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</si>
  <si>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</si>
  <si>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</si>
  <si>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</si>
  <si>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</si>
  <si>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</si>
  <si>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</si>
  <si>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</si>
  <si>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</si>
  <si>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</si>
  <si>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</si>
  <si>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</si>
  <si>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</si>
  <si>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</si>
  <si>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</si>
  <si>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</si>
  <si>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</si>
  <si>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</si>
  <si>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</si>
  <si>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</si>
  <si>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</si>
  <si>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</si>
  <si>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</si>
  <si>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</si>
  <si>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</si>
  <si>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</si>
  <si>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</si>
  <si>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</si>
  <si>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</si>
  <si>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</si>
  <si>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</si>
  <si>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</si>
  <si>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</si>
  <si>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</si>
  <si>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</si>
  <si>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</si>
  <si>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</si>
  <si>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</si>
  <si>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</si>
  <si>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</si>
  <si>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</si>
  <si>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</si>
  <si>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</si>
  <si>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</si>
  <si>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</si>
  <si>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</si>
  <si>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</si>
  <si>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</si>
  <si>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</si>
  <si>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</si>
  <si>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</si>
  <si>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</si>
  <si>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</si>
  <si>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</si>
  <si>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</si>
  <si>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</si>
  <si>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</si>
  <si>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</si>
  <si>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</si>
  <si>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</si>
  <si>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</si>
  <si>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</si>
  <si>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</si>
  <si>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</si>
  <si>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</si>
  <si>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</si>
  <si>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</si>
  <si>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</si>
  <si>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</si>
  <si>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</si>
  <si>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</si>
  <si>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</si>
  <si>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</si>
  <si>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</si>
  <si>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</si>
  <si>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</si>
  <si>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</si>
  <si>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</si>
  <si>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</si>
  <si>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</si>
  <si>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</si>
  <si>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</si>
  <si>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</si>
  <si>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</si>
  <si>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</si>
  <si>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</si>
  <si>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</si>
  <si>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</si>
  <si>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</si>
  <si>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</si>
  <si>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</si>
  <si>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</si>
  <si>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</si>
  <si>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</si>
  <si>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</si>
  <si>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</si>
  <si>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</si>
  <si>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</si>
  <si>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</si>
  <si>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</si>
  <si>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</si>
  <si>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</si>
  <si>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</si>
  <si>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</si>
  <si>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</si>
  <si>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</si>
  <si>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</si>
  <si>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</si>
  <si>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</si>
  <si>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</si>
  <si>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</si>
  <si>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</si>
  <si>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</si>
  <si>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</si>
  <si>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</si>
  <si>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</si>
  <si>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</si>
  <si>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</si>
  <si>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</si>
  <si>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</si>
  <si>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</si>
  <si>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</si>
  <si>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</si>
  <si>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</si>
  <si>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</si>
  <si>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</si>
  <si>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</si>
  <si>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</si>
  <si>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</si>
  <si>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</si>
  <si>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</si>
  <si>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</si>
  <si>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</si>
  <si>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</si>
  <si>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</si>
  <si>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</si>
  <si>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</si>
  <si>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</si>
  <si>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</si>
  <si>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</si>
  <si>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</si>
  <si>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</si>
  <si>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</si>
  <si>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</si>
  <si>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</si>
  <si>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</si>
  <si>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</si>
  <si>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</si>
  <si>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</si>
  <si>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</si>
  <si>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</si>
  <si>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</si>
  <si>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</si>
  <si>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</si>
  <si>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</si>
  <si>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</si>
  <si>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</si>
  <si>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</si>
  <si>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</si>
  <si>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</si>
  <si>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</si>
  <si>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</si>
  <si>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</si>
  <si>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</si>
  <si>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</si>
  <si>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</si>
  <si>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</si>
  <si>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</si>
  <si>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</si>
  <si>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</si>
  <si>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</si>
  <si>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</si>
  <si>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</si>
  <si>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</si>
  <si>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</si>
  <si>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</si>
  <si>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</si>
  <si>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</si>
  <si>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</si>
  <si>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</si>
  <si>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</si>
  <si>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</si>
  <si>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</si>
  <si>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</si>
  <si>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</si>
  <si>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</si>
  <si>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</si>
  <si>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</si>
  <si>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</si>
  <si>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</si>
  <si>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</si>
  <si>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</si>
  <si>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</si>
  <si>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</si>
  <si>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</si>
  <si>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</si>
  <si>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</si>
  <si>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</si>
  <si>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</si>
  <si>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</si>
  <si>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</si>
  <si>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</si>
  <si>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</si>
  <si>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</si>
  <si>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</si>
  <si>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</si>
  <si>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</si>
  <si>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</si>
  <si>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</si>
  <si>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</si>
  <si>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</si>
  <si>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</si>
  <si>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</si>
  <si>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</si>
  <si>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</si>
  <si>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</si>
  <si>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</si>
  <si>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</si>
  <si>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</si>
  <si>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</si>
  <si>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</si>
  <si>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</si>
  <si>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</si>
  <si>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</si>
  <si>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</si>
  <si>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</si>
  <si>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</si>
  <si>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</si>
  <si>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</si>
  <si>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</si>
  <si>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</si>
  <si>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</si>
  <si>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</si>
  <si>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</si>
  <si>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</si>
  <si>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</si>
  <si>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</si>
  <si>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</si>
  <si>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</si>
  <si>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</si>
  <si>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</si>
  <si>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</si>
  <si>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</si>
  <si>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</si>
  <si>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</si>
  <si>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</si>
  <si>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</si>
  <si>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</si>
  <si>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</si>
  <si>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</si>
  <si>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</si>
  <si>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</si>
  <si>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</si>
  <si>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</si>
  <si>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</si>
  <si>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</si>
  <si>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</si>
  <si>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</si>
  <si>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</si>
  <si>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</si>
  <si>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</si>
  <si>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</si>
  <si>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</si>
  <si>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</si>
  <si>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</si>
  <si>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</si>
  <si>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</si>
  <si>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</si>
  <si>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</si>
  <si>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</si>
  <si>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</si>
  <si>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</si>
  <si>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</si>
  <si>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</si>
  <si>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</si>
  <si>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</si>
  <si>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</si>
  <si>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</si>
  <si>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</si>
  <si>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</si>
  <si>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</si>
  <si>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</si>
  <si>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</si>
  <si>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</si>
  <si>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</si>
  <si>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</si>
  <si>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</si>
  <si>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</si>
  <si>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</si>
  <si>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</si>
  <si>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</si>
  <si>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</si>
  <si>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</si>
  <si>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</si>
  <si>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</si>
  <si>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</si>
  <si>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</si>
  <si>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</si>
  <si>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</si>
  <si>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</si>
  <si>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</si>
  <si>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</si>
  <si>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</si>
  <si>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</si>
  <si>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</si>
  <si>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</si>
  <si>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</si>
  <si>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</si>
  <si>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</si>
  <si>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</si>
  <si>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</si>
  <si>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</si>
  <si>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</si>
  <si>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</si>
  <si>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</si>
  <si>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</si>
  <si>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</si>
  <si>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</si>
  <si>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</si>
  <si>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</si>
  <si>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</si>
  <si>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</si>
  <si>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</si>
  <si>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</si>
  <si>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</si>
  <si>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</si>
  <si>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</si>
  <si>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</si>
  <si>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</si>
  <si>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</si>
  <si>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</si>
  <si>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</si>
  <si>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</si>
  <si>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</si>
  <si>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</si>
  <si>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</si>
  <si>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</si>
  <si>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</si>
  <si>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</si>
  <si>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</si>
  <si>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</si>
  <si>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</si>
  <si>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</si>
  <si>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</si>
  <si>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</si>
  <si>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</si>
  <si>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</si>
  <si>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</si>
  <si>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</si>
  <si>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</si>
  <si>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</si>
  <si>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</si>
  <si>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</si>
  <si>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</si>
  <si>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</si>
  <si>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</si>
  <si>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</si>
  <si>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</si>
  <si>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</si>
  <si>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</si>
  <si>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</si>
  <si>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</si>
  <si>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</si>
  <si>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</si>
  <si>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</si>
  <si>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</si>
  <si>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</si>
  <si>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</si>
  <si>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</si>
  <si>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</si>
  <si>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</si>
  <si>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</si>
  <si>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</si>
  <si>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</si>
  <si>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</si>
  <si>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</si>
  <si>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</si>
  <si>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</si>
  <si>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</si>
  <si>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</si>
  <si>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</si>
  <si>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</si>
  <si>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</si>
  <si>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</si>
  <si>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</si>
  <si>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</si>
  <si>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</si>
  <si>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</si>
  <si>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</si>
  <si>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</si>
  <si>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</si>
  <si>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</si>
  <si>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</si>
  <si>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</si>
  <si>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</si>
  <si>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</si>
  <si>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</si>
  <si>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</si>
  <si>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</si>
  <si>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</si>
  <si>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</si>
  <si>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</si>
  <si>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</si>
  <si>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</si>
  <si>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</si>
  <si>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</si>
  <si>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</si>
  <si>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</si>
  <si>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</si>
  <si>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</si>
  <si>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</si>
  <si>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</si>
  <si>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</si>
  <si>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</si>
  <si>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</si>
  <si>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</si>
  <si>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</si>
  <si>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</si>
  <si>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</si>
  <si>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</si>
  <si>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</si>
  <si>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</si>
  <si>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</si>
  <si>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</si>
  <si>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</si>
  <si>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</si>
  <si>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</si>
  <si>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</si>
  <si>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</si>
  <si>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</si>
  <si>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</si>
  <si>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</si>
  <si>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</si>
  <si>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</si>
  <si>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</si>
  <si>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</si>
  <si>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</si>
  <si>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</si>
  <si>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</si>
  <si>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</si>
  <si>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</si>
  <si>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</si>
  <si>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</si>
  <si>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</si>
  <si>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</si>
  <si>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</si>
  <si>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</si>
  <si>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</si>
  <si>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</si>
  <si>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</si>
  <si>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</si>
  <si>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</si>
  <si>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</si>
  <si>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</si>
  <si>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</si>
  <si>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</si>
  <si>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</si>
  <si>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</si>
  <si>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</si>
  <si>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</si>
  <si>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</si>
  <si>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</si>
  <si>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</si>
  <si>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抵押</t>
  </si>
  <si>
    <t>房地产抵押价值</t>
  </si>
  <si>
    <t>已注销</t>
  </si>
  <si>
    <t>北京市</t>
  </si>
  <si>
    <t>自然人</t>
  </si>
  <si>
    <t>与房产证证载一致</t>
  </si>
  <si>
    <t>住宅</t>
  </si>
  <si>
    <t>住宅</t>
    <phoneticPr fontId="7" type="noConversion"/>
  </si>
  <si>
    <t>房屋所有权证</t>
  </si>
  <si>
    <t>无</t>
  </si>
  <si>
    <t>公寓</t>
    <phoneticPr fontId="7" type="noConversion"/>
  </si>
  <si>
    <t>是</t>
  </si>
  <si>
    <t>否</t>
  </si>
  <si>
    <t>《房屋所有权证》</t>
  </si>
  <si>
    <t>已核对原件</t>
  </si>
  <si>
    <t>有</t>
  </si>
  <si>
    <t>万元</t>
  </si>
  <si>
    <t>总价</t>
  </si>
  <si>
    <t>无租约</t>
  </si>
  <si>
    <t>估价对象</t>
  </si>
  <si>
    <t>售价</t>
  </si>
  <si>
    <t>US联邦公寓</t>
    <phoneticPr fontId="4" type="noConversion"/>
  </si>
  <si>
    <t>50-60（含）</t>
  </si>
  <si>
    <t>七通</t>
  </si>
  <si>
    <t>南北东</t>
    <phoneticPr fontId="20" type="noConversion"/>
  </si>
  <si>
    <t>南北西</t>
    <phoneticPr fontId="20" type="noConversion"/>
  </si>
  <si>
    <t>南北</t>
  </si>
  <si>
    <t>南北</t>
    <phoneticPr fontId="20" type="noConversion"/>
  </si>
  <si>
    <t>东南</t>
  </si>
  <si>
    <t>东南</t>
    <phoneticPr fontId="20" type="noConversion"/>
  </si>
  <si>
    <t>西南</t>
  </si>
  <si>
    <t>西南</t>
    <phoneticPr fontId="20" type="noConversion"/>
  </si>
  <si>
    <t>南</t>
    <phoneticPr fontId="20" type="noConversion"/>
  </si>
  <si>
    <t>支路</t>
    <phoneticPr fontId="20" type="noConversion"/>
  </si>
  <si>
    <t>塔楼</t>
  </si>
  <si>
    <t>塔楼</t>
    <phoneticPr fontId="20" type="noConversion"/>
  </si>
  <si>
    <t>钢混</t>
  </si>
  <si>
    <t>钢混</t>
    <phoneticPr fontId="20" type="noConversion"/>
  </si>
  <si>
    <t>好</t>
    <phoneticPr fontId="20" type="noConversion"/>
  </si>
  <si>
    <t>精装</t>
  </si>
  <si>
    <t>精装</t>
    <phoneticPr fontId="20" type="noConversion"/>
  </si>
  <si>
    <t>好</t>
    <phoneticPr fontId="20" type="noConversion"/>
  </si>
  <si>
    <t>七通</t>
    <phoneticPr fontId="20" type="noConversion"/>
  </si>
  <si>
    <t>东西</t>
  </si>
  <si>
    <t>东西</t>
    <phoneticPr fontId="20" type="noConversion"/>
  </si>
  <si>
    <t>估价对象1（结果表）</t>
  </si>
  <si>
    <t>估价对象周边居住用地比例高、居住小区规模大和社区发展完善，有亮马桥外交公寓、嘉和丽园公寓等，综合评价居住社区成熟度好。</t>
    <phoneticPr fontId="35" type="noConversion"/>
  </si>
  <si>
    <t>估价对象周边有430、416、405路，地铁十号线，公共交通通达情况好，周边路网密集，停车便捷程度，综合评价交通便捷度好。</t>
    <phoneticPr fontId="35" type="noConversion"/>
  </si>
  <si>
    <t>估价对象所在区域公共配套设施齐备</t>
    <phoneticPr fontId="35" type="noConversion"/>
  </si>
  <si>
    <t>七通</t>
    <phoneticPr fontId="20" type="noConversion"/>
  </si>
  <si>
    <t>区域自然环境：朝阳公园、蓝港；人文环境；综合评价环境状况好</t>
  </si>
  <si>
    <t>区域自然环境：朝阳公园、蓝港；人文环境；综合评价环境状况好</t>
    <phoneticPr fontId="35" type="noConversion"/>
  </si>
  <si>
    <t>城市支路——东方东路</t>
    <phoneticPr fontId="20"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</si>
  <si>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</si>
  <si>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</si>
  <si>
    <t>所在区域公共配套设施齐备</t>
    <phoneticPr fontId="20" type="noConversion"/>
  </si>
  <si>
    <t>非生产用房</t>
  </si>
  <si>
    <t>比较法-住宅</t>
  </si>
  <si>
    <t>收益法</t>
  </si>
  <si>
    <r>
      <t>2008</t>
    </r>
    <r>
      <rPr>
        <sz val="10"/>
        <color indexed="8"/>
        <rFont val="宋体"/>
        <family val="3"/>
        <charset val="134"/>
      </rPr>
      <t>年</t>
    </r>
    <phoneticPr fontId="4"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</si>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</sst>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 fontId="39" fillId="0" borderId="6" xfId="0" applyNumberFormat="1" applyFont="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47" fillId="5" borderId="6" xfId="0" applyNumberFormat="1"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xf>
    <xf numFmtId="0" fontId="39" fillId="0" borderId="14" xfId="0" applyNumberFormat="1" applyFont="1" applyFill="1" applyBorder="1" applyAlignment="1" applyProtection="1">
      <alignment horizontal="center" vertical="center" wrapText="1"/>
    </xf>
    <xf numFmtId="181" fontId="47" fillId="0" borderId="6"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351267</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66667" cy="2219048"/>
        </a:xfrm>
        <a:prstGeom prst="rect">
          <a:avLst/>
        </a:prstGeom>
      </xdr:spPr>
    </xdr:pic>
    <xdr:clientData/>
  </xdr:twoCellAnchor>
  <xdr:twoCellAnchor editAs="oneCell">
    <xdr:from>
      <xdr:col>0</xdr:col>
      <xdr:colOff>0</xdr:colOff>
      <xdr:row>13</xdr:row>
      <xdr:rowOff>0</xdr:rowOff>
    </xdr:from>
    <xdr:to>
      <xdr:col>14</xdr:col>
      <xdr:colOff>17848</xdr:colOff>
      <xdr:row>26</xdr:row>
      <xdr:rowOff>161626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9619048" cy="2390476"/>
        </a:xfrm>
        <a:prstGeom prst="rect">
          <a:avLst/>
        </a:prstGeom>
      </xdr:spPr>
    </xdr:pic>
    <xdr:clientData/>
  </xdr:twoCellAnchor>
  <xdr:twoCellAnchor editAs="oneCell">
    <xdr:from>
      <xdr:col>0</xdr:col>
      <xdr:colOff>0</xdr:colOff>
      <xdr:row>28</xdr:row>
      <xdr:rowOff>0</xdr:rowOff>
    </xdr:from>
    <xdr:to>
      <xdr:col>13</xdr:col>
      <xdr:colOff>551267</xdr:colOff>
      <xdr:row>41</xdr:row>
      <xdr:rowOff>133055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9466667" cy="2361905"/>
        </a:xfrm>
        <a:prstGeom prst="rect">
          <a:avLst/>
        </a:prstGeom>
      </xdr:spPr>
    </xdr:pic>
    <xdr:clientData/>
  </xdr:twoCellAnchor>
  <xdr:twoCellAnchor editAs="oneCell">
    <xdr:from>
      <xdr:col>0</xdr:col>
      <xdr:colOff>0</xdr:colOff>
      <xdr:row>43</xdr:row>
      <xdr:rowOff>0</xdr:rowOff>
    </xdr:from>
    <xdr:to>
      <xdr:col>13</xdr:col>
      <xdr:colOff>379839</xdr:colOff>
      <xdr:row>83</xdr:row>
      <xdr:rowOff>18191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372350"/>
          <a:ext cx="9295239" cy="6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北京市房地产抵押价值预评估</v>
      </c>
    </row>
    <row r="3" spans="1:2" s="1701" customFormat="1">
      <c r="A3" s="1702" t="s">
        <v>1110</v>
      </c>
      <c r="B3" s="1687">
        <f>'预评函-封皮'!B12</f>
        <v>0</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估价对象为北京市房地产，为所有。根据《房屋所有权证》[]，估价对象建筑面积为227.54平方米。估价对象用途为公寓。</v>
      </c>
    </row>
    <row r="8" spans="1:2">
      <c r="A8" s="1702" t="s">
        <v>1115</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1116</v>
      </c>
      <c r="B9" s="1689" t="str">
        <f>'预评函-1'!A10</f>
        <v>2018年3月21日（评估专业人员实地查勘之日）</v>
      </c>
    </row>
    <row r="10" spans="1:2">
      <c r="A10" s="1702" t="s">
        <v>1117</v>
      </c>
      <c r="B10" s="1689" t="str">
        <f>'预评函-1'!A13</f>
        <v>本次估价的“房地产价值”是指在正常市场情况下，在价值时点2018年3月21日，估价对象规划用途为公寓，假定未设立法定优先受偿款下的房地产市场价值。</v>
      </c>
    </row>
    <row r="11" spans="1:2">
      <c r="A11" s="1702" t="s">
        <v>1118</v>
      </c>
      <c r="B11" s="1689"/>
    </row>
    <row r="12" spans="1:2">
      <c r="A12" s="1702" t="s">
        <v>1119</v>
      </c>
      <c r="B12" s="1689"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227.54</v>
      </c>
    </row>
    <row r="19" spans="1:2">
      <c r="A19" s="1702" t="s">
        <v>1126</v>
      </c>
      <c r="B19" s="1689">
        <f ca="1">'预评函-2（1）'!D7</f>
        <v>1367</v>
      </c>
    </row>
    <row r="20" spans="1:2">
      <c r="A20" s="1702" t="s">
        <v>1164</v>
      </c>
      <c r="B20" s="1689" t="str">
        <f>'预评函-2（1）'!C7</f>
        <v>总价（万元）</v>
      </c>
    </row>
    <row r="21" spans="1:2">
      <c r="A21" s="1702" t="s">
        <v>1127</v>
      </c>
      <c r="B21" s="1689">
        <f ca="1">'预评函-2（1）'!D9</f>
        <v>60077</v>
      </c>
    </row>
    <row r="22" spans="1:2">
      <c r="A22" s="1702" t="s">
        <v>1128</v>
      </c>
      <c r="B22" s="1689" t="str">
        <f ca="1">'预评函-2（1）'!D8</f>
        <v>壹仟叁佰陆拾柒万元整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str">
        <f>'预评函-2（1）'!D15</f>
        <v>——</v>
      </c>
    </row>
    <row r="30" spans="1:2">
      <c r="A30" s="1702" t="s">
        <v>1134</v>
      </c>
      <c r="B30" s="1689" t="e">
        <f>'预评函-2（1）'!D16</f>
        <v>#VALUE!</v>
      </c>
    </row>
    <row r="31" spans="1:2">
      <c r="A31" s="1702" t="s">
        <v>1135</v>
      </c>
      <c r="B31" s="1689">
        <f ca="1">'预评函-2（1）'!D18</f>
        <v>1367</v>
      </c>
    </row>
    <row r="32" spans="1:2">
      <c r="A32" s="1702" t="s">
        <v>1136</v>
      </c>
      <c r="B32" s="1689" t="str">
        <f ca="1">'预评函-2（1）'!D19</f>
        <v>壹仟叁佰陆拾柒万元整</v>
      </c>
    </row>
    <row r="33" spans="1:2">
      <c r="A33" s="1702" t="s">
        <v>1137</v>
      </c>
      <c r="B33" s="1689" t="str">
        <f>'预评函-2（1）'!D21</f>
        <v>——</v>
      </c>
    </row>
    <row r="34" spans="1:2">
      <c r="A34" s="1702" t="s">
        <v>1138</v>
      </c>
      <c r="B34" s="1689" t="e">
        <f ca="1">'预评函-2（1）'!D23</f>
        <v>#VALUE!</v>
      </c>
    </row>
    <row r="35" spans="1:2">
      <c r="A35" s="1702" t="s">
        <v>1139</v>
      </c>
      <c r="B35" s="1689" t="e">
        <f>'预评函-2（1）'!D22</f>
        <v>#VALUE!</v>
      </c>
    </row>
    <row r="36" spans="1:2">
      <c r="A36" s="1702" t="s">
        <v>1140</v>
      </c>
      <c r="B36" s="1689">
        <f>'预评函-2（2）'!C4</f>
        <v>0</v>
      </c>
    </row>
    <row r="37" spans="1:2">
      <c r="A37" s="1702" t="s">
        <v>1141</v>
      </c>
      <c r="B37" s="1689">
        <f ca="1">'预评函-2（2）'!D4</f>
        <v>1195</v>
      </c>
    </row>
    <row r="38" spans="1:2">
      <c r="A38" s="1702" t="s">
        <v>1142</v>
      </c>
      <c r="B38" s="1689">
        <f ca="1">'预评函-2（2）'!E4</f>
        <v>52518</v>
      </c>
    </row>
    <row r="39" spans="1:2">
      <c r="A39" s="1702" t="s">
        <v>1143</v>
      </c>
      <c r="B39" s="1689" t="str">
        <f ca="1">'预评函-2（2）'!D5</f>
        <v>壹仟壹佰玖拾伍万元整</v>
      </c>
    </row>
    <row r="40" spans="1:2">
      <c r="A40" s="1702" t="s">
        <v>1144</v>
      </c>
      <c r="B40" s="1689">
        <f ca="1">'预评函-2（2）'!F4</f>
        <v>172</v>
      </c>
    </row>
    <row r="41" spans="1:2">
      <c r="A41" s="1702" t="s">
        <v>1145</v>
      </c>
      <c r="B41" s="1689">
        <f ca="1">'预评函-2（2）'!G4</f>
        <v>7559</v>
      </c>
    </row>
    <row r="42" spans="1:2" s="1699" customFormat="1" ht="15.75" thickBot="1">
      <c r="A42" s="1703" t="s">
        <v>1146</v>
      </c>
      <c r="B42" s="1691" t="str">
        <f ca="1">'预评函-2（2）'!F5</f>
        <v>壹佰柒拾贰万元整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v>
      </c>
    </row>
    <row r="57" spans="1:2">
      <c r="A57" s="1705" t="s">
        <v>1168</v>
      </c>
      <c r="B57" s="1689" t="str">
        <f>'预评函-2（1）'!B18</f>
        <v>3.抵押担保权已注销时的房地产抵押价值</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t="e">
        <f ca="1">'预评函-2（1）'!D38</f>
        <v>#VALUE!</v>
      </c>
    </row>
    <row r="63" spans="1:2" s="1701" customFormat="1" ht="28.5">
      <c r="A63" s="1705" t="s">
        <v>1258</v>
      </c>
      <c r="B63" s="1689">
        <f ca="1">'预评函-2（1）'!D41</f>
        <v>60077</v>
      </c>
    </row>
    <row r="64" spans="1:2">
      <c r="A64" s="1705" t="s">
        <v>1181</v>
      </c>
      <c r="B64" s="1689" t="str">
        <f>'预评函-2（2）'!A6</f>
        <v>估价师所知悉的法定优先受偿款</v>
      </c>
    </row>
    <row r="65" spans="1:2">
      <c r="A65" s="1705" t="s">
        <v>1182</v>
      </c>
      <c r="B65" s="1689" t="str">
        <f>'预评函-2（2）'!A8</f>
        <v/>
      </c>
    </row>
    <row r="66" spans="1:2">
      <c r="A66" s="1705" t="s">
        <v>1183</v>
      </c>
      <c r="B66" s="1689" t="str">
        <f>'预评函-2（2）'!A10</f>
        <v>抵押担保权已注销时的房地产抵押价值</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c r="I1" s="1020" t="str">
        <f>IF(B6="北京市","北京市",C6)&amp;IF(E12="房屋所有权证",B28,E28)&amp;"房地产"</f>
        <v>北京市房地产</v>
      </c>
    </row>
    <row r="2" spans="1:10" ht="13.5" thickTop="1">
      <c r="A2" s="1998" t="s">
        <v>1546</v>
      </c>
      <c r="B2" s="1088">
        <v>43180</v>
      </c>
      <c r="C2" s="1999" t="s">
        <v>1547</v>
      </c>
      <c r="D2" s="1088">
        <v>43180</v>
      </c>
      <c r="E2" s="1064"/>
      <c r="F2" s="1064"/>
      <c r="G2" s="1683"/>
      <c r="H2" s="1020"/>
    </row>
    <row r="3" spans="1:10" ht="13.5" thickBot="1">
      <c r="A3" s="2000" t="s">
        <v>1548</v>
      </c>
      <c r="B3" s="2001" t="s">
        <v>2811</v>
      </c>
      <c r="C3" s="1065">
        <f ca="1">SUMIF(注册房地产估价师,B3,估价师及机构信息!B3:B24)</f>
        <v>1120140022</v>
      </c>
      <c r="D3" s="2001" t="s">
        <v>2812</v>
      </c>
      <c r="E3" s="1066">
        <f ca="1">SUMIF(注册房地产估价师,D3,估价师及机构信息!B3:B24)</f>
        <v>1419970001</v>
      </c>
      <c r="F3" s="1067"/>
      <c r="G3" s="1684"/>
      <c r="H3" s="1020"/>
    </row>
    <row r="4" spans="1:10" ht="13.5" customHeight="1" thickTop="1">
      <c r="A4" s="2002" t="s">
        <v>1549</v>
      </c>
      <c r="B4" s="2003"/>
      <c r="C4" s="2004" t="s">
        <v>1550</v>
      </c>
      <c r="D4" s="2005" t="s">
        <v>2813</v>
      </c>
      <c r="E4" s="1064"/>
      <c r="F4" s="1064"/>
      <c r="G4" s="1683"/>
    </row>
    <row r="5" spans="1:10">
      <c r="A5" s="2006" t="s">
        <v>1551</v>
      </c>
      <c r="B5" s="2007"/>
      <c r="C5" s="2008" t="s">
        <v>1552</v>
      </c>
      <c r="D5" s="2009" t="s">
        <v>2814</v>
      </c>
      <c r="E5" s="2010" t="s">
        <v>1553</v>
      </c>
      <c r="F5" s="2011" t="s">
        <v>2815</v>
      </c>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07" t="s">
        <v>1557</v>
      </c>
      <c r="B8" s="2020" t="s">
        <v>1558</v>
      </c>
      <c r="C8" s="2820"/>
      <c r="D8" s="2821"/>
      <c r="E8" s="2021" t="s">
        <v>1559</v>
      </c>
      <c r="F8" s="2022" t="s">
        <v>1560</v>
      </c>
      <c r="G8" s="690">
        <f>C6</f>
        <v>0</v>
      </c>
    </row>
    <row r="9" spans="1:10" ht="25.5">
      <c r="A9" s="2807"/>
      <c r="B9" s="344" t="s">
        <v>1561</v>
      </c>
      <c r="C9" s="2736" t="s">
        <v>2820</v>
      </c>
      <c r="D9" s="2023" t="s">
        <v>2818</v>
      </c>
      <c r="E9" s="1010" t="s">
        <v>1562</v>
      </c>
      <c r="F9" s="996"/>
      <c r="G9" s="1012"/>
    </row>
    <row r="10" spans="1:10" ht="13.5" thickBot="1">
      <c r="A10" s="2807"/>
      <c r="B10" s="344" t="s">
        <v>1563</v>
      </c>
      <c r="C10" s="2822"/>
      <c r="D10" s="2823"/>
      <c r="E10" s="2024" t="s">
        <v>1564</v>
      </c>
      <c r="F10" s="1013"/>
      <c r="G10" s="1014"/>
    </row>
    <row r="11" spans="1:10" ht="13.5" thickBot="1">
      <c r="A11" s="2807"/>
      <c r="B11" s="2025" t="s">
        <v>1565</v>
      </c>
      <c r="C11" s="2824"/>
      <c r="D11" s="2825"/>
      <c r="E11" s="1022"/>
      <c r="F11" s="1021"/>
      <c r="G11" s="1074"/>
    </row>
    <row r="12" spans="1:10" ht="13.5" thickBot="1">
      <c r="A12" s="2811" t="s">
        <v>1566</v>
      </c>
      <c r="B12" s="2026" t="s">
        <v>1567</v>
      </c>
      <c r="C12" s="1016">
        <v>227.54</v>
      </c>
      <c r="D12" s="2026" t="s">
        <v>1568</v>
      </c>
      <c r="E12" s="2027" t="s">
        <v>2821</v>
      </c>
      <c r="F12" s="2028" t="s">
        <v>1254</v>
      </c>
      <c r="G12" s="1074"/>
    </row>
    <row r="13" spans="1:10" ht="21" customHeight="1" thickBot="1">
      <c r="A13" s="2812"/>
      <c r="B13" s="2029" t="s">
        <v>1569</v>
      </c>
      <c r="C13" s="1017"/>
      <c r="D13" s="2029" t="s">
        <v>1570</v>
      </c>
      <c r="E13" s="2030" t="s">
        <v>2822</v>
      </c>
      <c r="F13" s="1021"/>
      <c r="G13" s="1074"/>
      <c r="I13" s="2830" t="s">
        <v>1571</v>
      </c>
      <c r="J13" s="2031"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32"/>
      <c r="B14" s="2033" t="s">
        <v>1572</v>
      </c>
      <c r="C14" s="2737" t="s">
        <v>2823</v>
      </c>
      <c r="D14" s="1021"/>
      <c r="E14" s="1021"/>
      <c r="F14" s="1021"/>
      <c r="G14" s="1074"/>
      <c r="I14" s="283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1573</v>
      </c>
      <c r="C15" s="1069"/>
      <c r="D15" s="1067"/>
      <c r="E15" s="1067"/>
      <c r="F15" s="1067"/>
      <c r="G15" s="1684"/>
      <c r="I15" s="283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32" t="s">
        <v>1574</v>
      </c>
      <c r="B16" s="2036" t="s">
        <v>1575</v>
      </c>
      <c r="C16" s="2037" t="s">
        <v>2824</v>
      </c>
      <c r="D16" s="2038" t="s">
        <v>1576</v>
      </c>
      <c r="E16" s="2039" t="s">
        <v>2825</v>
      </c>
      <c r="F16" s="2040" t="str">
        <f>IF(AND(C16="是",E16="否"),"是否提供他项权证或相关说明","")</f>
        <v>是否提供他项权证或相关说明</v>
      </c>
      <c r="G16" s="2039" t="s">
        <v>2825</v>
      </c>
      <c r="I16" s="1071"/>
      <c r="J16" s="1020"/>
    </row>
    <row r="17" spans="1:15" ht="13.5" customHeight="1">
      <c r="A17" s="2041" t="s">
        <v>1577</v>
      </c>
      <c r="B17" s="2826" t="s">
        <v>1578</v>
      </c>
      <c r="C17" s="2827"/>
      <c r="D17" s="2828" t="s">
        <v>1579</v>
      </c>
      <c r="E17" s="2829"/>
      <c r="F17" s="2042" t="s">
        <v>1580</v>
      </c>
      <c r="G17" s="2043"/>
      <c r="J17" s="1020"/>
    </row>
    <row r="18" spans="1:15">
      <c r="A18" s="2041"/>
      <c r="B18" s="2044" t="s">
        <v>2826</v>
      </c>
      <c r="C18" s="2012" t="s">
        <v>1581</v>
      </c>
      <c r="D18" s="2045"/>
      <c r="E18" s="2046" t="s">
        <v>1254</v>
      </c>
      <c r="F18" s="2047"/>
      <c r="G18" s="1868"/>
      <c r="H18" s="1020"/>
      <c r="J18" s="1020"/>
    </row>
    <row r="19" spans="1:15" ht="21.75" customHeight="1" thickBot="1">
      <c r="A19" s="2041"/>
      <c r="B19" s="2048" t="s">
        <v>1254</v>
      </c>
      <c r="C19" s="2030" t="s">
        <v>1254</v>
      </c>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2827</v>
      </c>
      <c r="C26" s="995"/>
      <c r="D26" s="1015"/>
      <c r="E26" s="1089"/>
      <c r="F26" s="995"/>
      <c r="G26" s="1685"/>
      <c r="L26" s="1082"/>
      <c r="M26" s="1082"/>
      <c r="O26" s="1083"/>
    </row>
    <row r="27" spans="1:15">
      <c r="A27" s="1007" t="s">
        <v>1592</v>
      </c>
      <c r="B27" s="1004"/>
      <c r="C27" s="2814" t="s">
        <v>1592</v>
      </c>
      <c r="D27" s="2815"/>
      <c r="E27" s="1004"/>
      <c r="F27" s="1011" t="s">
        <v>1592</v>
      </c>
      <c r="G27" s="1004"/>
      <c r="I27" s="1071"/>
      <c r="K27" s="1071"/>
    </row>
    <row r="28" spans="1:15">
      <c r="A28" s="1008" t="s">
        <v>1593</v>
      </c>
      <c r="B28" s="978"/>
      <c r="C28" s="2816" t="s">
        <v>1594</v>
      </c>
      <c r="D28" s="2817"/>
      <c r="E28" s="978"/>
      <c r="F28" s="1894" t="s">
        <v>1594</v>
      </c>
      <c r="G28" s="978"/>
      <c r="I28" s="1071"/>
      <c r="K28" s="1071"/>
    </row>
    <row r="29" spans="1:15">
      <c r="A29" s="1008" t="s">
        <v>1595</v>
      </c>
      <c r="B29" s="978"/>
      <c r="C29" s="2816" t="s">
        <v>1595</v>
      </c>
      <c r="D29" s="2817"/>
      <c r="E29" s="978"/>
      <c r="F29" s="1894" t="s">
        <v>1596</v>
      </c>
      <c r="G29" s="978"/>
      <c r="I29" s="1071"/>
      <c r="K29" s="1071"/>
    </row>
    <row r="30" spans="1:15">
      <c r="A30" s="1008" t="s">
        <v>1597</v>
      </c>
      <c r="B30" s="978"/>
      <c r="C30" s="2836" t="s">
        <v>1598</v>
      </c>
      <c r="D30" s="2067"/>
      <c r="E30" s="1023" t="str">
        <f>E31&amp;" "&amp;E32&amp;" "&amp;E33&amp;" "&amp;E34</f>
        <v xml:space="preserve">   </v>
      </c>
      <c r="F30" s="1894" t="s">
        <v>1599</v>
      </c>
      <c r="G30" s="978"/>
    </row>
    <row r="31" spans="1:15">
      <c r="A31" s="1008" t="s">
        <v>1600</v>
      </c>
      <c r="B31" s="978"/>
      <c r="C31" s="2837"/>
      <c r="D31" s="1893" t="s">
        <v>1601</v>
      </c>
      <c r="E31" s="978"/>
      <c r="F31" s="1894" t="s">
        <v>1602</v>
      </c>
      <c r="G31" s="978"/>
    </row>
    <row r="32" spans="1:15" ht="24.75" thickBot="1">
      <c r="A32" s="1009" t="s">
        <v>1603</v>
      </c>
      <c r="B32" s="1005"/>
      <c r="C32" s="2837"/>
      <c r="D32" s="1893" t="s">
        <v>1604</v>
      </c>
      <c r="E32" s="978"/>
      <c r="F32" s="1894" t="s">
        <v>1605</v>
      </c>
      <c r="G32" s="978"/>
    </row>
    <row r="33" spans="1:7">
      <c r="A33" s="1007" t="s">
        <v>1606</v>
      </c>
      <c r="B33" s="1004"/>
      <c r="C33" s="2837"/>
      <c r="D33" s="1893" t="s">
        <v>1607</v>
      </c>
      <c r="E33" s="978"/>
      <c r="F33" s="1894" t="s">
        <v>1608</v>
      </c>
      <c r="G33" s="978"/>
    </row>
    <row r="34" spans="1:7" ht="13.5" thickBot="1">
      <c r="A34" s="1008" t="s">
        <v>1609</v>
      </c>
      <c r="B34" s="978"/>
      <c r="C34" s="2838"/>
      <c r="D34" s="1893" t="s">
        <v>1610</v>
      </c>
      <c r="E34" s="978"/>
      <c r="F34" s="1895" t="s">
        <v>1611</v>
      </c>
      <c r="G34" s="1006"/>
    </row>
    <row r="35" spans="1:7">
      <c r="A35" s="1008" t="s">
        <v>1567</v>
      </c>
      <c r="B35" s="978"/>
      <c r="C35" s="2816" t="s">
        <v>1612</v>
      </c>
      <c r="D35" s="2817"/>
      <c r="E35" s="978"/>
      <c r="F35" s="1019" t="s">
        <v>1613</v>
      </c>
      <c r="G35" s="1004"/>
    </row>
    <row r="36" spans="1:7" ht="13.5" thickBot="1">
      <c r="A36" s="1008" t="s">
        <v>1614</v>
      </c>
      <c r="B36" s="978"/>
      <c r="C36" s="2818" t="s">
        <v>1615</v>
      </c>
      <c r="D36" s="2819"/>
      <c r="E36" s="1005"/>
      <c r="F36" s="1891" t="s">
        <v>1616</v>
      </c>
      <c r="G36" s="978"/>
    </row>
    <row r="37" spans="1:7" ht="13.5" thickBot="1">
      <c r="A37" s="1008" t="s">
        <v>1617</v>
      </c>
      <c r="B37" s="978"/>
      <c r="C37" s="2808" t="s">
        <v>1618</v>
      </c>
      <c r="D37" s="2068" t="s">
        <v>1602</v>
      </c>
      <c r="E37" s="1004"/>
      <c r="F37" s="1895" t="s">
        <v>1619</v>
      </c>
      <c r="G37" s="1005"/>
    </row>
    <row r="38" spans="1:7">
      <c r="A38" s="1008" t="s">
        <v>1620</v>
      </c>
      <c r="B38" s="978"/>
      <c r="C38" s="2809"/>
      <c r="D38" s="1893" t="s">
        <v>1609</v>
      </c>
      <c r="E38" s="978"/>
      <c r="F38" s="1011" t="s">
        <v>1621</v>
      </c>
      <c r="G38" s="1004"/>
    </row>
    <row r="39" spans="1:7">
      <c r="A39" s="1008" t="s">
        <v>1622</v>
      </c>
      <c r="B39" s="978"/>
      <c r="C39" s="2809" t="s">
        <v>1623</v>
      </c>
      <c r="D39" s="1893" t="s">
        <v>1567</v>
      </c>
      <c r="E39" s="978"/>
      <c r="F39" s="1894" t="s">
        <v>1624</v>
      </c>
      <c r="G39" s="978"/>
    </row>
    <row r="40" spans="1:7" ht="24.75" customHeight="1" thickBot="1">
      <c r="A40" s="1009" t="s">
        <v>1625</v>
      </c>
      <c r="B40" s="1005">
        <v>2008</v>
      </c>
      <c r="C40" s="2810"/>
      <c r="D40" s="1896" t="s">
        <v>1569</v>
      </c>
      <c r="E40" s="1005"/>
      <c r="F40" s="1895" t="s">
        <v>1626</v>
      </c>
      <c r="G40" s="1005"/>
    </row>
    <row r="41" spans="1:7">
      <c r="A41" s="1010" t="s">
        <v>1627</v>
      </c>
      <c r="B41" s="1060" t="s">
        <v>2828</v>
      </c>
      <c r="C41" s="2831" t="s">
        <v>1627</v>
      </c>
      <c r="D41" s="2832"/>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33" t="s">
        <v>1630</v>
      </c>
      <c r="D48" s="2834"/>
      <c r="E48" s="1055"/>
      <c r="F48" s="1895" t="s">
        <v>1631</v>
      </c>
      <c r="G48" s="1005"/>
    </row>
    <row r="49" spans="1:15">
      <c r="A49" s="1008" t="s">
        <v>1632</v>
      </c>
      <c r="B49" s="1054"/>
      <c r="C49" s="2808" t="s">
        <v>1633</v>
      </c>
      <c r="D49" s="2835"/>
      <c r="E49" s="1056"/>
      <c r="F49" s="1084"/>
      <c r="G49" s="1085"/>
    </row>
    <row r="50" spans="1:15" ht="13.5" thickBot="1">
      <c r="A50" s="1008" t="s">
        <v>1634</v>
      </c>
      <c r="B50" s="1054"/>
      <c r="C50" s="2810" t="s">
        <v>1635</v>
      </c>
      <c r="D50" s="2813"/>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43180</v>
      </c>
      <c r="C2" s="1855"/>
      <c r="D2" s="2841"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2829</v>
      </c>
      <c r="C3" s="1855"/>
      <c r="D3" s="2842"/>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2830</v>
      </c>
      <c r="C4" s="1855"/>
      <c r="D4" s="284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227.54</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0</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2819</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c r="C12" s="1855"/>
      <c r="D12" s="2093"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57.5</v>
      </c>
      <c r="C13" s="2095"/>
      <c r="D13" s="2096" t="s">
        <v>1657</v>
      </c>
      <c r="E13" s="39"/>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0.96499999999999997</v>
      </c>
      <c r="C14" s="1855"/>
      <c r="D14" s="2097" t="s">
        <v>1660</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4.4999999999999998E-2</v>
      </c>
      <c r="C15" s="1855"/>
      <c r="D15" s="2093" t="s">
        <v>1662</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0.05</v>
      </c>
      <c r="C16" s="1855"/>
      <c r="D16" s="2098" t="s">
        <v>1664</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0.08</v>
      </c>
      <c r="C17" s="1855"/>
      <c r="D17" s="2084" t="s">
        <v>1666</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682620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v>0.83299999999999996</v>
      </c>
      <c r="F20" s="1237" t="s">
        <v>2872</v>
      </c>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2.5</v>
      </c>
      <c r="C21" s="1855"/>
      <c r="D21" s="2093"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2.5</v>
      </c>
      <c r="C22" s="1855"/>
      <c r="D22" s="2093"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2.5</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2.5</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2008</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2831</v>
      </c>
      <c r="C28" s="1237"/>
      <c r="D28" s="2110" t="s">
        <v>1689</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8">
        <v>25000</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0.03</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50</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v>1</v>
      </c>
      <c r="C41" s="1237"/>
      <c r="D41" s="2093" t="s">
        <v>1714</v>
      </c>
      <c r="E41" s="2121"/>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12</v>
      </c>
      <c r="C42" s="1237"/>
      <c r="D42" s="2123" t="s">
        <v>1718</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1.4999999999999999E-2</v>
      </c>
      <c r="C44" s="1237" t="s">
        <v>970</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1.5E-3</v>
      </c>
      <c r="C45" s="1237" t="s">
        <v>971</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0.01</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tabSelected="1"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3" t="s">
        <v>1731</v>
      </c>
      <c r="B1" s="2844"/>
      <c r="C1" s="2844"/>
      <c r="D1" s="2844"/>
      <c r="E1" s="2844"/>
      <c r="F1" s="2844"/>
      <c r="G1" s="284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67.5">
      <c r="A3" s="395" t="s">
        <v>1734</v>
      </c>
      <c r="B3" s="2143" t="s">
        <v>1735</v>
      </c>
      <c r="C3" s="2742" t="s">
        <v>2859</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147"/>
      <c r="D4" s="2144"/>
      <c r="E4" s="2148"/>
      <c r="F4" s="2149" t="s">
        <v>1739</v>
      </c>
      <c r="G4" s="2150" t="s">
        <v>1740</v>
      </c>
      <c r="H4" s="2141"/>
      <c r="I4" s="2141"/>
      <c r="J4" s="2141"/>
      <c r="K4" s="2141"/>
      <c r="L4" s="2141"/>
      <c r="M4" s="2141"/>
      <c r="N4" s="2141"/>
      <c r="O4" s="2141"/>
      <c r="P4" s="2141"/>
      <c r="Q4" s="2141"/>
      <c r="R4" s="2141"/>
    </row>
    <row r="5" spans="1:29" ht="27">
      <c r="A5" s="411"/>
      <c r="B5" s="1887" t="s">
        <v>1741</v>
      </c>
      <c r="C5" s="2147"/>
      <c r="D5" s="2144"/>
      <c r="E5" s="2148"/>
      <c r="F5" s="1887" t="s">
        <v>1742</v>
      </c>
      <c r="G5" s="2150" t="s">
        <v>1743</v>
      </c>
      <c r="H5" s="2141"/>
      <c r="I5" s="2141"/>
      <c r="J5" s="2141"/>
      <c r="K5" s="2141"/>
      <c r="L5" s="2141"/>
      <c r="M5" s="2141"/>
      <c r="N5" s="2141"/>
      <c r="O5" s="2141"/>
      <c r="P5" s="2141"/>
      <c r="Q5" s="2141"/>
      <c r="R5" s="2141"/>
    </row>
    <row r="6" spans="1:29" ht="67.5">
      <c r="A6" s="411"/>
      <c r="B6" s="1887" t="s">
        <v>1744</v>
      </c>
      <c r="C6" s="2743" t="s">
        <v>2860</v>
      </c>
      <c r="D6" s="2144"/>
      <c r="E6" s="2148"/>
      <c r="F6" s="1887" t="s">
        <v>1745</v>
      </c>
      <c r="G6" s="2150" t="s">
        <v>1746</v>
      </c>
      <c r="H6" s="2141"/>
      <c r="I6" s="2141"/>
      <c r="J6" s="2141"/>
      <c r="K6" s="2141"/>
      <c r="L6" s="2141"/>
      <c r="M6" s="2141"/>
      <c r="N6" s="2141"/>
      <c r="O6" s="2141"/>
      <c r="P6" s="2141"/>
      <c r="Q6" s="2141"/>
      <c r="R6" s="2141"/>
    </row>
    <row r="7" spans="1:29" ht="41.25" thickBot="1">
      <c r="A7" s="411"/>
      <c r="B7" s="1887" t="s">
        <v>1742</v>
      </c>
      <c r="C7" s="2743" t="s">
        <v>2861</v>
      </c>
      <c r="D7" s="2151"/>
      <c r="E7" s="2152"/>
      <c r="F7" s="2153" t="s">
        <v>1747</v>
      </c>
      <c r="G7" s="2154" t="s">
        <v>1748</v>
      </c>
      <c r="H7" s="2141"/>
      <c r="I7" s="2141"/>
      <c r="J7" s="2141"/>
      <c r="K7" s="2141"/>
      <c r="L7" s="2141"/>
      <c r="M7" s="2141"/>
      <c r="N7" s="2141"/>
      <c r="O7" s="2141"/>
      <c r="P7" s="2141"/>
      <c r="Q7" s="2141"/>
      <c r="R7" s="2141"/>
    </row>
    <row r="8" spans="1:29" ht="15">
      <c r="A8" s="411"/>
      <c r="B8" s="1887" t="s">
        <v>1745</v>
      </c>
      <c r="C8" s="2743" t="s">
        <v>2862</v>
      </c>
      <c r="D8" s="2151"/>
      <c r="E8" s="2151"/>
      <c r="F8" s="1246"/>
      <c r="G8" s="1246"/>
      <c r="H8" s="2141"/>
      <c r="I8" s="2141"/>
      <c r="J8" s="2141"/>
      <c r="K8" s="2141"/>
      <c r="L8" s="2141"/>
      <c r="M8" s="2141"/>
      <c r="N8" s="2141"/>
      <c r="O8" s="2141"/>
      <c r="P8" s="2141"/>
      <c r="Q8" s="2141"/>
      <c r="R8" s="2141"/>
    </row>
    <row r="9" spans="1:29" ht="40.5">
      <c r="A9" s="411"/>
      <c r="B9" s="1887" t="s">
        <v>1749</v>
      </c>
      <c r="C9" s="2744" t="s">
        <v>2864</v>
      </c>
      <c r="D9" s="2144"/>
      <c r="E9" s="2151"/>
      <c r="F9" s="1246"/>
      <c r="G9" s="1246"/>
      <c r="H9" s="2141"/>
      <c r="I9" s="2141"/>
      <c r="J9" s="2141"/>
      <c r="K9" s="2141"/>
      <c r="L9" s="2141"/>
      <c r="M9" s="2141"/>
      <c r="N9" s="2141"/>
      <c r="O9" s="2141"/>
      <c r="P9" s="2141"/>
      <c r="Q9" s="2141"/>
      <c r="R9" s="2141"/>
    </row>
    <row r="10" spans="1:29" s="35" customFormat="1" ht="15.75" thickBot="1">
      <c r="A10" s="2155"/>
      <c r="B10" s="2156" t="s">
        <v>1750</v>
      </c>
      <c r="C10" s="2745" t="s">
        <v>2865</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1751</v>
      </c>
      <c r="B13" s="2161"/>
      <c r="C13" s="2161"/>
      <c r="D13" s="2138"/>
      <c r="E13" s="2161"/>
      <c r="F13" s="2161"/>
      <c r="G13" s="2161"/>
    </row>
    <row r="14" spans="1:29" ht="15.75" thickBot="1">
      <c r="A14" s="2171"/>
      <c r="B14" s="2172"/>
      <c r="C14" s="2173" t="s">
        <v>1752</v>
      </c>
      <c r="D14" s="2144"/>
      <c r="E14" s="2174"/>
      <c r="F14" s="2174"/>
      <c r="G14" s="2137" t="s">
        <v>1753</v>
      </c>
    </row>
    <row r="15" spans="1:29" ht="71.25">
      <c r="A15" s="25" t="s">
        <v>1754</v>
      </c>
      <c r="B15" s="2175" t="s">
        <v>1735</v>
      </c>
      <c r="C15" s="2176" t="str">
        <f>C3</f>
        <v>估价对象周边居住用地比例高、居住小区规模大和社区发展完善，有亮马桥外交公寓、嘉和丽园公寓等，综合评价居住社区成熟度好。</v>
      </c>
      <c r="D15" s="2144"/>
      <c r="E15" s="2177" t="s">
        <v>1755</v>
      </c>
      <c r="F15" s="2175" t="s">
        <v>1756</v>
      </c>
      <c r="G15" s="51" t="str">
        <f>G3</f>
        <v>估价对象位于XX开发区，园区建设成熟度XX，产业集聚程度XX</v>
      </c>
    </row>
    <row r="16" spans="1:29" ht="42.75">
      <c r="A16" s="629"/>
      <c r="B16" s="1493" t="s">
        <v>1738</v>
      </c>
      <c r="C16" s="2178">
        <f>C4</f>
        <v>0</v>
      </c>
      <c r="D16" s="2144"/>
      <c r="E16" s="2179"/>
      <c r="F16" s="2180" t="s">
        <v>1739</v>
      </c>
      <c r="G16" s="52" t="str">
        <f>G4</f>
        <v>估价对象周边道路状况、公共交通通达情况、停车便捷程度，综合评价交通便捷度较好</v>
      </c>
    </row>
    <row r="17" spans="1:18" ht="15">
      <c r="A17" s="629"/>
      <c r="B17" s="1493" t="s">
        <v>1741</v>
      </c>
      <c r="C17" s="2178">
        <f>C5</f>
        <v>0</v>
      </c>
      <c r="D17" s="2151"/>
      <c r="E17" s="2179"/>
      <c r="F17" s="2180" t="s">
        <v>1757</v>
      </c>
      <c r="G17" s="2181"/>
    </row>
    <row r="18" spans="1:18" ht="71.25">
      <c r="A18" s="629"/>
      <c r="B18" s="2180" t="s">
        <v>1744</v>
      </c>
      <c r="C18" s="52" t="str">
        <f>C6</f>
        <v>估价对象周边有430、416、405路，地铁十号线，公共交通通达情况好，周边路网密集，停车便捷程度，综合评价交通便捷度好。</v>
      </c>
      <c r="D18" s="2151"/>
      <c r="E18" s="2179"/>
      <c r="F18" s="2180" t="s">
        <v>1747</v>
      </c>
      <c r="G18" s="52" t="str">
        <f>G7</f>
        <v>该园区内是否有污染型企业，绿化情况，卫生条件，整体环境状况判断</v>
      </c>
    </row>
    <row r="19" spans="1:18" ht="28.5">
      <c r="A19" s="629"/>
      <c r="B19" s="2180" t="s">
        <v>1758</v>
      </c>
      <c r="C19" s="2181"/>
      <c r="D19" s="2144"/>
      <c r="E19" s="2179"/>
      <c r="F19" s="1887" t="s">
        <v>1742</v>
      </c>
      <c r="G19" s="52" t="str">
        <f>G5</f>
        <v>估价对象所在区域公共配套设施齐备情况</v>
      </c>
    </row>
    <row r="20" spans="1:18" ht="42.75">
      <c r="A20" s="629"/>
      <c r="B20" s="2180" t="s">
        <v>1759</v>
      </c>
      <c r="C20" s="2178" t="str">
        <f>C9</f>
        <v>区域自然环境：朝阳公园、蓝港；人文环境；综合评价环境状况好</v>
      </c>
      <c r="D20" s="2151"/>
      <c r="E20" s="2179"/>
      <c r="F20" s="1887" t="s">
        <v>1760</v>
      </c>
      <c r="G20" s="52" t="str">
        <f>G6</f>
        <v>估价对象所在区域基础设施水平</v>
      </c>
    </row>
    <row r="21" spans="1:18" ht="28.5">
      <c r="A21" s="629"/>
      <c r="B21" s="1887" t="s">
        <v>1742</v>
      </c>
      <c r="C21" s="52" t="str">
        <f>C7</f>
        <v>估价对象所在区域公共配套设施齐备</v>
      </c>
      <c r="D21" s="2144"/>
      <c r="E21" s="2179"/>
      <c r="F21" s="2180" t="s">
        <v>1761</v>
      </c>
      <c r="G21" s="2182"/>
    </row>
    <row r="22" spans="1:18" ht="15">
      <c r="A22" s="629"/>
      <c r="B22" s="1887" t="s">
        <v>1745</v>
      </c>
      <c r="C22" s="52" t="str">
        <f>C8</f>
        <v>七通</v>
      </c>
      <c r="D22" s="2144"/>
      <c r="E22" s="2179"/>
      <c r="F22" s="2180" t="s">
        <v>1750</v>
      </c>
      <c r="G22" s="2183"/>
    </row>
    <row r="23" spans="1:18" s="2141"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1" customFormat="1" ht="15.75" thickBot="1">
      <c r="A24" s="2187"/>
      <c r="B24" s="2185" t="s">
        <v>1763</v>
      </c>
      <c r="C24" s="53" t="str">
        <f>C10</f>
        <v>城市支路——东方东路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1226</v>
      </c>
      <c r="B1" s="1830">
        <f>SUM(B14:B23)</f>
        <v>227.54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1367</v>
      </c>
      <c r="C5" s="1830">
        <f ca="1">ROUND(B5*10000/$B$1,0)</f>
        <v>60077</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f ca="1">SUM(H14:H23)</f>
        <v>1367</v>
      </c>
      <c r="C7" s="1830">
        <f ca="1">ROUND(B7*10000/$B$1,0)</f>
        <v>60077</v>
      </c>
      <c r="D7" s="1830" t="e">
        <f t="shared" ca="1"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2858</v>
      </c>
      <c r="B14" s="1834">
        <f>项目基本情况!C12</f>
        <v>227.54</v>
      </c>
      <c r="C14" s="1834">
        <f>项目基本情况!C13</f>
        <v>0</v>
      </c>
      <c r="D14" s="1834">
        <f ca="1">IF('数据-取费表'!B3="万元",IF(A14="估价对象1（结果表）",结果表!H121,'结果表 (1修多)'!H124),IF(A14="估价对象1（结果表）",结果表!H121,'结果表 (1修多)'!H124)/10000)</f>
        <v>1367</v>
      </c>
      <c r="E14" s="1834">
        <f ca="1">ROUND(D14*10000/B14,0)</f>
        <v>60077</v>
      </c>
      <c r="F14" s="1834" t="e">
        <f ca="1">ROUND(D14*10000/C14,0)</f>
        <v>#DIV/0!</v>
      </c>
      <c r="G14" s="1834" t="str">
        <f>IF('数据-取费表'!B3="万元",IF(A14="估价对象1（结果表）",结果表!D125,'结果表 (1修多)'!D128),IF(A14="估价对象1（结果表）",结果表!D125,'结果表 (1修多)'!D128)/10000)</f>
        <v>——</v>
      </c>
      <c r="H14" s="1834">
        <f ca="1">IF('数据-取费表'!B3="万元",IF(A14="估价对象1（结果表）",结果表!D127,'结果表 (1修多)'!D130),IF(A14="估价对象1（结果表）",结果表!D127,'结果表 (1修多)'!D130)/10000)</f>
        <v>1367</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21" t="str">
        <f>项目基本情况!B1</f>
        <v>北京市房地产抵押价值预评估</v>
      </c>
      <c r="B2" s="2921"/>
      <c r="C2" s="2921"/>
      <c r="D2" s="2921"/>
      <c r="E2" s="2921"/>
      <c r="F2" s="2921"/>
      <c r="G2" s="2921"/>
      <c r="H2" s="2921"/>
      <c r="I2" s="2921"/>
    </row>
    <row r="3" spans="1:12" ht="12.75">
      <c r="A3" s="2927" t="s">
        <v>1765</v>
      </c>
      <c r="B3" s="2928"/>
      <c r="C3" s="2928"/>
      <c r="D3" s="2928"/>
      <c r="E3" s="2928"/>
      <c r="F3" s="2928"/>
      <c r="G3" s="2928"/>
      <c r="H3" s="2928"/>
      <c r="I3" s="2928"/>
    </row>
    <row r="4" spans="1:12" ht="14.25">
      <c r="A4" s="2196" t="s">
        <v>1766</v>
      </c>
      <c r="B4" s="2197" t="s">
        <v>1767</v>
      </c>
      <c r="C4" s="2198" t="s">
        <v>2870</v>
      </c>
      <c r="D4" s="2198" t="s">
        <v>2871</v>
      </c>
      <c r="E4" s="2932" t="s">
        <v>1768</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1769</v>
      </c>
      <c r="B5" s="2867">
        <v>25</v>
      </c>
      <c r="C5" s="2929"/>
      <c r="D5" s="2926"/>
      <c r="E5" s="56" t="s">
        <v>1770</v>
      </c>
      <c r="F5" s="2199"/>
      <c r="G5" s="2199"/>
      <c r="H5" s="2199"/>
      <c r="I5" s="2200"/>
    </row>
    <row r="6" spans="1:12" ht="12.75">
      <c r="A6" s="2922"/>
      <c r="B6" s="2867"/>
      <c r="C6" s="2930"/>
      <c r="D6" s="2926"/>
      <c r="E6" s="56" t="s">
        <v>1771</v>
      </c>
      <c r="F6" s="2199"/>
      <c r="G6" s="2199"/>
      <c r="H6" s="2199"/>
      <c r="I6" s="2200"/>
    </row>
    <row r="7" spans="1:12" ht="12.75">
      <c r="A7" s="2922"/>
      <c r="B7" s="2867"/>
      <c r="C7" s="2931"/>
      <c r="D7" s="2926"/>
      <c r="E7" s="56" t="s">
        <v>1772</v>
      </c>
      <c r="F7" s="2199"/>
      <c r="G7" s="2199"/>
      <c r="H7" s="2199"/>
      <c r="I7" s="2200"/>
    </row>
    <row r="8" spans="1:12" ht="12.75">
      <c r="A8" s="2922" t="s">
        <v>1773</v>
      </c>
      <c r="B8" s="2867">
        <v>15</v>
      </c>
      <c r="C8" s="2929"/>
      <c r="D8" s="2926"/>
      <c r="E8" s="56" t="s">
        <v>1774</v>
      </c>
      <c r="F8" s="2199"/>
      <c r="G8" s="2199"/>
      <c r="H8" s="2199"/>
      <c r="I8" s="2200"/>
    </row>
    <row r="9" spans="1:12" ht="12.75">
      <c r="A9" s="2922"/>
      <c r="B9" s="2867"/>
      <c r="C9" s="2931"/>
      <c r="D9" s="2926"/>
      <c r="E9" s="56" t="s">
        <v>1775</v>
      </c>
      <c r="F9" s="2199"/>
      <c r="G9" s="2199"/>
      <c r="H9" s="2199"/>
      <c r="I9" s="2200"/>
    </row>
    <row r="10" spans="1:12" ht="12.75">
      <c r="A10" s="2922" t="s">
        <v>1776</v>
      </c>
      <c r="B10" s="2867">
        <v>15</v>
      </c>
      <c r="C10" s="2929"/>
      <c r="D10" s="2926"/>
      <c r="E10" s="56" t="s">
        <v>1777</v>
      </c>
      <c r="F10" s="2199"/>
      <c r="G10" s="2199"/>
      <c r="H10" s="2199"/>
      <c r="I10" s="2200"/>
    </row>
    <row r="11" spans="1:12" ht="12.75">
      <c r="A11" s="2922"/>
      <c r="B11" s="2867"/>
      <c r="C11" s="2931"/>
      <c r="D11" s="2926"/>
      <c r="E11" s="56" t="s">
        <v>1778</v>
      </c>
      <c r="F11" s="2199"/>
      <c r="G11" s="2199"/>
      <c r="H11" s="2199"/>
      <c r="I11" s="2200"/>
    </row>
    <row r="12" spans="1:12" ht="12.75">
      <c r="A12" s="2922" t="s">
        <v>1779</v>
      </c>
      <c r="B12" s="2867">
        <v>15</v>
      </c>
      <c r="C12" s="2929"/>
      <c r="D12" s="2926"/>
      <c r="E12" s="56" t="s">
        <v>1780</v>
      </c>
      <c r="F12" s="2199"/>
      <c r="G12" s="2199"/>
      <c r="H12" s="2199"/>
      <c r="I12" s="2200"/>
    </row>
    <row r="13" spans="1:12" ht="12.75">
      <c r="A13" s="2922"/>
      <c r="B13" s="2867"/>
      <c r="C13" s="2931"/>
      <c r="D13" s="2926"/>
      <c r="E13" s="56" t="s">
        <v>1781</v>
      </c>
      <c r="F13" s="2199"/>
      <c r="G13" s="2199"/>
      <c r="H13" s="2199"/>
      <c r="I13" s="2200"/>
    </row>
    <row r="14" spans="1:12" ht="12.75">
      <c r="A14" s="2922" t="s">
        <v>1782</v>
      </c>
      <c r="B14" s="2867">
        <v>30</v>
      </c>
      <c r="C14" s="2929">
        <v>8</v>
      </c>
      <c r="D14" s="2926">
        <f>10-C14</f>
        <v>2</v>
      </c>
      <c r="E14" s="56" t="s">
        <v>1783</v>
      </c>
      <c r="F14" s="2199"/>
      <c r="G14" s="2199"/>
      <c r="H14" s="2199"/>
      <c r="I14" s="2200"/>
    </row>
    <row r="15" spans="1:12" ht="12.75">
      <c r="A15" s="2922"/>
      <c r="B15" s="2867"/>
      <c r="C15" s="2930"/>
      <c r="D15" s="2926"/>
      <c r="E15" s="56" t="s">
        <v>1784</v>
      </c>
      <c r="F15" s="2199"/>
      <c r="G15" s="2199"/>
      <c r="H15" s="2199"/>
      <c r="I15" s="2200"/>
    </row>
    <row r="16" spans="1:12" ht="12.75">
      <c r="A16" s="2922"/>
      <c r="B16" s="2867"/>
      <c r="C16" s="2931"/>
      <c r="D16" s="2926"/>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1526</v>
      </c>
      <c r="D19" s="60">
        <f ca="1">SUMIF(INDIRECT("'"&amp;D4&amp;"'"&amp;"!A:A"),结果表!B19,INDIRECT("'"&amp;D4&amp;"'"&amp;"!B:B"))</f>
        <v>729</v>
      </c>
      <c r="E19" s="2205" t="s">
        <v>1790</v>
      </c>
      <c r="F19" s="2206" t="s">
        <v>1789</v>
      </c>
      <c r="G19" s="61">
        <f ca="1">ROUND(C19*$C$18+D19*$D$18,0)</f>
        <v>1367</v>
      </c>
      <c r="H19" s="2207" t="str">
        <f>'数据-取费表'!B3</f>
        <v>万元</v>
      </c>
      <c r="I19" s="2194"/>
    </row>
    <row r="20" spans="1:35" ht="15">
      <c r="A20" s="2208"/>
      <c r="B20" s="2209" t="s">
        <v>1791</v>
      </c>
      <c r="C20" s="62">
        <f ca="1">SUMIF(INDIRECT("'"&amp;C4&amp;"'"&amp;"!A:A"),结果表!B20,INDIRECT("'"&amp;C4&amp;"'"&amp;"!B:B"))</f>
        <v>67045</v>
      </c>
      <c r="D20" s="63">
        <f ca="1">SUMIF(INDIRECT("'"&amp;D4&amp;"'"&amp;"!A:A"),结果表!B20,INDIRECT("'"&amp;D4&amp;"'"&amp;"!B:B"))</f>
        <v>32059</v>
      </c>
      <c r="E20" s="2208"/>
      <c r="F20" s="2209" t="s">
        <v>1791</v>
      </c>
      <c r="G20" s="64">
        <f ca="1">ROUND(C20*$C$18+D20*$D$18,0)</f>
        <v>60048</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1.0932784636488342</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3"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总价</v>
      </c>
      <c r="C32" s="1145">
        <f ca="1">IF(B32="总价",G19-C24,G20-C25)</f>
        <v>1367</v>
      </c>
      <c r="D32" s="2194" t="str">
        <f>IF(B32="楼面单价","元/平方米",H19)</f>
        <v>万元</v>
      </c>
      <c r="E32" s="2194"/>
      <c r="F32" s="2194"/>
      <c r="G32" s="2194"/>
      <c r="H32" s="2194"/>
      <c r="I32" s="2194"/>
    </row>
    <row r="33" spans="1:16" ht="15">
      <c r="A33" s="2224" t="s">
        <v>1801</v>
      </c>
      <c r="B33" s="2225"/>
      <c r="C33" s="2226"/>
      <c r="D33" s="2227"/>
      <c r="E33" s="2228" t="s">
        <v>1802</v>
      </c>
      <c r="F33" s="2229" t="str">
        <f>IF(B32="楼面单价","取值（单价）","取值（总价）")</f>
        <v>取值（总价）</v>
      </c>
      <c r="G33" s="2194"/>
      <c r="H33" s="2194"/>
      <c r="I33" s="2194"/>
    </row>
    <row r="34" spans="1:16" ht="15">
      <c r="A34" s="2230"/>
      <c r="B34" s="2231" t="s">
        <v>1803</v>
      </c>
      <c r="C34" s="72">
        <f ca="1">IF(D33="自定义",F34,C32-C35)</f>
        <v>1195</v>
      </c>
      <c r="D34" s="1091">
        <f ca="1">IF(D33="自定义",ROUND(C34/C32,3),1-D35)</f>
        <v>0.874</v>
      </c>
      <c r="E34" s="2232" t="s">
        <v>1804</v>
      </c>
      <c r="F34" s="1828"/>
      <c r="G34" s="2194"/>
      <c r="H34" s="2194"/>
      <c r="I34" s="2194"/>
    </row>
    <row r="35" spans="1:16" ht="15.75" thickBot="1">
      <c r="A35" s="2233"/>
      <c r="B35" s="2234" t="s">
        <v>1805</v>
      </c>
      <c r="C35" s="73">
        <f ca="1">IF(D33="自定义",F35,ROUND(C32*D35,0))</f>
        <v>172</v>
      </c>
      <c r="D35" s="1090">
        <f ca="1">IF(D33="自定义",ROUND(C35/C32,3),IF(D33="成本法成本比率",成本法!C56,IF(D33="收益法收益比率",收益法!J38,收益法!J41)))</f>
        <v>0.126</v>
      </c>
      <c r="E35" s="2235" t="s">
        <v>1806</v>
      </c>
      <c r="F35" s="79"/>
      <c r="G35" s="2194"/>
      <c r="H35" s="2194"/>
      <c r="I35" s="2194"/>
    </row>
    <row r="36" spans="1:16" ht="15.75" thickBot="1">
      <c r="A36" s="2940" t="s">
        <v>1807</v>
      </c>
      <c r="B36" s="2236" t="s">
        <v>1808</v>
      </c>
      <c r="C36" s="69">
        <v>0</v>
      </c>
      <c r="D36" s="2237"/>
      <c r="E36" s="2238"/>
      <c r="F36" s="2238"/>
      <c r="G36" s="2194"/>
      <c r="H36" s="2194"/>
      <c r="I36" s="2194"/>
    </row>
    <row r="37" spans="1:16" ht="15.75" thickBot="1">
      <c r="A37" s="2941"/>
      <c r="B37" s="2239" t="s">
        <v>1809</v>
      </c>
      <c r="C37" s="71">
        <v>0</v>
      </c>
      <c r="D37" s="2204"/>
      <c r="E37" s="2204"/>
      <c r="F37" s="2238"/>
      <c r="G37" s="2204"/>
      <c r="H37" s="2204"/>
      <c r="I37" s="2204"/>
    </row>
    <row r="38" spans="1:16" ht="15.75" thickBot="1">
      <c r="A38" s="2942"/>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 customHeight="1">
      <c r="A43" s="2247"/>
      <c r="B43" s="2247"/>
      <c r="C43" s="2247"/>
      <c r="D43" s="2247"/>
      <c r="E43" s="2247"/>
      <c r="F43" s="2248"/>
      <c r="G43" s="2248"/>
      <c r="H43" s="2248"/>
      <c r="I43" s="2249"/>
    </row>
    <row r="44" spans="1:16" ht="18.75" hidden="1">
      <c r="A44" s="2250" t="s">
        <v>1816</v>
      </c>
      <c r="B44" s="2251"/>
      <c r="C44" s="2251"/>
      <c r="D44" s="2252"/>
      <c r="E44" s="2252"/>
      <c r="F44" s="2253"/>
      <c r="G44" s="2253"/>
      <c r="H44" s="2253"/>
      <c r="I44" s="2253"/>
      <c r="J44" s="2254" t="s">
        <v>1817</v>
      </c>
      <c r="K44" s="2255"/>
      <c r="L44" s="2255"/>
      <c r="M44" s="2255"/>
      <c r="N44" s="2255"/>
      <c r="O44" s="2255"/>
      <c r="P44" s="1845"/>
    </row>
    <row r="45" spans="1:16" ht="14.25" hidden="1" customHeight="1" thickBot="1">
      <c r="A45" s="2945" t="s">
        <v>1818</v>
      </c>
      <c r="B45" s="2946"/>
      <c r="C45" s="2947"/>
      <c r="D45" s="80">
        <f ca="1">ROUND(I102*F45,0)</f>
        <v>1367</v>
      </c>
      <c r="E45" s="81" t="s">
        <v>1819</v>
      </c>
      <c r="F45" s="82">
        <v>1</v>
      </c>
      <c r="G45" s="83" t="s">
        <v>1820</v>
      </c>
      <c r="H45" s="2194"/>
      <c r="I45" s="2194"/>
      <c r="J45" s="2857" t="s">
        <v>1821</v>
      </c>
      <c r="K45" s="2857"/>
      <c r="L45" s="2857"/>
      <c r="M45" s="2857"/>
      <c r="N45" s="2857"/>
      <c r="O45" s="2857"/>
      <c r="P45" s="1845"/>
    </row>
    <row r="46" spans="1:16" ht="14.25" hidden="1" customHeight="1">
      <c r="A46" s="2937" t="s">
        <v>1822</v>
      </c>
      <c r="B46" s="2938"/>
      <c r="C46" s="2938"/>
      <c r="D46" s="2938"/>
      <c r="E46" s="2938"/>
      <c r="F46" s="2938"/>
      <c r="G46" s="2939"/>
      <c r="H46" s="2256"/>
      <c r="I46" s="1144"/>
      <c r="J46" s="1883">
        <v>1</v>
      </c>
      <c r="K46" s="2857" t="s">
        <v>1823</v>
      </c>
      <c r="L46" s="2857"/>
      <c r="M46" s="2858" t="str">
        <f>项目基本情况!B1</f>
        <v>北京市房地产抵押价值预评估</v>
      </c>
      <c r="N46" s="2858"/>
      <c r="O46" s="2858"/>
      <c r="P46" s="1845"/>
    </row>
    <row r="47" spans="1:16" ht="12" hidden="1" customHeight="1">
      <c r="A47" s="85" t="s">
        <v>1824</v>
      </c>
      <c r="B47" s="86"/>
      <c r="C47" s="87"/>
      <c r="D47" s="88" t="s">
        <v>1825</v>
      </c>
      <c r="E47" s="14" t="s">
        <v>1826</v>
      </c>
      <c r="F47" s="89" t="s">
        <v>1827</v>
      </c>
      <c r="G47" s="90" t="s">
        <v>1828</v>
      </c>
      <c r="H47" s="2256"/>
      <c r="I47" s="1144"/>
      <c r="J47" s="1883">
        <v>2</v>
      </c>
      <c r="K47" s="2857" t="s">
        <v>1829</v>
      </c>
      <c r="L47" s="2857"/>
      <c r="M47" s="2859">
        <f>'数据-取费表'!B2</f>
        <v>43180</v>
      </c>
      <c r="N47" s="2859"/>
      <c r="O47" s="2859"/>
      <c r="P47" s="1845"/>
    </row>
    <row r="48" spans="1:16" ht="25.5" hidden="1">
      <c r="A48" s="2943" t="s">
        <v>1830</v>
      </c>
      <c r="B48" s="2944"/>
      <c r="C48" s="2944"/>
      <c r="D48" s="56">
        <f ca="1">IF(H48="情况1",0,IF(H48="情况2",D52,IF(H48="情况3",D53,IF(H48="情况4",D54))))</f>
        <v>73</v>
      </c>
      <c r="E48" s="1893" t="str">
        <f>IF(H48="情况4","(销售额-原购置价)×税（费）率","销售额×税（费）率")</f>
        <v>销售额×税（费）率</v>
      </c>
      <c r="F48" s="91">
        <f>IF(H48="情况1","免征",'数据-取费表'!E29)</f>
        <v>5.6000000000000001E-2</v>
      </c>
      <c r="G48" s="2257" t="s">
        <v>1831</v>
      </c>
      <c r="H48" s="2258" t="s">
        <v>1832</v>
      </c>
      <c r="I48" s="2256"/>
      <c r="J48" s="1883">
        <v>3</v>
      </c>
      <c r="K48" s="2857" t="s">
        <v>1833</v>
      </c>
      <c r="L48" s="2857"/>
      <c r="M48" s="2858">
        <f ca="1">I102</f>
        <v>1367</v>
      </c>
      <c r="N48" s="2858"/>
      <c r="O48" s="2858"/>
      <c r="P48" s="1845"/>
    </row>
    <row r="49" spans="1:16" ht="25.5" hidden="1" customHeight="1">
      <c r="A49" s="92" t="s">
        <v>1834</v>
      </c>
      <c r="B49" s="2924" t="s">
        <v>1835</v>
      </c>
      <c r="C49" s="2924"/>
      <c r="D49" s="93">
        <v>0</v>
      </c>
      <c r="E49" s="13" t="s">
        <v>1836</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f ca="1">IF(项目基本情况!F5="房地产抵押价值",I110,I112)</f>
        <v>1367</v>
      </c>
      <c r="N49" s="2858"/>
      <c r="O49" s="2858"/>
      <c r="P49" s="1845"/>
    </row>
    <row r="50" spans="1:16" ht="25.5" hidden="1" customHeight="1">
      <c r="A50" s="94"/>
      <c r="B50" s="2924" t="s">
        <v>1837</v>
      </c>
      <c r="C50" s="2924"/>
      <c r="D50" s="95"/>
      <c r="E50" s="21"/>
      <c r="F50" s="96"/>
      <c r="G50" s="2849"/>
      <c r="H50" s="2194"/>
      <c r="I50" s="2259"/>
      <c r="J50" s="2857" t="s">
        <v>1838</v>
      </c>
      <c r="K50" s="2857"/>
      <c r="L50" s="2857"/>
      <c r="M50" s="2857"/>
      <c r="N50" s="2857"/>
      <c r="O50" s="2857"/>
      <c r="P50" s="1845"/>
    </row>
    <row r="51" spans="1:16" ht="12" hidden="1" customHeight="1">
      <c r="A51" s="97"/>
      <c r="B51" s="2924" t="s">
        <v>1839</v>
      </c>
      <c r="C51" s="2924"/>
      <c r="D51" s="98"/>
      <c r="E51" s="20"/>
      <c r="F51" s="96"/>
      <c r="G51" s="2850"/>
      <c r="H51" s="2194"/>
      <c r="I51" s="2259"/>
      <c r="J51" s="2260" t="s">
        <v>1840</v>
      </c>
      <c r="K51" s="2857" t="s">
        <v>1841</v>
      </c>
      <c r="L51" s="2857"/>
      <c r="M51" s="2260" t="s">
        <v>1842</v>
      </c>
      <c r="N51" s="2260" t="s">
        <v>1843</v>
      </c>
      <c r="O51" s="2260" t="s">
        <v>1844</v>
      </c>
      <c r="P51" s="1845"/>
    </row>
    <row r="52" spans="1:16" ht="24" hidden="1" customHeight="1">
      <c r="A52" s="99" t="s">
        <v>1845</v>
      </c>
      <c r="B52" s="2924" t="s">
        <v>1846</v>
      </c>
      <c r="C52" s="2924"/>
      <c r="D52" s="98">
        <f ca="1">ROUND(D45*'数据-取费表'!E29/(1+'数据-取费表'!F30),0)</f>
        <v>73</v>
      </c>
      <c r="E52" s="10" t="s">
        <v>1847</v>
      </c>
      <c r="F52" s="100">
        <f>'数据-取费表'!E29</f>
        <v>5.6000000000000001E-2</v>
      </c>
      <c r="G52" s="2261"/>
      <c r="H52" s="2194"/>
      <c r="I52" s="2259"/>
      <c r="J52" s="1883">
        <v>1</v>
      </c>
      <c r="K52" s="2847" t="s">
        <v>1848</v>
      </c>
      <c r="L52" s="2847"/>
      <c r="M52" s="778">
        <f ca="1">D48</f>
        <v>73</v>
      </c>
      <c r="N52" s="1883" t="str">
        <f>E48</f>
        <v>销售额×税（费）率</v>
      </c>
      <c r="O52" s="779">
        <f>F48</f>
        <v>5.6000000000000001E-2</v>
      </c>
      <c r="P52" s="1845"/>
    </row>
    <row r="53" spans="1:16" ht="12" hidden="1" customHeight="1">
      <c r="A53" s="99" t="s">
        <v>1849</v>
      </c>
      <c r="B53" s="2923" t="s">
        <v>1850</v>
      </c>
      <c r="C53" s="2817"/>
      <c r="D53" s="98">
        <f ca="1">ROUND(D45*'数据-取费表'!E29/(1+'数据-取费表'!F30),0)</f>
        <v>73</v>
      </c>
      <c r="E53" s="10" t="s">
        <v>1847</v>
      </c>
      <c r="F53" s="100">
        <f>'数据-取费表'!E29</f>
        <v>5.6000000000000001E-2</v>
      </c>
      <c r="G53" s="2261"/>
      <c r="H53" s="2194"/>
      <c r="I53" s="2259"/>
      <c r="J53" s="1883">
        <v>2</v>
      </c>
      <c r="K53" s="2847" t="s">
        <v>1851</v>
      </c>
      <c r="L53" s="2847"/>
      <c r="M53" s="778">
        <f t="shared" ref="M53:O54" ca="1" si="1">D55</f>
        <v>1</v>
      </c>
      <c r="N53" s="1883" t="str">
        <f t="shared" si="1"/>
        <v>销售额×税（费）率</v>
      </c>
      <c r="O53" s="779">
        <f t="shared" si="1"/>
        <v>5.0000000000000001E-4</v>
      </c>
      <c r="P53" s="1845"/>
    </row>
    <row r="54" spans="1:16" ht="12" hidden="1" customHeight="1">
      <c r="A54" s="99" t="s">
        <v>1852</v>
      </c>
      <c r="B54" s="2923" t="s">
        <v>1853</v>
      </c>
      <c r="C54" s="2817"/>
      <c r="D54" s="98">
        <f ca="1">C68</f>
        <v>73</v>
      </c>
      <c r="E54" s="20" t="s">
        <v>1854</v>
      </c>
      <c r="F54" s="100">
        <f>'数据-取费表'!E29</f>
        <v>5.6000000000000001E-2</v>
      </c>
      <c r="G54" s="2261"/>
      <c r="H54" s="2262"/>
      <c r="I54" s="2259"/>
      <c r="J54" s="1883">
        <v>3</v>
      </c>
      <c r="K54" s="2847" t="s">
        <v>1855</v>
      </c>
      <c r="L54" s="2847"/>
      <c r="M54" s="778">
        <f t="shared" ca="1" si="1"/>
        <v>774</v>
      </c>
      <c r="N54" s="1883" t="str">
        <f t="shared" si="1"/>
        <v>增值额×税（费）率</v>
      </c>
      <c r="O54" s="780" t="str">
        <f t="shared" si="1"/>
        <v>——</v>
      </c>
      <c r="P54" s="1845"/>
    </row>
    <row r="55" spans="1:16" ht="24" hidden="1" customHeight="1">
      <c r="A55" s="2809" t="s">
        <v>1856</v>
      </c>
      <c r="B55" s="2944"/>
      <c r="C55" s="2944"/>
      <c r="D55" s="101">
        <f ca="1">IF(H55="个人住宅",0,ROUND(D45*I55,0))</f>
        <v>1</v>
      </c>
      <c r="E55" s="10" t="s">
        <v>1857</v>
      </c>
      <c r="F55" s="100">
        <f>IF(H55="正常",I55,"免征")</f>
        <v>5.0000000000000001E-4</v>
      </c>
      <c r="G55" s="2261"/>
      <c r="H55" s="2258" t="s">
        <v>1858</v>
      </c>
      <c r="I55" s="102">
        <f>'数据-取费表'!E37</f>
        <v>5.0000000000000001E-4</v>
      </c>
      <c r="J55" s="1883">
        <f>IF(H59="非个人房产","",4)</f>
        <v>4</v>
      </c>
      <c r="K55" s="2847" t="str">
        <f>IF(H59="非个人房产","——","个人所得税")</f>
        <v>个人所得税</v>
      </c>
      <c r="L55" s="2847"/>
      <c r="M55" s="781">
        <f ca="1">D59</f>
        <v>14</v>
      </c>
      <c r="N55" s="1886" t="str">
        <f>E59</f>
        <v>销售额×税（费）率</v>
      </c>
      <c r="O55" s="782">
        <f>F59</f>
        <v>0.01</v>
      </c>
      <c r="P55" s="1845"/>
    </row>
    <row r="56" spans="1:16" ht="24.75" hidden="1">
      <c r="A56" s="2809" t="s">
        <v>1859</v>
      </c>
      <c r="B56" s="2944"/>
      <c r="C56" s="2944"/>
      <c r="D56" s="101">
        <f ca="1">IF(H56="个人住宅",D57,D58)</f>
        <v>774</v>
      </c>
      <c r="E56" s="10" t="s">
        <v>1860</v>
      </c>
      <c r="F56" s="100" t="str">
        <f>IF(H56="正常",F58,"免征")</f>
        <v>——</v>
      </c>
      <c r="G56" s="2263" t="s">
        <v>1861</v>
      </c>
      <c r="H56" s="2264" t="s">
        <v>1858</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hidden="1">
      <c r="A57" s="99" t="s">
        <v>1834</v>
      </c>
      <c r="B57" s="2932" t="s">
        <v>1862</v>
      </c>
      <c r="C57" s="2934"/>
      <c r="D57" s="103">
        <v>0</v>
      </c>
      <c r="E57" s="13" t="s">
        <v>1836</v>
      </c>
      <c r="F57" s="70"/>
      <c r="G57" s="2261"/>
      <c r="H57" s="1022"/>
      <c r="I57" s="1022"/>
      <c r="J57" s="2847">
        <f>IF(AND(J55="",J56=""),4,IF(项目基本情况!I6="上海银行",J56+1,J55+1))</f>
        <v>5</v>
      </c>
      <c r="K57" s="2847" t="s">
        <v>1863</v>
      </c>
      <c r="L57" s="2265" t="s">
        <v>1864</v>
      </c>
      <c r="M57" s="783"/>
      <c r="N57" s="784">
        <f ca="1">SUMIF(M52:M56,"&lt;9e307")</f>
        <v>862</v>
      </c>
      <c r="O57" s="2266"/>
      <c r="P57" s="1841">
        <f ca="1">N57/M49</f>
        <v>0.63057790782735923</v>
      </c>
    </row>
    <row r="58" spans="1:16" ht="24.75" hidden="1">
      <c r="A58" s="99" t="s">
        <v>1845</v>
      </c>
      <c r="B58" s="2932" t="s">
        <v>1865</v>
      </c>
      <c r="C58" s="2933"/>
      <c r="D58" s="101">
        <f ca="1">IF(H58="转让取得",C81,C97)</f>
        <v>774</v>
      </c>
      <c r="E58" s="10" t="s">
        <v>1860</v>
      </c>
      <c r="F58" s="14" t="s">
        <v>48</v>
      </c>
      <c r="G58" s="2261"/>
      <c r="H58" s="2264" t="s">
        <v>1866</v>
      </c>
      <c r="I58" s="1022"/>
      <c r="J58" s="2847"/>
      <c r="K58" s="2847"/>
      <c r="L58" s="2265" t="s">
        <v>1867</v>
      </c>
      <c r="M58" s="785"/>
      <c r="N58" s="2267" t="str">
        <f ca="1">IF(H19="元",NUMBERSTRING(INT(N57),2)&amp;"元整",NUMBERSTRING(INT(N57*10000),2)&amp;"元整")</f>
        <v>捌佰陆拾贰万元整</v>
      </c>
      <c r="O58" s="2268"/>
      <c r="P58" s="1845"/>
    </row>
    <row r="59" spans="1:16" ht="26.25" hidden="1" thickBot="1">
      <c r="A59" s="2810" t="s">
        <v>1868</v>
      </c>
      <c r="B59" s="2813"/>
      <c r="C59" s="2813"/>
      <c r="D59" s="104">
        <f ca="1">IF(H59="非个人房产","——",IF(H59="个人住宅",0,ROUND(D45*I59,0)))</f>
        <v>14</v>
      </c>
      <c r="E59" s="105" t="str">
        <f>IF(H59="非个人房产","——","销售额×税（费）率")</f>
        <v>销售额×税（费）率</v>
      </c>
      <c r="F59" s="106">
        <f>IF(H59="非个人房产","——",IF(H59="个人住宅","免征",I59))</f>
        <v>0.01</v>
      </c>
      <c r="G59" s="2269" t="s">
        <v>1861</v>
      </c>
      <c r="H59" s="2264" t="s">
        <v>1869</v>
      </c>
      <c r="I59" s="107">
        <v>0.01</v>
      </c>
      <c r="J59" s="2901">
        <f>J57+1</f>
        <v>6</v>
      </c>
      <c r="K59" s="2847" t="s">
        <v>1870</v>
      </c>
      <c r="L59" s="1883" t="s">
        <v>1864</v>
      </c>
      <c r="M59" s="786"/>
      <c r="N59" s="787">
        <f ca="1">M49-N57</f>
        <v>505</v>
      </c>
      <c r="O59" s="2270"/>
      <c r="P59" s="1845"/>
    </row>
    <row r="60" spans="1:16" ht="12" hidden="1" customHeight="1">
      <c r="A60" s="2067"/>
      <c r="B60" s="2194"/>
      <c r="C60" s="2194"/>
      <c r="D60" s="2194"/>
      <c r="E60" s="1022"/>
      <c r="F60" s="1022"/>
      <c r="G60" s="1022"/>
      <c r="H60" s="2247"/>
      <c r="I60" s="2194"/>
      <c r="J60" s="2902"/>
      <c r="K60" s="2847"/>
      <c r="L60" s="2265" t="s">
        <v>1867</v>
      </c>
      <c r="M60" s="785"/>
      <c r="N60" s="2267" t="str">
        <f ca="1">IF(H19="元",NUMBERSTRING(INT(N59),2)&amp;"元整",NUMBERSTRING(INT(N59*10000),2)&amp;"元整")</f>
        <v>伍佰零伍万元整</v>
      </c>
      <c r="O60" s="2268"/>
      <c r="P60" s="1845"/>
    </row>
    <row r="61" spans="1:16" ht="13.5" hidden="1" thickBot="1">
      <c r="A61" s="2948" t="s">
        <v>1871</v>
      </c>
      <c r="B61" s="2948"/>
      <c r="C61" s="2948"/>
      <c r="D61" s="2948"/>
      <c r="E61" s="2948"/>
      <c r="F61" s="1022"/>
      <c r="G61" s="1022"/>
      <c r="H61" s="2247"/>
      <c r="I61" s="2194"/>
      <c r="J61" s="1883">
        <f>J59+1</f>
        <v>7</v>
      </c>
      <c r="K61" s="2847" t="s">
        <v>1872</v>
      </c>
      <c r="L61" s="2847"/>
      <c r="M61" s="788"/>
      <c r="N61" s="789">
        <f ca="1">IF(H19="元",ROUND(N59/项目基本情况!C12,0),ROUND(N59*10000/项目基本情况!C12,0))</f>
        <v>22194</v>
      </c>
      <c r="O61" s="2271"/>
      <c r="P61" s="1845"/>
    </row>
    <row r="62" spans="1:16" ht="12.75" hidden="1">
      <c r="A62" s="2885" t="s">
        <v>1873</v>
      </c>
      <c r="B62" s="2886"/>
      <c r="C62" s="1885"/>
      <c r="D62" s="1885" t="s">
        <v>1874</v>
      </c>
      <c r="E62" s="108" t="s">
        <v>1875</v>
      </c>
      <c r="F62" s="1022"/>
      <c r="G62" s="1022"/>
      <c r="H62" s="2247"/>
      <c r="I62" s="2194"/>
      <c r="J62" s="1845"/>
      <c r="K62" s="1845"/>
      <c r="L62" s="1845"/>
      <c r="M62" s="1845"/>
      <c r="N62" s="1845"/>
      <c r="O62" s="1845"/>
      <c r="P62" s="1845"/>
    </row>
    <row r="63" spans="1:16" ht="12.75" hidden="1">
      <c r="A63" s="109">
        <v>1</v>
      </c>
      <c r="B63" s="110" t="s">
        <v>1876</v>
      </c>
      <c r="C63" s="111">
        <f ca="1">ROUND((C64+C65)/(1+'数据-取费表'!F30),0)</f>
        <v>1302</v>
      </c>
      <c r="D63" s="112"/>
      <c r="E63" s="113"/>
      <c r="F63" s="1022"/>
      <c r="G63" s="1022"/>
      <c r="H63" s="2247"/>
      <c r="I63" s="2194"/>
      <c r="J63" s="2866" t="s">
        <v>1877</v>
      </c>
      <c r="K63" s="2272" t="s">
        <v>1878</v>
      </c>
      <c r="L63" s="1844">
        <f ca="1">IF(M49&gt;10000,M49*0.5%,IF(AND(M49&gt;1000,M49&lt;=10000),M49*1%,IF(AND(M49&gt;100,M49&lt;=1000),M49*3%,IF(AND(M49&gt;10,M49&lt;=100),M49*5%,M49*8%))))</f>
        <v>13.67</v>
      </c>
      <c r="M63" s="14">
        <f ca="1">ROUND(L63,1)</f>
        <v>13.7</v>
      </c>
      <c r="N63" s="1845"/>
      <c r="O63" s="1845"/>
      <c r="P63" s="1845"/>
    </row>
    <row r="64" spans="1:16" ht="12.75" hidden="1">
      <c r="A64" s="114" t="s">
        <v>71</v>
      </c>
      <c r="B64" s="115" t="s">
        <v>1879</v>
      </c>
      <c r="C64" s="116">
        <f ca="1">D45</f>
        <v>1367</v>
      </c>
      <c r="D64" s="117" t="s">
        <v>41</v>
      </c>
      <c r="E64" s="118"/>
      <c r="F64" s="1022"/>
      <c r="G64" s="1022"/>
      <c r="H64" s="2247"/>
      <c r="I64" s="2194"/>
      <c r="J64" s="2866"/>
      <c r="K64" s="2272" t="s">
        <v>1880</v>
      </c>
      <c r="L64" s="1844">
        <f ca="1">IF(M49&gt;2000,M49*0.5%,IF(AND(M49&gt;1000,M49&lt;=2000),M49*0.6%,IF(AND(M49&gt;500,M49&lt;=1000),M49*0.7%,IF(AND(M49&gt;200,M49&lt;=500),M49*0.8%,IF(AND(M49&gt;100,M49&lt;=200),M49*0.9%,IF(AND(M49&gt;50,M49&lt;=100),M49*1%,IF(AND(M49&gt;20,M49&lt;=50),M49*1.5%,IF(AND(M49&gt;10,M49&lt;=20),M49*2%,IF(AND(M49&gt;1,M49&lt;=10),M49*2.5%)))))))))</f>
        <v>8.202</v>
      </c>
      <c r="M64" s="14">
        <f t="shared" ref="M64:M65" ca="1" si="2">ROUND(L64,1)</f>
        <v>8.1999999999999993</v>
      </c>
      <c r="N64" s="1845" t="s">
        <v>1881</v>
      </c>
      <c r="O64" s="1845"/>
      <c r="P64" s="1845"/>
    </row>
    <row r="65" spans="1:35" ht="12.75" hidden="1">
      <c r="A65" s="114" t="s">
        <v>72</v>
      </c>
      <c r="B65" s="115" t="s">
        <v>1882</v>
      </c>
      <c r="C65" s="119"/>
      <c r="D65" s="117"/>
      <c r="E65" s="118"/>
      <c r="F65" s="1022"/>
      <c r="G65" s="1022"/>
      <c r="H65" s="2247"/>
      <c r="I65" s="2194"/>
      <c r="J65" s="2866"/>
      <c r="K65" s="2272" t="s">
        <v>1883</v>
      </c>
      <c r="L65" s="1844">
        <f ca="1">IF(M49&gt;1000,M49*0.1%,IF(AND(M49&gt;500,M49&lt;=1000),M49*0.5%,IF(AND(M49&gt;50,M49&lt;=500),M49*1%,IF(AND(M49&gt;1,M49&lt;=50),M49*1.5%))))</f>
        <v>1.367</v>
      </c>
      <c r="M65" s="14">
        <f t="shared" ca="1" si="2"/>
        <v>1.4</v>
      </c>
      <c r="N65" s="1845" t="s">
        <v>1881</v>
      </c>
      <c r="O65" s="1845"/>
      <c r="P65" s="1845"/>
    </row>
    <row r="66" spans="1:35" ht="12.75" hidden="1">
      <c r="A66" s="120" t="s">
        <v>47</v>
      </c>
      <c r="B66" s="121" t="s">
        <v>1884</v>
      </c>
      <c r="C66" s="122"/>
      <c r="D66" s="123" t="s">
        <v>41</v>
      </c>
      <c r="E66" s="1861" t="s">
        <v>1885</v>
      </c>
      <c r="F66" s="1022"/>
      <c r="G66" s="1022"/>
      <c r="H66" s="2247"/>
      <c r="I66" s="2194"/>
      <c r="J66" s="2866"/>
      <c r="K66" s="2272" t="s">
        <v>1886</v>
      </c>
      <c r="L66" s="1844">
        <f ca="1">M49*0.5%</f>
        <v>6.835</v>
      </c>
      <c r="M66" s="14">
        <f ca="1">IF(L66&gt;0.5,0.5,ROUND(L66,0))</f>
        <v>0.5</v>
      </c>
      <c r="N66" s="1845" t="s">
        <v>1887</v>
      </c>
      <c r="O66" s="1845"/>
      <c r="P66" s="1845"/>
    </row>
    <row r="67" spans="1:35" ht="12.75" hidden="1">
      <c r="A67" s="120" t="s">
        <v>42</v>
      </c>
      <c r="B67" s="121" t="s">
        <v>1888</v>
      </c>
      <c r="C67" s="124">
        <f ca="1">C63-C66</f>
        <v>1302</v>
      </c>
      <c r="D67" s="117" t="s">
        <v>41</v>
      </c>
      <c r="E67" s="118"/>
      <c r="F67" s="1022"/>
      <c r="G67" s="1022"/>
      <c r="H67" s="2247"/>
      <c r="I67" s="2194"/>
      <c r="J67" s="2866"/>
      <c r="K67" s="2272" t="s">
        <v>1889</v>
      </c>
      <c r="L67" s="1844">
        <f ca="1">IF(M49&gt;=10000,(8.25+(M49-10000)*0.01%),IF(AND(M49&gt;=8000,M49&lt;10000),(7.85+(M49-8000)*0.02%),IF(AND(M49&gt;=5000,M49&lt;8000),(6.65+(M49-5000)*0.04%),IF(AND(M49&gt;=2000,M49&lt;5000),(4.25+(PM49-2000)*0.08%),IF(AND(M49&gt;=1000,M49&lt;2000),(2.75+(M49-1000)*0.15%),IF(AND(M49&gt;=100,M49&lt;1000),(0.5+(M49-100)*0.25%),IF(AND(M49&gt;0,M49&lt;100),M49*0.5%)))))))</f>
        <v>3.3005</v>
      </c>
      <c r="M67" s="14">
        <f ca="1">ROUND(L67*0.9,1)</f>
        <v>3</v>
      </c>
      <c r="N67" s="1845"/>
      <c r="O67" s="1845"/>
      <c r="P67" s="1845"/>
    </row>
    <row r="68" spans="1:35" ht="13.5" hidden="1" thickBot="1">
      <c r="A68" s="125" t="s">
        <v>46</v>
      </c>
      <c r="B68" s="126" t="s">
        <v>1890</v>
      </c>
      <c r="C68" s="127">
        <f ca="1">IF(C67&lt;=0,0,ROUND(C67*D68,0))</f>
        <v>73</v>
      </c>
      <c r="D68" s="128">
        <f>'数据-取费表'!E29</f>
        <v>5.6000000000000001E-2</v>
      </c>
      <c r="E68" s="129"/>
      <c r="F68" s="1022"/>
      <c r="G68" s="1022"/>
      <c r="H68" s="2247"/>
      <c r="I68" s="2194"/>
      <c r="J68" s="2866"/>
      <c r="K68" s="2272" t="s">
        <v>1891</v>
      </c>
      <c r="L68" s="1844">
        <f ca="1">IF(M49&gt;10000,M49*0.5%,IF(AND(M49&gt;5000,M49&lt;=10000),M49*1%,IF(AND(M49&gt;1000,M49&lt;=5000),M49*2%,IF(AND(M49&gt;200,M49&lt;=1000),M49*3%,M49*5%))))</f>
        <v>27.34</v>
      </c>
      <c r="M68" s="14">
        <f ca="1">ROUND(L68,1)</f>
        <v>27.3</v>
      </c>
      <c r="N68" s="1845"/>
      <c r="O68" s="1845"/>
      <c r="P68" s="1845"/>
    </row>
    <row r="69" spans="1:35" s="2221" customFormat="1" ht="7.5" hidden="1" customHeight="1">
      <c r="A69" s="2273"/>
      <c r="B69" s="2274"/>
      <c r="C69" s="2275"/>
      <c r="D69" s="2276"/>
      <c r="E69" s="2277"/>
      <c r="F69" s="1022"/>
      <c r="G69" s="1022"/>
      <c r="H69" s="2247"/>
      <c r="I69" s="2194"/>
      <c r="J69" s="2866"/>
      <c r="K69" s="2272" t="s">
        <v>1892</v>
      </c>
      <c r="L69" s="2278"/>
      <c r="M69" s="14">
        <f ca="1">ROUND(SUM(M63:M68),0)</f>
        <v>54</v>
      </c>
      <c r="N69" s="1841">
        <f ca="1">M69/M49</f>
        <v>3.9502560351133871E-2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887" t="s">
        <v>1893</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885" t="s">
        <v>1873</v>
      </c>
      <c r="B71" s="2886"/>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1894</v>
      </c>
      <c r="C72" s="124">
        <f ca="1">ROUND(D45/(1+'数据-取费表'!F30),0)</f>
        <v>1302</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1896</v>
      </c>
      <c r="C73" s="124">
        <f ca="1">C74+C78</f>
        <v>8</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1902</v>
      </c>
      <c r="C76" s="117">
        <f>IF(F75="购房发票",ROUND(C75*H75*D76,0),0)</f>
        <v>0</v>
      </c>
      <c r="D76" s="141">
        <v>0.05</v>
      </c>
      <c r="E76" s="2923" t="s">
        <v>1903</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1907</v>
      </c>
      <c r="C78" s="144">
        <f ca="1">ROUND(D45*D78/(1+'数据-取费表'!F30),0)</f>
        <v>8</v>
      </c>
      <c r="D78" s="145">
        <f>'数据-取费表'!E31</f>
        <v>6.000000000000001E-3</v>
      </c>
      <c r="E78" s="2854" t="s">
        <v>1908</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1909</v>
      </c>
      <c r="C79" s="124">
        <f ca="1">C72-C73</f>
        <v>1294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1910</v>
      </c>
      <c r="C80" s="147">
        <f ca="1">IF(C79&lt;=0,0,C79/C73)</f>
        <v>161.75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1911</v>
      </c>
      <c r="C81" s="149">
        <f ca="1">ROUND(IF(C79&lt;=0,0,IF(C80&gt;=200%,C79*60%-C73*35%,IF(C80&gt;=100%,C79*50%-C73*15%,IF(C80&gt;=50%,C79*40%-C73*5%,IF(C80&lt;50%,C79*30%,0))))),0)</f>
        <v>774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887" t="s">
        <v>1912</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885" t="s">
        <v>1873</v>
      </c>
      <c r="B84" s="2886"/>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1894</v>
      </c>
      <c r="C85" s="124">
        <f ca="1">ROUND(D45/(1+'数据-取费表'!F30),0)</f>
        <v>1302</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1896</v>
      </c>
      <c r="C86" s="124">
        <f ca="1">IF(H88="仅含出让金",C87+C90+C91+C92+C93+C94,C87+C91+C92+C93+C94)</f>
        <v>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1919</v>
      </c>
      <c r="C91" s="144">
        <f>IF(H91="——",成本法!C33,I91)</f>
        <v>0</v>
      </c>
      <c r="D91" s="145"/>
      <c r="E91" s="2854" t="s">
        <v>1920</v>
      </c>
      <c r="F91" s="2855"/>
      <c r="G91" s="2855"/>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1922</v>
      </c>
      <c r="C92" s="144">
        <f>ROUND((C87+C90+C91)*D92,0)</f>
        <v>0</v>
      </c>
      <c r="D92" s="145">
        <v>0.1</v>
      </c>
      <c r="E92" s="2854" t="s">
        <v>1923</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1907</v>
      </c>
      <c r="C93" s="144">
        <f ca="1">ROUND(D45*D93/(1+'数据-取费表'!F30),0)</f>
        <v>8</v>
      </c>
      <c r="D93" s="145">
        <f>'数据-取费表'!E31</f>
        <v>6.000000000000001E-3</v>
      </c>
      <c r="E93" s="2854" t="s">
        <v>1908</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1924</v>
      </c>
      <c r="C94" s="144">
        <f>ROUND((C87+C90+C91)*D94,0)</f>
        <v>0</v>
      </c>
      <c r="D94" s="145">
        <v>0.2</v>
      </c>
      <c r="E94" s="2854" t="s">
        <v>1925</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1909</v>
      </c>
      <c r="C95" s="124">
        <f ca="1">ROUND(C85-C86,0)</f>
        <v>1294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1910</v>
      </c>
      <c r="C96" s="147">
        <f ca="1">IF(C95&lt;=0,0,C95/C86)</f>
        <v>161.75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1911</v>
      </c>
      <c r="C97" s="149">
        <f ca="1">ROUND(IF(C95&lt;=0,0,IF(C96&gt;=200%,C95*60%-C86*35%,IF(C96&gt;=100%,C95*50%-C86*15%,IF(C96&gt;=50%,C95*40%-C86*5%,IF(C96&lt;50%,C95*30%,0))))),0)</f>
        <v>774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872" t="s">
        <v>1927</v>
      </c>
      <c r="B99" s="2873"/>
      <c r="C99" s="2873"/>
      <c r="D99" s="2874"/>
      <c r="E99" s="2194"/>
      <c r="F99" s="2882" t="s">
        <v>1928</v>
      </c>
      <c r="G99" s="2883"/>
      <c r="H99" s="2883"/>
      <c r="I99" s="2884"/>
    </row>
    <row r="100" spans="1:35" ht="15.75">
      <c r="A100" s="2889" t="s">
        <v>1929</v>
      </c>
      <c r="B100" s="2890"/>
      <c r="C100" s="720" t="str">
        <f>C4</f>
        <v>比较法-住宅</v>
      </c>
      <c r="D100" s="721" t="str">
        <f>D4</f>
        <v>收益法</v>
      </c>
      <c r="E100" s="2194"/>
      <c r="F100" s="2891" t="s">
        <v>1930</v>
      </c>
      <c r="G100" s="2893"/>
      <c r="H100" s="2891" t="s">
        <v>1931</v>
      </c>
      <c r="I100" s="2892"/>
    </row>
    <row r="101" spans="1:35" ht="15.75">
      <c r="A101" s="2911" t="s">
        <v>1932</v>
      </c>
      <c r="B101" s="2289" t="str">
        <f>IF(H19="元","总价（元）","总价（万元）")</f>
        <v>总价（万元）</v>
      </c>
      <c r="C101" s="720">
        <f ca="1">C19</f>
        <v>1526</v>
      </c>
      <c r="D101" s="721">
        <f ca="1">D19</f>
        <v>729</v>
      </c>
      <c r="E101" s="2194"/>
      <c r="F101" s="2891" t="str">
        <f>项目基本情况!I1</f>
        <v>北京市房地产</v>
      </c>
      <c r="G101" s="2893"/>
      <c r="H101" s="2952">
        <f>项目基本情况!C12</f>
        <v>227.54</v>
      </c>
      <c r="I101" s="2892"/>
    </row>
    <row r="102" spans="1:35" ht="15.75">
      <c r="A102" s="2911"/>
      <c r="B102" s="2289" t="s">
        <v>1933</v>
      </c>
      <c r="C102" s="722">
        <f ca="1">C20</f>
        <v>67045</v>
      </c>
      <c r="D102" s="723">
        <f ca="1">D20</f>
        <v>32059</v>
      </c>
      <c r="E102" s="2194"/>
      <c r="F102" s="2966" t="s">
        <v>1934</v>
      </c>
      <c r="G102" s="2967"/>
      <c r="H102" s="2290" t="str">
        <f>C106</f>
        <v>总价（万元）</v>
      </c>
      <c r="I102" s="1862">
        <f ca="1">H121</f>
        <v>1367</v>
      </c>
    </row>
    <row r="103" spans="1:35" ht="15">
      <c r="A103" s="2911" t="s">
        <v>1935</v>
      </c>
      <c r="B103" s="2291" t="str">
        <f>B101</f>
        <v>总价（万元）</v>
      </c>
      <c r="C103" s="724">
        <f ca="1">H121</f>
        <v>1367</v>
      </c>
      <c r="D103" s="725"/>
      <c r="E103" s="2194"/>
      <c r="F103" s="2966"/>
      <c r="G103" s="2967"/>
      <c r="H103" s="2290" t="s">
        <v>1933</v>
      </c>
      <c r="I103" s="1050">
        <f ca="1">I121</f>
        <v>60077</v>
      </c>
    </row>
    <row r="104" spans="1:35" ht="16.5" thickBot="1">
      <c r="A104" s="2912"/>
      <c r="B104" s="2292" t="s">
        <v>1933</v>
      </c>
      <c r="C104" s="726">
        <f ca="1">I121</f>
        <v>60077</v>
      </c>
      <c r="D104" s="727"/>
      <c r="E104" s="2194"/>
      <c r="F104" s="2878"/>
      <c r="G104" s="2879"/>
      <c r="H104" s="2913"/>
      <c r="I104" s="2914"/>
    </row>
    <row r="105" spans="1:35" ht="15.75">
      <c r="A105" s="2872" t="s">
        <v>1936</v>
      </c>
      <c r="B105" s="2873"/>
      <c r="C105" s="2873"/>
      <c r="D105" s="2874"/>
      <c r="E105" s="2194"/>
      <c r="F105" s="2917" t="s">
        <v>1937</v>
      </c>
      <c r="G105" s="2918"/>
      <c r="H105" s="2293" t="str">
        <f>C108</f>
        <v>总额（万元）</v>
      </c>
      <c r="I105" s="1862">
        <f>SUMIF(I106:I108,"&lt;9E307")</f>
        <v>0</v>
      </c>
    </row>
    <row r="106" spans="1:35" ht="15">
      <c r="A106" s="2919" t="s">
        <v>1938</v>
      </c>
      <c r="B106" s="2920"/>
      <c r="C106" s="2290" t="str">
        <f>B101</f>
        <v>总价（万元）</v>
      </c>
      <c r="D106" s="1051">
        <f ca="1">H121</f>
        <v>1367</v>
      </c>
      <c r="E106" s="2194"/>
      <c r="F106" s="2880" t="s">
        <v>1939</v>
      </c>
      <c r="G106" s="2881"/>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9"/>
      <c r="B107" s="2920"/>
      <c r="C107" s="2290" t="s">
        <v>1933</v>
      </c>
      <c r="D107" s="1052">
        <f ca="1">I121</f>
        <v>60077</v>
      </c>
      <c r="E107" s="2194"/>
      <c r="F107" s="2880" t="s">
        <v>1940</v>
      </c>
      <c r="G107" s="2881"/>
      <c r="H107" s="2293" t="str">
        <f>C110</f>
        <v>总额（万元）</v>
      </c>
      <c r="I107" s="1050">
        <f>C37</f>
        <v>0</v>
      </c>
      <c r="K107" s="2294"/>
    </row>
    <row r="108" spans="1:35" ht="15">
      <c r="A108" s="2962" t="s">
        <v>1941</v>
      </c>
      <c r="B108" s="2963"/>
      <c r="C108" s="2293" t="str">
        <f>IF(H19="元","总额（元）","总额（万元）")</f>
        <v>总额（万元）</v>
      </c>
      <c r="D108" s="1051">
        <f>IF(D36="正常操作",I106+I107+I108,I107+I108)</f>
        <v>0</v>
      </c>
      <c r="E108" s="2194"/>
      <c r="F108" s="2880" t="s">
        <v>1942</v>
      </c>
      <c r="G108" s="2881"/>
      <c r="H108" s="2293" t="str">
        <f>C111</f>
        <v>总额（万元）</v>
      </c>
      <c r="I108" s="1050">
        <f>C38</f>
        <v>0</v>
      </c>
    </row>
    <row r="109" spans="1:35" ht="15.75">
      <c r="A109" s="2880" t="s">
        <v>1939</v>
      </c>
      <c r="B109" s="2881"/>
      <c r="C109" s="2293" t="str">
        <f>C108</f>
        <v>总额（万元）</v>
      </c>
      <c r="D109" s="637">
        <f>IF(D36="同一抵押权人同一抵押物续贷",C36&amp;"（未扣减，详见特别提示）",C36)</f>
        <v>0</v>
      </c>
      <c r="E109" s="2194"/>
      <c r="F109" s="2878"/>
      <c r="G109" s="2879"/>
      <c r="H109" s="2915"/>
      <c r="I109" s="2916"/>
    </row>
    <row r="110" spans="1:35" ht="28.5" customHeight="1">
      <c r="A110" s="2880" t="s">
        <v>1940</v>
      </c>
      <c r="B110" s="2881"/>
      <c r="C110" s="2293" t="str">
        <f>C108</f>
        <v>总额（万元）</v>
      </c>
      <c r="D110" s="637">
        <f>C37</f>
        <v>0</v>
      </c>
      <c r="E110" s="2194"/>
      <c r="F110" s="2860" t="str">
        <f>IF(项目基本情况!F5="已注销","——","3.房地产抵押价值")</f>
        <v>——</v>
      </c>
      <c r="G110" s="2861"/>
      <c r="H110" s="2295" t="str">
        <f>C112</f>
        <v>总价（万元）</v>
      </c>
      <c r="I110" s="1863" t="str">
        <f>IF(F110="——","——",I102-I105)</f>
        <v>——</v>
      </c>
    </row>
    <row r="111" spans="1:35" ht="15">
      <c r="A111" s="2880" t="s">
        <v>1942</v>
      </c>
      <c r="B111" s="2881"/>
      <c r="C111" s="2293" t="str">
        <f>C108</f>
        <v>总额（万元）</v>
      </c>
      <c r="D111" s="637">
        <f>C38</f>
        <v>0</v>
      </c>
      <c r="E111" s="2194"/>
      <c r="F111" s="2862"/>
      <c r="G111" s="2863"/>
      <c r="H111" s="2290" t="s">
        <v>1933</v>
      </c>
      <c r="I111" s="2296" t="e">
        <f ca="1">D113</f>
        <v>#VALUE!</v>
      </c>
    </row>
    <row r="112" spans="1:35" ht="26.25" customHeight="1">
      <c r="A112" s="2919" t="str">
        <f>IF(项目基本情况!F5="已注销","——","3.房地产抵押价值")</f>
        <v>——</v>
      </c>
      <c r="B112" s="2920"/>
      <c r="C112" s="2290" t="str">
        <f>B101</f>
        <v>总价（万元）</v>
      </c>
      <c r="D112" s="1051" t="str">
        <f>IF(A112="——","——",D106-D108)</f>
        <v>——</v>
      </c>
      <c r="E112" s="2194"/>
      <c r="F112" s="2860" t="str">
        <f>IF(项目基本情况!F5="已注销及未注销","4.抵押担保权已注销时的房地产抵押价值",IF(项目基本情况!F5="已注销","3.抵押担保权已注销时的房地产抵押价值","——"))</f>
        <v>3.抵押担保权已注销时的房地产抵押价值</v>
      </c>
      <c r="G112" s="2861"/>
      <c r="H112" s="2295" t="str">
        <f>C114</f>
        <v>总价（万元）</v>
      </c>
      <c r="I112" s="1863">
        <f ca="1">IF(F112="——","——",I102-I107-I108)</f>
        <v>1367</v>
      </c>
    </row>
    <row r="113" spans="1:15" ht="15">
      <c r="A113" s="2919"/>
      <c r="B113" s="2920"/>
      <c r="C113" s="2290" t="s">
        <v>1933</v>
      </c>
      <c r="D113" s="1052" t="e">
        <f ca="1">ROUND(IF(D112=D106,D107,IF(H19="元",D112/项目基本情况!C12,D112*10000/项目基本情况!C12)),0)</f>
        <v>#VALUE!</v>
      </c>
      <c r="E113" s="2194"/>
      <c r="F113" s="2862"/>
      <c r="G113" s="2863"/>
      <c r="H113" s="2290" t="s">
        <v>1933</v>
      </c>
      <c r="I113" s="2297">
        <f ca="1">D115</f>
        <v>60077</v>
      </c>
    </row>
    <row r="114" spans="1:15" ht="15.75">
      <c r="A114" s="2919" t="str">
        <f>IF(项目基本情况!F5="已注销及未注销","4.抵押担保权已注销时的房地产抵押价值",IF(项目基本情况!F5="已注销","3.抵押担保权已注销时的房地产抵押价值","——"))</f>
        <v>3.抵押担保权已注销时的房地产抵押价值</v>
      </c>
      <c r="B114" s="2920"/>
      <c r="C114" s="2290" t="str">
        <f>B101</f>
        <v>总价（万元）</v>
      </c>
      <c r="D114" s="1051">
        <f ca="1">IF(A114="——","——",D106-D110-D111)</f>
        <v>1367</v>
      </c>
      <c r="E114" s="2194"/>
      <c r="F114" s="2860" t="str">
        <f>IF(项目基本情况!G5="抵押净值",IF(OR(项目基本情况!F5="已注销",项目基本情况!F5="房地产抵押价值"),"4.抵押净值","5.抵押净值"),"——")</f>
        <v>——</v>
      </c>
      <c r="G114" s="2861"/>
      <c r="H114" s="2290" t="str">
        <f>C116</f>
        <v>总价（万元）</v>
      </c>
      <c r="I114" s="1862" t="str">
        <f>IF(F114="——","——",N59)</f>
        <v>——</v>
      </c>
    </row>
    <row r="115" spans="1:15" ht="15.75" thickBot="1">
      <c r="A115" s="2919"/>
      <c r="B115" s="2920"/>
      <c r="C115" s="2290" t="s">
        <v>1933</v>
      </c>
      <c r="D115" s="1052">
        <f ca="1">IF(A114="——","——",ROUND(IF(D114=D106,D107,IF(H19="元",D114/项目基本情况!C12,D114*10000/项目基本情况!C12)),0))</f>
        <v>60077</v>
      </c>
      <c r="E115" s="2194"/>
      <c r="F115" s="2953"/>
      <c r="G115" s="2954"/>
      <c r="H115" s="2298" t="s">
        <v>1933</v>
      </c>
      <c r="I115" s="1864" t="e">
        <f ca="1">D117</f>
        <v>#VALUE!</v>
      </c>
    </row>
    <row r="116" spans="1:15" ht="15.75">
      <c r="A116" s="2919" t="str">
        <f>IF(项目基本情况!G5="抵押净值",IF(OR(项目基本情况!F5="已注销",项目基本情况!F5="房地产抵押价值"),"4.抵押净值","5.抵押净值"),"——")</f>
        <v>——</v>
      </c>
      <c r="B116" s="2920"/>
      <c r="C116" s="2290" t="str">
        <f>B101</f>
        <v>总价（万元）</v>
      </c>
      <c r="D116" s="1051" t="str">
        <f>IF(A116="——","——",N59)</f>
        <v>——</v>
      </c>
      <c r="E116" s="2194"/>
      <c r="F116" s="2856"/>
      <c r="G116" s="2856"/>
      <c r="H116" s="2898"/>
      <c r="I116" s="2898"/>
      <c r="N116" s="55"/>
      <c r="O116" s="55"/>
    </row>
    <row r="117" spans="1:15" ht="15.75" thickBot="1">
      <c r="A117" s="2960"/>
      <c r="B117" s="2961"/>
      <c r="C117" s="2298" t="s">
        <v>1933</v>
      </c>
      <c r="D117" s="1053" t="e">
        <f ca="1">IF(D116=D112,D113,IF(A116="——","——",N61))</f>
        <v>#VALUE!</v>
      </c>
      <c r="E117" s="2194"/>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5">
      <c r="A118" s="2899" t="s">
        <v>1943</v>
      </c>
      <c r="B118" s="2900"/>
      <c r="C118" s="2900"/>
      <c r="D118" s="2900"/>
      <c r="E118" s="2900"/>
      <c r="F118" s="2900"/>
      <c r="G118" s="2900"/>
      <c r="H118" s="2900"/>
      <c r="I118" s="2900"/>
    </row>
    <row r="119" spans="1:15" ht="14.25">
      <c r="A119" s="2871" t="s">
        <v>1944</v>
      </c>
      <c r="B119" s="2869" t="s">
        <v>1945</v>
      </c>
      <c r="C119" s="2869" t="s">
        <v>1946</v>
      </c>
      <c r="D119" s="2876" t="s">
        <v>1947</v>
      </c>
      <c r="E119" s="2877"/>
      <c r="F119" s="2867" t="s">
        <v>1805</v>
      </c>
      <c r="G119" s="2867"/>
      <c r="H119" s="2867" t="s">
        <v>1948</v>
      </c>
      <c r="I119" s="2868"/>
    </row>
    <row r="120" spans="1:15" ht="14.25">
      <c r="A120" s="2871"/>
      <c r="B120" s="2870"/>
      <c r="C120" s="2870"/>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227.54</v>
      </c>
      <c r="C121" s="1887">
        <f>项目基本情况!C13</f>
        <v>0</v>
      </c>
      <c r="D121" s="1887">
        <f ca="1">ROUND(IF(B32="总价",C34,IF('数据-取费表'!B3="万元",E121*B121/10000,E121*B121)),0)</f>
        <v>1195</v>
      </c>
      <c r="E121" s="1887">
        <f ca="1">ROUND(IF(B32="楼面单价",C34,IF(H19="元",D121/B121,D121*10000/B121)),0)</f>
        <v>52518</v>
      </c>
      <c r="F121" s="1887">
        <f ca="1">ROUND(IF(B32="总价",C35,IF('数据-取费表'!B3="万元",G121*B121/10000,G121*B121)),0)</f>
        <v>172</v>
      </c>
      <c r="G121" s="1887">
        <f ca="1">ROUND(IF(B32="楼面单价",C35,IF(H19="元",F121/B121,F121*10000/B121)),0)</f>
        <v>7559</v>
      </c>
      <c r="H121" s="1887">
        <f ca="1">ROUND(IF(B32="总价",C32,IF('数据-取费表'!B3="万元",I121*B121/10000,I121*B121)),0)</f>
        <v>1367</v>
      </c>
      <c r="I121" s="637">
        <f ca="1">ROUND(IF(B32="楼面单价",C32,IF(H19="元",H121/B121,H121*10000/B121)),0)</f>
        <v>60077</v>
      </c>
    </row>
    <row r="122" spans="1:15" ht="14.25">
      <c r="A122" s="2871" t="s">
        <v>1952</v>
      </c>
      <c r="B122" s="2867"/>
      <c r="C122" s="2867"/>
      <c r="D122" s="2903" t="str">
        <f ca="1">IF(H19="元",NUMBERSTRING(INT(D121),2)&amp;"元整",NUMBERSTRING(INT(D121*10000),2)&amp;"元整")</f>
        <v>壹仟壹佰玖拾伍万元整</v>
      </c>
      <c r="E122" s="2904"/>
      <c r="F122" s="2903" t="str">
        <f ca="1">IF(H19="元",NUMBERSTRING(INT(F121),2)&amp;"元整",NUMBERSTRING(INT(F121*10000),2)&amp;"元整")</f>
        <v>壹佰柒拾贰万元整</v>
      </c>
      <c r="G122" s="2904"/>
      <c r="H122" s="2903" t="str">
        <f ca="1">IF(H19="元",NUMBERSTRING(INT(H121),2)&amp;"元整",NUMBERSTRING(INT(H121*10000),2)&amp;"元整")</f>
        <v>壹仟叁佰陆拾柒万元整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1952</v>
      </c>
      <c r="B124" s="2909"/>
      <c r="C124" s="2910"/>
      <c r="D124" s="2956">
        <f>H109</f>
        <v>0</v>
      </c>
      <c r="E124" s="2957"/>
      <c r="F124" s="2957"/>
      <c r="G124" s="2957"/>
      <c r="H124" s="2957"/>
      <c r="I124" s="2958"/>
    </row>
    <row r="125" spans="1:15" ht="15">
      <c r="A125" s="2894" t="str">
        <f>IF(项目基本情况!D5="房地产市场价值","——",MID(A112,3,LEN(A112)-2))</f>
        <v/>
      </c>
      <c r="B125" s="2895"/>
      <c r="C125" s="2895"/>
      <c r="D125" s="2896" t="str">
        <f>I110</f>
        <v>——</v>
      </c>
      <c r="E125" s="2906"/>
      <c r="F125" s="2906"/>
      <c r="G125" s="2906"/>
      <c r="H125" s="2906"/>
      <c r="I125" s="2955"/>
    </row>
    <row r="126" spans="1:15" ht="14.25">
      <c r="A126" s="2871" t="s">
        <v>1952</v>
      </c>
      <c r="B126" s="2867"/>
      <c r="C126" s="2867"/>
      <c r="D126" s="2956" t="e">
        <f ca="1">I111</f>
        <v>#VALUE!</v>
      </c>
      <c r="E126" s="2957"/>
      <c r="F126" s="2957"/>
      <c r="G126" s="2957"/>
      <c r="H126" s="2957"/>
      <c r="I126" s="2958"/>
    </row>
    <row r="127" spans="1:15" ht="15.75" thickBot="1">
      <c r="A127" s="2894" t="str">
        <f>IF(项目基本情况!D5="房地产市场价值","——",MID(A114,3,LEN(A114)-2))</f>
        <v>抵押担保权已注销时的房地产抵押价值</v>
      </c>
      <c r="B127" s="2895"/>
      <c r="C127" s="2895"/>
      <c r="D127" s="2851">
        <f ca="1">I112</f>
        <v>1367</v>
      </c>
      <c r="E127" s="2852"/>
      <c r="F127" s="2852"/>
      <c r="G127" s="2852"/>
      <c r="H127" s="2852"/>
      <c r="I127" s="2853"/>
    </row>
    <row r="128" spans="1:15" ht="15.75" thickTop="1" thickBot="1">
      <c r="A128" s="2871" t="s">
        <v>1952</v>
      </c>
      <c r="B128" s="2867"/>
      <c r="C128" s="2951"/>
      <c r="D128" s="2897">
        <f ca="1">I113</f>
        <v>60077</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1952</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73" t="s">
        <v>1961</v>
      </c>
      <c r="B2" s="2973"/>
      <c r="C2" s="2973"/>
      <c r="D2" s="2973"/>
      <c r="E2" s="2973"/>
      <c r="F2" s="2973"/>
      <c r="G2" s="2973"/>
      <c r="H2" s="2973"/>
      <c r="I2" s="2973"/>
    </row>
    <row r="3" spans="1:12" ht="12.75">
      <c r="A3" s="2927" t="s">
        <v>1765</v>
      </c>
      <c r="B3" s="2928"/>
      <c r="C3" s="2928"/>
      <c r="D3" s="2928"/>
      <c r="E3" s="2928"/>
      <c r="F3" s="2928"/>
      <c r="G3" s="2928"/>
      <c r="H3" s="2928"/>
      <c r="I3" s="2928"/>
    </row>
    <row r="4" spans="1:12" ht="14.25">
      <c r="A4" s="2196" t="s">
        <v>1766</v>
      </c>
      <c r="B4" s="2197" t="s">
        <v>1767</v>
      </c>
      <c r="C4" s="2198"/>
      <c r="D4" s="2198"/>
      <c r="E4" s="2932" t="s">
        <v>1962</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1769</v>
      </c>
      <c r="B5" s="2867">
        <v>25</v>
      </c>
      <c r="C5" s="2929"/>
      <c r="D5" s="2926"/>
      <c r="E5" s="56" t="s">
        <v>1770</v>
      </c>
      <c r="F5" s="2199"/>
      <c r="G5" s="2199"/>
      <c r="H5" s="2199"/>
      <c r="I5" s="2200"/>
    </row>
    <row r="6" spans="1:12" ht="12.75">
      <c r="A6" s="2922"/>
      <c r="B6" s="2867"/>
      <c r="C6" s="2930"/>
      <c r="D6" s="2926"/>
      <c r="E6" s="56" t="s">
        <v>1771</v>
      </c>
      <c r="F6" s="2199"/>
      <c r="G6" s="2199"/>
      <c r="H6" s="2199"/>
      <c r="I6" s="2200"/>
    </row>
    <row r="7" spans="1:12" ht="12.75">
      <c r="A7" s="2922"/>
      <c r="B7" s="2867"/>
      <c r="C7" s="2931"/>
      <c r="D7" s="2926"/>
      <c r="E7" s="56" t="s">
        <v>1772</v>
      </c>
      <c r="F7" s="2199"/>
      <c r="G7" s="2199"/>
      <c r="H7" s="2199"/>
      <c r="I7" s="2200"/>
    </row>
    <row r="8" spans="1:12" ht="12.75">
      <c r="A8" s="2922" t="s">
        <v>1773</v>
      </c>
      <c r="B8" s="2867">
        <v>15</v>
      </c>
      <c r="C8" s="2929"/>
      <c r="D8" s="2926"/>
      <c r="E8" s="56" t="s">
        <v>1774</v>
      </c>
      <c r="F8" s="2199"/>
      <c r="G8" s="2199"/>
      <c r="H8" s="2199"/>
      <c r="I8" s="2200"/>
    </row>
    <row r="9" spans="1:12" ht="12.75">
      <c r="A9" s="2922"/>
      <c r="B9" s="2867"/>
      <c r="C9" s="2931"/>
      <c r="D9" s="2926"/>
      <c r="E9" s="56" t="s">
        <v>1775</v>
      </c>
      <c r="F9" s="2199"/>
      <c r="G9" s="2199"/>
      <c r="H9" s="2199"/>
      <c r="I9" s="2200"/>
    </row>
    <row r="10" spans="1:12" ht="12.75">
      <c r="A10" s="2922" t="s">
        <v>1776</v>
      </c>
      <c r="B10" s="2867">
        <v>15</v>
      </c>
      <c r="C10" s="2929"/>
      <c r="D10" s="2926"/>
      <c r="E10" s="56" t="s">
        <v>1777</v>
      </c>
      <c r="F10" s="2199"/>
      <c r="G10" s="2199"/>
      <c r="H10" s="2199"/>
      <c r="I10" s="2200"/>
    </row>
    <row r="11" spans="1:12" ht="12.75">
      <c r="A11" s="2922"/>
      <c r="B11" s="2867"/>
      <c r="C11" s="2931"/>
      <c r="D11" s="2926"/>
      <c r="E11" s="56" t="s">
        <v>1778</v>
      </c>
      <c r="F11" s="2199"/>
      <c r="G11" s="2199"/>
      <c r="H11" s="2199"/>
      <c r="I11" s="2200"/>
    </row>
    <row r="12" spans="1:12" ht="12.75">
      <c r="A12" s="2922" t="s">
        <v>1779</v>
      </c>
      <c r="B12" s="2867">
        <v>15</v>
      </c>
      <c r="C12" s="2929"/>
      <c r="D12" s="2926"/>
      <c r="E12" s="56" t="s">
        <v>1780</v>
      </c>
      <c r="F12" s="2199"/>
      <c r="G12" s="2199"/>
      <c r="H12" s="2199"/>
      <c r="I12" s="2200"/>
    </row>
    <row r="13" spans="1:12" ht="12.75">
      <c r="A13" s="2922"/>
      <c r="B13" s="2867"/>
      <c r="C13" s="2931"/>
      <c r="D13" s="2926"/>
      <c r="E13" s="56" t="s">
        <v>1781</v>
      </c>
      <c r="F13" s="2199"/>
      <c r="G13" s="2199"/>
      <c r="H13" s="2199"/>
      <c r="I13" s="2200"/>
    </row>
    <row r="14" spans="1:12" ht="12.75">
      <c r="A14" s="2922" t="s">
        <v>1782</v>
      </c>
      <c r="B14" s="2867">
        <v>30</v>
      </c>
      <c r="C14" s="2929"/>
      <c r="D14" s="2926"/>
      <c r="E14" s="56" t="s">
        <v>1783</v>
      </c>
      <c r="F14" s="2199"/>
      <c r="G14" s="2199"/>
      <c r="H14" s="2199"/>
      <c r="I14" s="2200"/>
    </row>
    <row r="15" spans="1:12" ht="12.75">
      <c r="A15" s="2922"/>
      <c r="B15" s="2867"/>
      <c r="C15" s="2930"/>
      <c r="D15" s="2926"/>
      <c r="E15" s="56" t="s">
        <v>1784</v>
      </c>
      <c r="F15" s="2199"/>
      <c r="G15" s="2199"/>
      <c r="H15" s="2199"/>
      <c r="I15" s="2200"/>
    </row>
    <row r="16" spans="1:12" ht="12.75">
      <c r="A16" s="2922"/>
      <c r="B16" s="2867"/>
      <c r="C16" s="2931"/>
      <c r="D16" s="2926"/>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万元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1964</v>
      </c>
      <c r="B30" s="2715"/>
      <c r="C30" s="2715"/>
      <c r="D30" s="2715"/>
      <c r="E30" s="2713" t="s">
        <v>2806</v>
      </c>
      <c r="F30" s="2194"/>
      <c r="G30" s="2194"/>
      <c r="H30" s="2194"/>
      <c r="I30" s="2194"/>
    </row>
    <row r="31" spans="1:35" s="2221" customFormat="1" ht="15.75" thickBot="1">
      <c r="A31" s="2983" t="s">
        <v>1965</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万元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万元</v>
      </c>
      <c r="E35" s="2194"/>
      <c r="F35" s="2194"/>
      <c r="G35" s="2194"/>
      <c r="H35" s="2194"/>
      <c r="I35" s="2194"/>
    </row>
    <row r="36" spans="1:16" ht="15.75" thickBot="1">
      <c r="A36" s="2233"/>
      <c r="B36" s="2328" t="s">
        <v>1973</v>
      </c>
      <c r="C36" s="1317">
        <f>IF('数据-取费表'!B3="万元",典型户型修正!Y25,典型户型修正!X25)</f>
        <v>0</v>
      </c>
      <c r="D36" s="2194" t="str">
        <f>D33</f>
        <v>万元</v>
      </c>
      <c r="E36" s="2194"/>
      <c r="F36" s="2194"/>
      <c r="G36" s="2194"/>
      <c r="H36" s="2194"/>
      <c r="I36" s="2194"/>
    </row>
    <row r="37" spans="1:16" ht="15.75" thickBot="1">
      <c r="A37" s="2940" t="s">
        <v>1974</v>
      </c>
      <c r="B37" s="2236" t="s">
        <v>1975</v>
      </c>
      <c r="C37" s="69"/>
      <c r="D37" s="2237"/>
      <c r="E37" s="2238"/>
      <c r="F37" s="2238"/>
      <c r="G37" s="2194"/>
      <c r="H37" s="2194"/>
      <c r="I37" s="2194"/>
    </row>
    <row r="38" spans="1:16" ht="15.75" thickBot="1">
      <c r="A38" s="2941"/>
      <c r="B38" s="2239" t="s">
        <v>1976</v>
      </c>
      <c r="C38" s="71"/>
      <c r="D38" s="2204"/>
      <c r="E38" s="2204"/>
      <c r="F38" s="2238"/>
      <c r="G38" s="2204"/>
      <c r="H38" s="2204"/>
      <c r="I38" s="2204"/>
    </row>
    <row r="39" spans="1:16" ht="15.75" thickBot="1">
      <c r="A39" s="2942"/>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45" t="s">
        <v>1987</v>
      </c>
      <c r="B46" s="2946"/>
      <c r="C46" s="2947"/>
      <c r="D46" s="80">
        <f>ROUND(I103*F46,0)</f>
        <v>0</v>
      </c>
      <c r="E46" s="81" t="s">
        <v>1988</v>
      </c>
      <c r="F46" s="82">
        <v>1</v>
      </c>
      <c r="G46" s="83" t="s">
        <v>1989</v>
      </c>
      <c r="H46" s="2194"/>
      <c r="I46" s="2194"/>
      <c r="J46" s="2857" t="s">
        <v>1821</v>
      </c>
      <c r="K46" s="2857"/>
      <c r="L46" s="2857"/>
      <c r="M46" s="2857"/>
      <c r="N46" s="2857"/>
      <c r="O46" s="2857"/>
      <c r="P46" s="1845"/>
    </row>
    <row r="47" spans="1:16" ht="14.25" customHeight="1">
      <c r="A47" s="2937" t="s">
        <v>1822</v>
      </c>
      <c r="B47" s="2938"/>
      <c r="C47" s="2938"/>
      <c r="D47" s="2938"/>
      <c r="E47" s="2938"/>
      <c r="F47" s="2938"/>
      <c r="G47" s="2939"/>
      <c r="H47" s="2256"/>
      <c r="I47" s="1144"/>
      <c r="J47" s="1883">
        <v>1</v>
      </c>
      <c r="K47" s="2857" t="s">
        <v>1823</v>
      </c>
      <c r="L47" s="2857"/>
      <c r="M47" s="2972"/>
      <c r="N47" s="2972"/>
      <c r="O47" s="2972"/>
      <c r="P47" s="1845"/>
    </row>
    <row r="48" spans="1:16" ht="12" customHeight="1">
      <c r="A48" s="85" t="s">
        <v>1824</v>
      </c>
      <c r="B48" s="86"/>
      <c r="C48" s="87"/>
      <c r="D48" s="88" t="s">
        <v>1825</v>
      </c>
      <c r="E48" s="14" t="s">
        <v>1826</v>
      </c>
      <c r="F48" s="89" t="s">
        <v>1827</v>
      </c>
      <c r="G48" s="90" t="s">
        <v>1828</v>
      </c>
      <c r="H48" s="2256"/>
      <c r="I48" s="1144"/>
      <c r="J48" s="1883">
        <v>2</v>
      </c>
      <c r="K48" s="2857" t="s">
        <v>1829</v>
      </c>
      <c r="L48" s="2857"/>
      <c r="M48" s="2859">
        <f>'数据-取费表'!B2</f>
        <v>43180</v>
      </c>
      <c r="N48" s="2859"/>
      <c r="O48" s="2859"/>
      <c r="P48" s="1845"/>
    </row>
    <row r="49" spans="1:16" ht="25.5">
      <c r="A49" s="2943" t="s">
        <v>1830</v>
      </c>
      <c r="B49" s="2944"/>
      <c r="C49" s="2944"/>
      <c r="D49" s="56">
        <f>IF(H49="情况1",0,IF(H49="情况2",D53,IF(H49="情况3",D54,IF(H49="情况4",D55))))</f>
        <v>0</v>
      </c>
      <c r="E49" s="1893" t="str">
        <f>IF(H49="情况4","(销售额-原购置价)×税（费）率","销售额×税（费）率")</f>
        <v>销售额×税（费）率</v>
      </c>
      <c r="F49" s="91">
        <f>IF(H49="情况1","免征",'数据-取费表'!E29)</f>
        <v>5.6000000000000001E-2</v>
      </c>
      <c r="G49" s="2257" t="s">
        <v>1831</v>
      </c>
      <c r="H49" s="2258" t="s">
        <v>1832</v>
      </c>
      <c r="I49" s="2256"/>
      <c r="J49" s="1883">
        <v>3</v>
      </c>
      <c r="K49" s="2857" t="s">
        <v>1833</v>
      </c>
      <c r="L49" s="2857"/>
      <c r="M49" s="2858">
        <f>I103</f>
        <v>0</v>
      </c>
      <c r="N49" s="2858"/>
      <c r="O49" s="2858"/>
      <c r="P49" s="1845"/>
    </row>
    <row r="50" spans="1:16" ht="25.5" customHeight="1">
      <c r="A50" s="92" t="s">
        <v>1834</v>
      </c>
      <c r="B50" s="2924" t="s">
        <v>1835</v>
      </c>
      <c r="C50" s="2924"/>
      <c r="D50" s="93">
        <v>0</v>
      </c>
      <c r="E50" s="13" t="s">
        <v>1836</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f>IF(项目基本情况!F5="房地产抵押价值",I111,I113)</f>
        <v>0</v>
      </c>
      <c r="N50" s="2858"/>
      <c r="O50" s="2858"/>
      <c r="P50" s="1845"/>
    </row>
    <row r="51" spans="1:16" ht="25.5" customHeight="1">
      <c r="A51" s="94"/>
      <c r="B51" s="2924" t="s">
        <v>1837</v>
      </c>
      <c r="C51" s="2924"/>
      <c r="D51" s="95"/>
      <c r="E51" s="21"/>
      <c r="F51" s="96"/>
      <c r="G51" s="2849"/>
      <c r="H51" s="2194"/>
      <c r="I51" s="2259"/>
      <c r="J51" s="2857" t="s">
        <v>1838</v>
      </c>
      <c r="K51" s="2857"/>
      <c r="L51" s="2857"/>
      <c r="M51" s="2857"/>
      <c r="N51" s="2857"/>
      <c r="O51" s="2857"/>
      <c r="P51" s="1845"/>
    </row>
    <row r="52" spans="1:16" ht="12" customHeight="1">
      <c r="A52" s="97"/>
      <c r="B52" s="2924" t="s">
        <v>1839</v>
      </c>
      <c r="C52" s="2924"/>
      <c r="D52" s="98"/>
      <c r="E52" s="20"/>
      <c r="F52" s="96"/>
      <c r="G52" s="2850"/>
      <c r="H52" s="2194"/>
      <c r="I52" s="2259"/>
      <c r="J52" s="2260" t="s">
        <v>1840</v>
      </c>
      <c r="K52" s="2857" t="s">
        <v>1841</v>
      </c>
      <c r="L52" s="2857"/>
      <c r="M52" s="2260" t="s">
        <v>1842</v>
      </c>
      <c r="N52" s="2260" t="s">
        <v>1843</v>
      </c>
      <c r="O52" s="2260" t="s">
        <v>1844</v>
      </c>
      <c r="P52" s="1845"/>
    </row>
    <row r="53" spans="1:16" ht="24" customHeight="1">
      <c r="A53" s="99" t="s">
        <v>1845</v>
      </c>
      <c r="B53" s="2924" t="s">
        <v>1846</v>
      </c>
      <c r="C53" s="2924"/>
      <c r="D53" s="98">
        <f>ROUND(D46*'数据-取费表'!E29/(1+'数据-取费表'!F30),0)</f>
        <v>0</v>
      </c>
      <c r="E53" s="10" t="s">
        <v>1847</v>
      </c>
      <c r="F53" s="100">
        <f>'数据-取费表'!E29</f>
        <v>5.6000000000000001E-2</v>
      </c>
      <c r="G53" s="2261"/>
      <c r="H53" s="2194"/>
      <c r="I53" s="2259"/>
      <c r="J53" s="1883">
        <v>1</v>
      </c>
      <c r="K53" s="2847" t="s">
        <v>1848</v>
      </c>
      <c r="L53" s="2847"/>
      <c r="M53" s="778">
        <f>D49</f>
        <v>0</v>
      </c>
      <c r="N53" s="1883" t="str">
        <f>E49</f>
        <v>销售额×税（费）率</v>
      </c>
      <c r="O53" s="779">
        <f>F49</f>
        <v>5.6000000000000001E-2</v>
      </c>
      <c r="P53" s="1845"/>
    </row>
    <row r="54" spans="1:16" ht="12" customHeight="1">
      <c r="A54" s="99" t="s">
        <v>1849</v>
      </c>
      <c r="B54" s="2923" t="s">
        <v>1850</v>
      </c>
      <c r="C54" s="2817"/>
      <c r="D54" s="98">
        <f>ROUND(D46*'数据-取费表'!E29/(1+'数据-取费表'!F30),0)</f>
        <v>0</v>
      </c>
      <c r="E54" s="10" t="s">
        <v>1847</v>
      </c>
      <c r="F54" s="100">
        <f>'数据-取费表'!E29</f>
        <v>5.6000000000000001E-2</v>
      </c>
      <c r="G54" s="2261"/>
      <c r="H54" s="2194"/>
      <c r="I54" s="2259"/>
      <c r="J54" s="1883">
        <v>2</v>
      </c>
      <c r="K54" s="2847" t="s">
        <v>1851</v>
      </c>
      <c r="L54" s="2847"/>
      <c r="M54" s="778">
        <f t="shared" ref="M54:O55" si="1">D56</f>
        <v>0</v>
      </c>
      <c r="N54" s="1883" t="str">
        <f t="shared" si="1"/>
        <v>销售额×税（费）率</v>
      </c>
      <c r="O54" s="779">
        <f t="shared" si="1"/>
        <v>5.0000000000000001E-4</v>
      </c>
      <c r="P54" s="1845"/>
    </row>
    <row r="55" spans="1:16" ht="12" customHeight="1">
      <c r="A55" s="99" t="s">
        <v>1852</v>
      </c>
      <c r="B55" s="2923" t="s">
        <v>1853</v>
      </c>
      <c r="C55" s="2817"/>
      <c r="D55" s="98">
        <f>C69</f>
        <v>0</v>
      </c>
      <c r="E55" s="20" t="s">
        <v>1854</v>
      </c>
      <c r="F55" s="100">
        <f>'数据-取费表'!E29</f>
        <v>5.6000000000000001E-2</v>
      </c>
      <c r="G55" s="2261"/>
      <c r="H55" s="2262"/>
      <c r="I55" s="2259"/>
      <c r="J55" s="1883">
        <v>3</v>
      </c>
      <c r="K55" s="2847" t="s">
        <v>1855</v>
      </c>
      <c r="L55" s="2847"/>
      <c r="M55" s="778">
        <f t="shared" si="1"/>
        <v>0</v>
      </c>
      <c r="N55" s="1883" t="str">
        <f t="shared" si="1"/>
        <v>增值额×税（费）率</v>
      </c>
      <c r="O55" s="780" t="str">
        <f t="shared" si="1"/>
        <v>——</v>
      </c>
      <c r="P55" s="1845"/>
    </row>
    <row r="56" spans="1:16" ht="24" customHeight="1">
      <c r="A56" s="2809" t="s">
        <v>1856</v>
      </c>
      <c r="B56" s="2944"/>
      <c r="C56" s="2944"/>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1859</v>
      </c>
      <c r="B57" s="2944"/>
      <c r="C57" s="2944"/>
      <c r="D57" s="101">
        <f>IF(H57="个人住宅",D58,D59)</f>
        <v>0</v>
      </c>
      <c r="E57" s="10" t="s">
        <v>1860</v>
      </c>
      <c r="F57" s="100" t="str">
        <f>IF(H57="正常",F59,"免征")</f>
        <v>——</v>
      </c>
      <c r="G57" s="2263" t="s">
        <v>1861</v>
      </c>
      <c r="H57" s="2264" t="s">
        <v>1858</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1834</v>
      </c>
      <c r="B58" s="2932" t="s">
        <v>1862</v>
      </c>
      <c r="C58" s="2934"/>
      <c r="D58" s="103">
        <v>0</v>
      </c>
      <c r="E58" s="13" t="s">
        <v>1836</v>
      </c>
      <c r="F58" s="70"/>
      <c r="G58" s="2261"/>
      <c r="H58" s="1022"/>
      <c r="I58" s="1022"/>
      <c r="J58" s="2847">
        <f>IF(AND(J56="",J57=""),4,IF(项目基本情况!I6="上海银行",J57+1,J56+1))</f>
        <v>4</v>
      </c>
      <c r="K58" s="2847" t="s">
        <v>1863</v>
      </c>
      <c r="L58" s="2265" t="s">
        <v>1864</v>
      </c>
      <c r="M58" s="783"/>
      <c r="N58" s="784">
        <f>SUMIF(M53:M57,"&lt;9e307")</f>
        <v>0</v>
      </c>
      <c r="O58" s="2266"/>
      <c r="P58" s="1841" t="e">
        <f>N58/M50</f>
        <v>#DIV/0!</v>
      </c>
    </row>
    <row r="59" spans="1:16" ht="24.75">
      <c r="A59" s="99" t="s">
        <v>1845</v>
      </c>
      <c r="B59" s="2932" t="s">
        <v>1865</v>
      </c>
      <c r="C59" s="2933"/>
      <c r="D59" s="101">
        <f>IF(H59="转让取得",C82,C98)</f>
        <v>0</v>
      </c>
      <c r="E59" s="10" t="s">
        <v>1860</v>
      </c>
      <c r="F59" s="14" t="s">
        <v>48</v>
      </c>
      <c r="G59" s="2261"/>
      <c r="H59" s="2264" t="s">
        <v>1866</v>
      </c>
      <c r="I59" s="1022"/>
      <c r="J59" s="2847"/>
      <c r="K59" s="2847"/>
      <c r="L59" s="2265" t="s">
        <v>1867</v>
      </c>
      <c r="M59" s="785"/>
      <c r="N59" s="2267" t="str">
        <f>IF(H19="元",NUMBERSTRING(INT(N58),2)&amp;"元整",NUMBERSTRING(INT(N58*10000),2)&amp;"元整")</f>
        <v>零元整</v>
      </c>
      <c r="O59" s="2268"/>
      <c r="P59" s="1845"/>
    </row>
    <row r="60" spans="1:16" ht="24.75"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01">
        <f>J58+1</f>
        <v>5</v>
      </c>
      <c r="K60" s="2847" t="s">
        <v>1870</v>
      </c>
      <c r="L60" s="1883" t="s">
        <v>1864</v>
      </c>
      <c r="M60" s="786"/>
      <c r="N60" s="787">
        <f>M50-N58</f>
        <v>0</v>
      </c>
      <c r="O60" s="2270"/>
      <c r="P60" s="1845"/>
    </row>
    <row r="61" spans="1:16" ht="12" customHeight="1">
      <c r="A61" s="2067"/>
      <c r="B61" s="2194"/>
      <c r="C61" s="2194"/>
      <c r="D61" s="2194"/>
      <c r="E61" s="1022"/>
      <c r="F61" s="1022"/>
      <c r="G61" s="1022"/>
      <c r="H61" s="2247"/>
      <c r="I61" s="2194"/>
      <c r="J61" s="2902"/>
      <c r="K61" s="2847"/>
      <c r="L61" s="2265" t="s">
        <v>1867</v>
      </c>
      <c r="M61" s="785"/>
      <c r="N61" s="2267" t="str">
        <f>IF(H19="元",NUMBERSTRING(INT(N60),2)&amp;"元整",NUMBERSTRING(INT(N60*10000),2)&amp;"元整")</f>
        <v>零元整</v>
      </c>
      <c r="O61" s="2268"/>
      <c r="P61" s="1845"/>
    </row>
    <row r="62" spans="1:16" ht="13.5" thickBot="1">
      <c r="A62" s="2948" t="s">
        <v>1871</v>
      </c>
      <c r="B62" s="2948"/>
      <c r="C62" s="2948"/>
      <c r="D62" s="2948"/>
      <c r="E62" s="2948"/>
      <c r="F62" s="1022"/>
      <c r="G62" s="1022"/>
      <c r="H62" s="2247"/>
      <c r="I62" s="2194"/>
      <c r="J62" s="1883">
        <f>J60+1</f>
        <v>6</v>
      </c>
      <c r="K62" s="2847" t="s">
        <v>1872</v>
      </c>
      <c r="L62" s="2847"/>
      <c r="M62" s="788"/>
      <c r="N62" s="789">
        <f>IF(H19="元",ROUND(N60/项目基本情况!C12,0),ROUND(N60*10000/项目基本情况!C12,0))</f>
        <v>0</v>
      </c>
      <c r="O62" s="2271"/>
      <c r="P62" s="1845"/>
    </row>
    <row r="63" spans="1:16" ht="12.75">
      <c r="A63" s="2885" t="s">
        <v>1873</v>
      </c>
      <c r="B63" s="2886"/>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866" t="s">
        <v>1877</v>
      </c>
      <c r="K64" s="2272"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7"/>
      <c r="I65" s="2194"/>
      <c r="J65" s="2866"/>
      <c r="K65" s="2272" t="s">
        <v>1880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1881</v>
      </c>
      <c r="O65" s="1845"/>
      <c r="P65" s="1845"/>
    </row>
    <row r="66" spans="1:35" ht="12.75">
      <c r="A66" s="114" t="s">
        <v>72</v>
      </c>
      <c r="B66" s="115" t="s">
        <v>1882</v>
      </c>
      <c r="C66" s="119"/>
      <c r="D66" s="117"/>
      <c r="E66" s="118"/>
      <c r="F66" s="1022"/>
      <c r="G66" s="1022"/>
      <c r="H66" s="2247"/>
      <c r="I66" s="2194"/>
      <c r="J66" s="2866"/>
      <c r="K66" s="2272" t="s">
        <v>1883</v>
      </c>
      <c r="L66" s="1844" t="b">
        <f>IF(M50&gt;1000,M50*0.1%,IF(AND(M50&gt;500,M50&lt;=1000),M50*0.5%,IF(AND(M50&gt;50,M50&lt;=500),M50*1%,IF(AND(M50&gt;1,M50&lt;=50),M50*1.5%))))</f>
        <v>0</v>
      </c>
      <c r="M66" s="14">
        <f t="shared" si="2"/>
        <v>0</v>
      </c>
      <c r="N66" s="1845" t="s">
        <v>1881</v>
      </c>
      <c r="O66" s="1845"/>
      <c r="P66" s="1845"/>
    </row>
    <row r="67" spans="1:35" ht="12.75">
      <c r="A67" s="120" t="s">
        <v>47</v>
      </c>
      <c r="B67" s="121" t="s">
        <v>1884</v>
      </c>
      <c r="C67" s="122"/>
      <c r="D67" s="123" t="s">
        <v>41</v>
      </c>
      <c r="E67" s="1861" t="s">
        <v>1885</v>
      </c>
      <c r="F67" s="1022"/>
      <c r="G67" s="1022"/>
      <c r="H67" s="2247"/>
      <c r="I67" s="2194"/>
      <c r="J67" s="2866"/>
      <c r="K67" s="2272"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7"/>
      <c r="I68" s="2194"/>
      <c r="J68" s="2866"/>
      <c r="K68" s="2272"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7"/>
      <c r="I69" s="2194"/>
      <c r="J69" s="2866"/>
      <c r="K69" s="2272" t="s">
        <v>1891</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866"/>
      <c r="K70" s="2272" t="s">
        <v>1892</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1893</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1873</v>
      </c>
      <c r="B72" s="2886"/>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23" t="s">
        <v>1903</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6.000000000000001E-3</v>
      </c>
      <c r="E79" s="2854" t="s">
        <v>1908</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1912</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1873</v>
      </c>
      <c r="B85" s="2886"/>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54" t="s">
        <v>1920</v>
      </c>
      <c r="F92" s="2855"/>
      <c r="G92" s="2855"/>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54" t="s">
        <v>1923</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6.000000000000001E-3</v>
      </c>
      <c r="E94" s="2854" t="s">
        <v>1908</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54" t="s">
        <v>1925</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872" t="s">
        <v>1927</v>
      </c>
      <c r="B100" s="2873"/>
      <c r="C100" s="2873"/>
      <c r="D100" s="2874"/>
      <c r="E100" s="2194"/>
      <c r="F100" s="2882" t="s">
        <v>1928</v>
      </c>
      <c r="G100" s="2883"/>
      <c r="H100" s="2883"/>
      <c r="I100" s="2884"/>
    </row>
    <row r="101" spans="1:35" ht="15.75">
      <c r="A101" s="2889" t="s">
        <v>1929</v>
      </c>
      <c r="B101" s="2890"/>
      <c r="C101" s="720">
        <f>C4</f>
        <v>0</v>
      </c>
      <c r="D101" s="721">
        <f>D4</f>
        <v>0</v>
      </c>
      <c r="E101" s="2194"/>
      <c r="F101" s="2891" t="s">
        <v>1930</v>
      </c>
      <c r="G101" s="2893"/>
      <c r="H101" s="2974" t="s">
        <v>1931</v>
      </c>
      <c r="I101" s="2892"/>
    </row>
    <row r="102" spans="1:35" ht="15.75">
      <c r="A102" s="2975" t="s">
        <v>1991</v>
      </c>
      <c r="B102" s="2289" t="str">
        <f>IF(H19="元","总价（元）","总价（万元）")</f>
        <v>总价（万元）</v>
      </c>
      <c r="C102" s="720" t="e">
        <f ca="1">C19</f>
        <v>#REF!</v>
      </c>
      <c r="D102" s="721" t="e">
        <f ca="1">D19</f>
        <v>#REF!</v>
      </c>
      <c r="E102" s="2194"/>
      <c r="F102" s="2976"/>
      <c r="G102" s="2977"/>
      <c r="H102" s="2952">
        <f>典型户型修正!B25</f>
        <v>0</v>
      </c>
      <c r="I102" s="2892"/>
    </row>
    <row r="103" spans="1:35" ht="15.75">
      <c r="A103" s="2975"/>
      <c r="B103" s="2289" t="s">
        <v>1933</v>
      </c>
      <c r="C103" s="722" t="e">
        <f ca="1">C20</f>
        <v>#REF!</v>
      </c>
      <c r="D103" s="723" t="e">
        <f ca="1">D20</f>
        <v>#REF!</v>
      </c>
      <c r="E103" s="2194"/>
      <c r="F103" s="2966" t="s">
        <v>1934</v>
      </c>
      <c r="G103" s="2967"/>
      <c r="H103" s="2290" t="str">
        <f>C109</f>
        <v>总价（万元）</v>
      </c>
      <c r="I103" s="1862">
        <f>H124</f>
        <v>0</v>
      </c>
    </row>
    <row r="104" spans="1:35" ht="15">
      <c r="A104" s="2975" t="s">
        <v>1992</v>
      </c>
      <c r="B104" s="2291" t="str">
        <f>B102</f>
        <v>总价（万元）</v>
      </c>
      <c r="C104" s="1190" t="e">
        <f ca="1">ROUND(IF('数据-取费表'!B4="总价",G19,IF(H19="元",G20*'数据-取费表'!E5,G20*'数据-取费表'!E5/10000)),0)</f>
        <v>#REF!</v>
      </c>
      <c r="D104" s="725"/>
      <c r="E104" s="2194"/>
      <c r="F104" s="2966"/>
      <c r="G104" s="2967"/>
      <c r="H104" s="2290" t="s">
        <v>1933</v>
      </c>
      <c r="I104" s="1050" t="e">
        <f>I124</f>
        <v>#DIV/0!</v>
      </c>
    </row>
    <row r="105" spans="1:35" ht="15.75">
      <c r="A105" s="2975"/>
      <c r="B105" s="2289" t="s">
        <v>1933</v>
      </c>
      <c r="C105" s="1191" t="e">
        <f ca="1">ROUND(IF('数据-取费表'!B4="楼面单价",G20,IF(H19="元",G19/'数据-取费表'!E5,G19*10000/'数据-取费表'!E5)),0)</f>
        <v>#REF!</v>
      </c>
      <c r="D105" s="725"/>
      <c r="E105" s="2194"/>
      <c r="F105" s="2878"/>
      <c r="G105" s="2879"/>
      <c r="H105" s="2913"/>
      <c r="I105" s="2914"/>
    </row>
    <row r="106" spans="1:35" ht="15.75">
      <c r="A106" s="2982" t="s">
        <v>1993</v>
      </c>
      <c r="B106" s="2329" t="str">
        <f>B102</f>
        <v>总价（万元）</v>
      </c>
      <c r="C106" s="724">
        <f>H124</f>
        <v>0</v>
      </c>
      <c r="D106" s="1189"/>
      <c r="E106" s="2194"/>
      <c r="F106" s="2917" t="s">
        <v>1937</v>
      </c>
      <c r="G106" s="2918"/>
      <c r="H106" s="2293" t="str">
        <f>C111</f>
        <v>总额（万元）</v>
      </c>
      <c r="I106" s="1862">
        <f>SUMIF(I107:I109,"&lt;9E307")</f>
        <v>0</v>
      </c>
    </row>
    <row r="107" spans="1:35" ht="15.75" thickBot="1">
      <c r="A107" s="2912"/>
      <c r="B107" s="2292" t="s">
        <v>1933</v>
      </c>
      <c r="C107" s="726" t="e">
        <f>I124</f>
        <v>#DIV/0!</v>
      </c>
      <c r="D107" s="727"/>
      <c r="E107" s="2194"/>
      <c r="F107" s="2880" t="s">
        <v>1939</v>
      </c>
      <c r="G107" s="2881"/>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8" t="s">
        <v>1936</v>
      </c>
      <c r="B108" s="2979"/>
      <c r="C108" s="2979"/>
      <c r="D108" s="2980"/>
      <c r="E108" s="2194"/>
      <c r="F108" s="2880" t="s">
        <v>1940</v>
      </c>
      <c r="G108" s="2881"/>
      <c r="H108" s="2293" t="str">
        <f>C113</f>
        <v>总额（万元）</v>
      </c>
      <c r="I108" s="1050">
        <f>C38</f>
        <v>0</v>
      </c>
      <c r="K108" s="2294"/>
    </row>
    <row r="109" spans="1:35" ht="15">
      <c r="A109" s="2919" t="s">
        <v>1994</v>
      </c>
      <c r="B109" s="2920"/>
      <c r="C109" s="2290" t="str">
        <f>B102</f>
        <v>总价（万元）</v>
      </c>
      <c r="D109" s="1051">
        <f>H124</f>
        <v>0</v>
      </c>
      <c r="E109" s="2194"/>
      <c r="F109" s="2880" t="s">
        <v>1942</v>
      </c>
      <c r="G109" s="2881"/>
      <c r="H109" s="2293" t="str">
        <f>C114</f>
        <v>总额（万元）</v>
      </c>
      <c r="I109" s="1050">
        <f>C39</f>
        <v>0</v>
      </c>
    </row>
    <row r="110" spans="1:35" ht="15.75">
      <c r="A110" s="2919"/>
      <c r="B110" s="2920"/>
      <c r="C110" s="2290" t="s">
        <v>1933</v>
      </c>
      <c r="D110" s="1052" t="e">
        <f>I124</f>
        <v>#DIV/0!</v>
      </c>
      <c r="E110" s="2194"/>
      <c r="F110" s="2878"/>
      <c r="G110" s="2879"/>
      <c r="H110" s="2915"/>
      <c r="I110" s="2916"/>
    </row>
    <row r="111" spans="1:35" ht="28.5" customHeight="1">
      <c r="A111" s="2962" t="s">
        <v>1941</v>
      </c>
      <c r="B111" s="2963"/>
      <c r="C111" s="2293" t="str">
        <f>IF(H19="元","总额（元）","总额（万元）")</f>
        <v>总额（万元）</v>
      </c>
      <c r="D111" s="1051">
        <f>IF(D37="正常操作",I107+I108+I109,I108+I109)</f>
        <v>0</v>
      </c>
      <c r="E111" s="2194"/>
      <c r="F111" s="2860" t="str">
        <f>IF(项目基本情况!F5="已注销","——","3.房地产抵押价值")</f>
        <v>——</v>
      </c>
      <c r="G111" s="2861"/>
      <c r="H111" s="2330" t="str">
        <f>C115</f>
        <v>总价（万元）</v>
      </c>
      <c r="I111" s="1862" t="str">
        <f>IF(F111="——","——",I103-I106)</f>
        <v>——</v>
      </c>
    </row>
    <row r="112" spans="1:35" ht="15">
      <c r="A112" s="2880" t="s">
        <v>1939</v>
      </c>
      <c r="B112" s="2881"/>
      <c r="C112" s="2293" t="str">
        <f>C111</f>
        <v>总额（万元）</v>
      </c>
      <c r="D112" s="637">
        <f>IF(D37="同一抵押权人同一抵押物续贷",C37&amp;"（未扣减，详见特别提示）",C37)</f>
        <v>0</v>
      </c>
      <c r="E112" s="2194"/>
      <c r="F112" s="2862"/>
      <c r="G112" s="2863"/>
      <c r="H112" s="2290" t="s">
        <v>1933</v>
      </c>
      <c r="I112" s="2296" t="e">
        <f>D116</f>
        <v>#VALUE!</v>
      </c>
    </row>
    <row r="113" spans="1:26" ht="15.75">
      <c r="A113" s="2880" t="s">
        <v>1940</v>
      </c>
      <c r="B113" s="2881"/>
      <c r="C113" s="2293" t="str">
        <f>C111</f>
        <v>总额（万元）</v>
      </c>
      <c r="D113" s="637">
        <f>C38</f>
        <v>0</v>
      </c>
      <c r="E113" s="2194"/>
      <c r="F113" s="2860" t="str">
        <f>IF(项目基本情况!F5="已注销及未注销","4.抵押担保权已注销时的房地产抵押价值",IF(项目基本情况!F5="已注销","3.抵押担保权已注销时的房地产抵押价值","——"))</f>
        <v>3.抵押担保权已注销时的房地产抵押价值</v>
      </c>
      <c r="G113" s="2861"/>
      <c r="H113" s="2330" t="str">
        <f>C117</f>
        <v>总价（万元）</v>
      </c>
      <c r="I113" s="1862">
        <f>IF(F113="——","——",I103-I108-I109)</f>
        <v>0</v>
      </c>
    </row>
    <row r="114" spans="1:26" ht="15">
      <c r="A114" s="2880" t="s">
        <v>1942</v>
      </c>
      <c r="B114" s="2881"/>
      <c r="C114" s="2293" t="str">
        <f>C111</f>
        <v>总额（万元）</v>
      </c>
      <c r="D114" s="637">
        <f>C39</f>
        <v>0</v>
      </c>
      <c r="E114" s="2194"/>
      <c r="F114" s="2862"/>
      <c r="G114" s="2863"/>
      <c r="H114" s="2290" t="s">
        <v>1933</v>
      </c>
      <c r="I114" s="1050" t="e">
        <f>D118</f>
        <v>#DIV/0!</v>
      </c>
    </row>
    <row r="115" spans="1:26" ht="15.75">
      <c r="A115" s="2919" t="str">
        <f>IF(项目基本情况!F5="已注销","——","3.房地产抵押价值")</f>
        <v>——</v>
      </c>
      <c r="B115" s="2920"/>
      <c r="C115" s="2290" t="str">
        <f>B102</f>
        <v>总价（万元）</v>
      </c>
      <c r="D115" s="1051" t="str">
        <f>IF(A115="——","——",D109-D111)</f>
        <v>——</v>
      </c>
      <c r="E115" s="2194"/>
      <c r="F115" s="2860" t="str">
        <f>IF(项目基本情况!G5="抵押净值",IF(OR(项目基本情况!F5="已注销",项目基本情况!F5="房地产抵押价值"),"4.抵押净值","5.抵押净值"),"——")</f>
        <v>——</v>
      </c>
      <c r="G115" s="2861"/>
      <c r="H115" s="2290" t="str">
        <f>C119</f>
        <v>总价（万元）</v>
      </c>
      <c r="I115" s="1862" t="str">
        <f>IF(F115="——","——",N60)</f>
        <v>——</v>
      </c>
    </row>
    <row r="116" spans="1:26" ht="15.75" thickBot="1">
      <c r="A116" s="2919"/>
      <c r="B116" s="2920"/>
      <c r="C116" s="2290" t="s">
        <v>1995</v>
      </c>
      <c r="D116" s="1052" t="e">
        <f>ROUND(IF(D115=D109,D110,IF(H19="元",D115/B124,D115*10000/B124)),0)</f>
        <v>#VALUE!</v>
      </c>
      <c r="E116" s="2194"/>
      <c r="F116" s="2953"/>
      <c r="G116" s="2954"/>
      <c r="H116" s="2298" t="s">
        <v>1995</v>
      </c>
      <c r="I116" s="1864" t="str">
        <f>D120</f>
        <v>——</v>
      </c>
    </row>
    <row r="117" spans="1:26" ht="15.75">
      <c r="A117" s="2919" t="str">
        <f>IF(项目基本情况!F5="已注销及未注销","4.抵押担保权已注销时的房地产抵押价值",IF(项目基本情况!F5="已注销","3.抵押担保权已注销时的房地产抵押价值","——"))</f>
        <v>3.抵押担保权已注销时的房地产抵押价值</v>
      </c>
      <c r="B117" s="2920"/>
      <c r="C117" s="2290" t="str">
        <f>B102</f>
        <v>总价（万元）</v>
      </c>
      <c r="D117" s="1051">
        <f>IF(A117="——","——",D109-D113-D114)</f>
        <v>0</v>
      </c>
      <c r="E117" s="2194"/>
      <c r="F117" s="2856"/>
      <c r="G117" s="2856"/>
      <c r="H117" s="2898"/>
      <c r="I117" s="2898"/>
      <c r="N117" s="55"/>
      <c r="O117" s="55"/>
    </row>
    <row r="118" spans="1:26" s="1845" customFormat="1" ht="15">
      <c r="A118" s="2919"/>
      <c r="B118" s="2920"/>
      <c r="C118" s="2290" t="s">
        <v>1995</v>
      </c>
      <c r="D118" s="1052" t="e">
        <f>IF(A117="——","——",IF(H19="元",ROUND(D117/B124,0),ROUND(D117*10000/B124,0)))</f>
        <v>#DIV/0!</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1996</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1944</v>
      </c>
      <c r="B122" s="2869" t="s">
        <v>1997</v>
      </c>
      <c r="C122" s="2869" t="s">
        <v>1998</v>
      </c>
      <c r="D122" s="2876" t="s">
        <v>1947</v>
      </c>
      <c r="E122" s="2877"/>
      <c r="F122" s="2867" t="s">
        <v>1999</v>
      </c>
      <c r="G122" s="2867"/>
      <c r="H122" s="2867" t="s">
        <v>1948</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1952</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1952</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
      </c>
      <c r="B128" s="2895"/>
      <c r="C128" s="2895"/>
      <c r="D128" s="2896" t="str">
        <f>I111</f>
        <v>——</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1952</v>
      </c>
      <c r="B129" s="2867"/>
      <c r="C129" s="2867"/>
      <c r="D129" s="2956" t="e">
        <f>I112</f>
        <v>#VALUE!</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抵押担保权已注销时的房地产抵押价值</v>
      </c>
      <c r="B130" s="2895"/>
      <c r="C130" s="2895"/>
      <c r="D130" s="2851">
        <f>I113</f>
        <v>0</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1952</v>
      </c>
      <c r="B131" s="2867"/>
      <c r="C131" s="2951"/>
      <c r="D131" s="2897" t="e">
        <f>I114</f>
        <v>#DIV/0!</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1952</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243</v>
      </c>
      <c r="C2" s="163" t="str">
        <f>'数据-取费表'!B3</f>
        <v>万元</v>
      </c>
      <c r="D2" s="2332" t="s">
        <v>1254</v>
      </c>
      <c r="E2" s="1546" t="e">
        <f ca="1">SUMIF(INDIRECT("'"&amp;G2&amp;"'"&amp;"!A:A"),"承租人权益价值",INDIRECT("'"&amp;G2&amp;"'"&amp;"!c:c"))</f>
        <v>#REF!</v>
      </c>
      <c r="F2" s="2333" t="str">
        <f>C2</f>
        <v>万元</v>
      </c>
      <c r="G2" s="1906"/>
    </row>
    <row r="3" spans="1:7" s="164" customFormat="1" ht="18" customHeight="1" thickBot="1">
      <c r="A3" s="167" t="s">
        <v>2002</v>
      </c>
      <c r="B3" s="168">
        <f ca="1">ROUND(C52/IF(B1="仅计算典型户型",'数据-取费表'!E5,'数据-取费表'!B5),0)</f>
        <v>10674</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954</v>
      </c>
      <c r="B9" s="181" t="s">
        <v>2016</v>
      </c>
      <c r="C9" s="1537">
        <f>ROUND(D9*E9,0)</f>
        <v>0</v>
      </c>
      <c r="D9" s="1538">
        <f>IF('数据-取费表'!B10="住宅",IF(B1="仅计算典型户型",'数据-取费表'!E5,'数据-取费表'!B5),0)</f>
        <v>227.54</v>
      </c>
      <c r="E9" s="1537">
        <f>'数据-取费表'!E11</f>
        <v>0</v>
      </c>
      <c r="F9" s="1535"/>
      <c r="G9" s="182"/>
    </row>
    <row r="10" spans="1:7" s="175" customFormat="1" ht="13.5" customHeight="1">
      <c r="A10" s="1304" t="s">
        <v>955</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0</v>
      </c>
      <c r="D19" s="1541">
        <f>IF(B1="仅计算典型户型",'数据-取费表'!E5,'数据-取费表'!B5)</f>
        <v>227.54</v>
      </c>
      <c r="E19" s="195">
        <f>'数据-取费表'!E15</f>
        <v>0</v>
      </c>
      <c r="F19" s="196"/>
      <c r="G19" s="2334"/>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792977</v>
      </c>
      <c r="D33" s="183"/>
      <c r="E33" s="1532"/>
      <c r="F33" s="191"/>
      <c r="G33" s="184"/>
    </row>
    <row r="34" spans="1:7" s="206" customFormat="1" ht="13.5" customHeight="1">
      <c r="A34" s="176" t="s">
        <v>2038</v>
      </c>
      <c r="B34" s="177" t="s">
        <v>2060</v>
      </c>
      <c r="C34" s="199">
        <f>IF(B1="仅计算典型户型",'数据-取费表'!F18,'数据-取费表'!E18)</f>
        <v>682620</v>
      </c>
      <c r="D34" s="1533"/>
      <c r="E34" s="199"/>
      <c r="F34" s="1544" t="str">
        <f>IF('数据-取费表'!B25=0,"",'数据-取费表'!E20)</f>
        <v/>
      </c>
      <c r="G34" s="179"/>
    </row>
    <row r="35" spans="1:7" ht="13.5" customHeight="1">
      <c r="A35" s="176" t="s">
        <v>2012</v>
      </c>
      <c r="B35" s="177" t="s">
        <v>2061</v>
      </c>
      <c r="C35" s="199">
        <f>ROUND(C34*F35,0)</f>
        <v>20479</v>
      </c>
      <c r="D35" s="199"/>
      <c r="E35" s="199"/>
      <c r="F35" s="1545">
        <f>'数据-取费表'!E21</f>
        <v>0.03</v>
      </c>
      <c r="G35" s="179" t="s">
        <v>2062</v>
      </c>
    </row>
    <row r="36" spans="1:7" ht="24">
      <c r="A36" s="176" t="s">
        <v>2014</v>
      </c>
      <c r="B36" s="177" t="s">
        <v>2063</v>
      </c>
      <c r="C36" s="199">
        <f>ROUND(IF('数据-取费表'!B10="住宅",C34*F36,0),0)</f>
        <v>34131</v>
      </c>
      <c r="D36" s="199"/>
      <c r="E36" s="199"/>
      <c r="F36" s="1545">
        <f>'数据-取费表'!E22</f>
        <v>0.05</v>
      </c>
      <c r="G36" s="207" t="s">
        <v>2064</v>
      </c>
    </row>
    <row r="37" spans="1:7" s="206" customFormat="1" ht="13.5" customHeight="1">
      <c r="A37" s="176" t="s">
        <v>2045</v>
      </c>
      <c r="B37" s="177" t="s">
        <v>2065</v>
      </c>
      <c r="C37" s="199">
        <f>ROUND(E37*D37,0)</f>
        <v>45508</v>
      </c>
      <c r="D37" s="1533">
        <f>IF(B1="仅计算典型户型",'数据-取费表'!E5,'数据-取费表'!B5)</f>
        <v>227.54</v>
      </c>
      <c r="E37" s="199">
        <f>'数据-取费表'!E23</f>
        <v>200</v>
      </c>
      <c r="F37" s="1545"/>
      <c r="G37" s="208" t="s">
        <v>2066</v>
      </c>
    </row>
    <row r="38" spans="1:7" ht="13.5" customHeight="1">
      <c r="A38" s="176" t="s">
        <v>2067</v>
      </c>
      <c r="B38" s="177" t="s">
        <v>2068</v>
      </c>
      <c r="C38" s="199">
        <f>ROUND(C34*F38,0)</f>
        <v>10239</v>
      </c>
      <c r="D38" s="199"/>
      <c r="E38" s="199"/>
      <c r="F38" s="1545">
        <f>'数据-取费表'!E24</f>
        <v>1.4999999999999999E-2</v>
      </c>
      <c r="G38" s="179" t="s">
        <v>2062</v>
      </c>
    </row>
    <row r="39" spans="1:7" s="175" customFormat="1" ht="13.5" customHeight="1">
      <c r="A39" s="204" t="s">
        <v>2027</v>
      </c>
      <c r="B39" s="173" t="s">
        <v>2030</v>
      </c>
      <c r="C39" s="183">
        <f>ROUND(C33*F20,0)</f>
        <v>15860</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48306</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47359</v>
      </c>
      <c r="D42" s="188"/>
      <c r="E42" s="188"/>
      <c r="F42" s="189"/>
      <c r="G42" s="2984" t="s">
        <v>2072</v>
      </c>
    </row>
    <row r="43" spans="1:7" ht="13.5" customHeight="1">
      <c r="A43" s="176" t="s">
        <v>2012</v>
      </c>
      <c r="B43" s="177" t="s">
        <v>2041</v>
      </c>
      <c r="C43" s="188">
        <f ca="1">ROUND(IF('数据-取费表'!B23&lt;=1,C39*F22*'数据-取费表'!B22/2,C39*(POWER((1+F22),'数据-取费表'!B22/2)-1)),0)</f>
        <v>947</v>
      </c>
      <c r="D43" s="188"/>
      <c r="E43" s="188"/>
      <c r="F43" s="189"/>
      <c r="G43" s="2985"/>
    </row>
    <row r="44" spans="1:7" ht="13.5" customHeight="1">
      <c r="A44" s="176" t="s">
        <v>2014</v>
      </c>
      <c r="B44" s="177" t="s">
        <v>2043</v>
      </c>
      <c r="C44" s="188">
        <f ca="1">ROUND(IF('数据-取费表'!B23&lt;=1,C40*F22*'数据-取费表'!B22/2,C40*(POWER((1+F22),'数据-取费表'!B22/2)-1)),4)</f>
        <v>1.1999999999999999E-3</v>
      </c>
      <c r="D44" s="188"/>
      <c r="E44" s="188"/>
      <c r="F44" s="189"/>
      <c r="G44" s="2986"/>
    </row>
    <row r="45" spans="1:7" s="175" customFormat="1" ht="13.5" customHeight="1">
      <c r="A45" s="204" t="s">
        <v>2036</v>
      </c>
      <c r="B45" s="194" t="s">
        <v>2048</v>
      </c>
      <c r="C45" s="195">
        <f>C46</f>
        <v>161767</v>
      </c>
      <c r="D45" s="185">
        <f>C47</f>
        <v>4.0000000000000001E-3</v>
      </c>
      <c r="E45" s="186" t="s">
        <v>2070</v>
      </c>
      <c r="F45" s="196"/>
      <c r="G45" s="197" t="s">
        <v>2073</v>
      </c>
    </row>
    <row r="46" spans="1:7" s="175" customFormat="1" ht="13.5" customHeight="1">
      <c r="A46" s="176" t="s">
        <v>2038</v>
      </c>
      <c r="B46" s="198" t="s">
        <v>2074</v>
      </c>
      <c r="C46" s="199">
        <f>ROUND((C33+C39)*F27,0)</f>
        <v>161767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1105708</v>
      </c>
      <c r="D49" s="183"/>
      <c r="E49" s="183"/>
      <c r="F49" s="210"/>
      <c r="G49" s="184" t="s">
        <v>2080</v>
      </c>
    </row>
    <row r="50" spans="1:7" s="206" customFormat="1" ht="24">
      <c r="A50" s="1305" t="s">
        <v>2081</v>
      </c>
      <c r="B50" s="173" t="s">
        <v>2082</v>
      </c>
      <c r="C50" s="183"/>
      <c r="D50" s="183"/>
      <c r="E50" s="183"/>
      <c r="F50" s="210">
        <f>IF('数据-取费表'!B25=0,'数据-取费表'!E20,1)</f>
        <v>0.83299999999999996</v>
      </c>
      <c r="G50" s="197" t="s">
        <v>2083</v>
      </c>
    </row>
    <row r="51" spans="1:7" ht="16.5" customHeight="1">
      <c r="A51" s="1305" t="s">
        <v>2084</v>
      </c>
      <c r="B51" s="173" t="s">
        <v>2085</v>
      </c>
      <c r="C51" s="183">
        <f ca="1">ROUND(C49*F50,0)</f>
        <v>921055</v>
      </c>
      <c r="D51" s="183"/>
      <c r="E51" s="183"/>
      <c r="F51" s="210"/>
      <c r="G51" s="184" t="s">
        <v>2086</v>
      </c>
    </row>
    <row r="52" spans="1:7" s="172" customFormat="1" ht="16.5" thickBot="1">
      <c r="A52" s="211" t="s">
        <v>2087</v>
      </c>
      <c r="B52" s="212"/>
      <c r="C52" s="213">
        <f ca="1">C31+C51</f>
        <v>2428737</v>
      </c>
      <c r="D52" s="212"/>
      <c r="E52" s="212"/>
      <c r="F52" s="212"/>
      <c r="G52" s="214"/>
    </row>
    <row r="55" spans="1:7" ht="15">
      <c r="B55" s="216" t="s">
        <v>2088</v>
      </c>
      <c r="C55" s="217"/>
    </row>
    <row r="56" spans="1:7">
      <c r="B56" s="219" t="s">
        <v>2089</v>
      </c>
      <c r="C56" s="220">
        <f ca="1">ROUND(C51/C52,3)</f>
        <v>0.379</v>
      </c>
    </row>
    <row r="57" spans="1:7">
      <c r="B57" s="219" t="s">
        <v>2090</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E29" sqref="E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1526</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67045</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2990" t="s">
        <v>2337</v>
      </c>
      <c r="D4" s="2991"/>
      <c r="E4" s="2992" t="s">
        <v>2338</v>
      </c>
      <c r="F4" s="2993"/>
      <c r="G4" s="2990" t="s">
        <v>2339</v>
      </c>
      <c r="H4" s="2991"/>
      <c r="I4" s="2990" t="s">
        <v>2340</v>
      </c>
      <c r="J4" s="2991"/>
      <c r="K4" s="2395"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2987" t="s">
        <v>2339</v>
      </c>
      <c r="AC4" s="2987" t="s">
        <v>2340</v>
      </c>
    </row>
    <row r="5" spans="1:29" ht="15">
      <c r="A5" s="383"/>
      <c r="B5" s="384"/>
      <c r="C5" s="3009" t="s">
        <v>2343</v>
      </c>
      <c r="D5" s="3010"/>
      <c r="E5" s="3007" t="s">
        <v>2834</v>
      </c>
      <c r="F5" s="3008"/>
      <c r="G5" s="3007" t="s">
        <v>2834</v>
      </c>
      <c r="H5" s="3008"/>
      <c r="I5" s="3007" t="s">
        <v>2834</v>
      </c>
      <c r="J5" s="3008"/>
      <c r="K5" s="2396"/>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2396" t="s">
        <v>2348</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2349</v>
      </c>
      <c r="B7" s="388"/>
      <c r="C7" s="2753">
        <f>'数据-取费表'!B2</f>
        <v>43180</v>
      </c>
      <c r="D7" s="2754">
        <v>100</v>
      </c>
      <c r="E7" s="391">
        <v>43132</v>
      </c>
      <c r="F7" s="2755">
        <f>SUMIF(58:58,YEAR(E7)&amp;"-"&amp;MONTH(E7),59:59)</f>
        <v>100.25</v>
      </c>
      <c r="G7" s="391">
        <v>42979</v>
      </c>
      <c r="H7" s="2754">
        <f>SUMIF(58:58,YEAR(G7)&amp;"-"&amp;MONTH(G7),59:59)</f>
        <v>101.5</v>
      </c>
      <c r="I7" s="391">
        <v>42948</v>
      </c>
      <c r="J7" s="2754">
        <f>SUMIF(58:58,YEAR(I7)&amp;"-"&amp;MONTH(I7),59:59)</f>
        <v>101.75</v>
      </c>
      <c r="K7" s="2397"/>
      <c r="L7" s="1245"/>
      <c r="M7" s="1246"/>
      <c r="N7" s="1246"/>
      <c r="O7" s="1246"/>
      <c r="P7" s="3022" t="s">
        <v>2350</v>
      </c>
      <c r="Q7" s="3024"/>
      <c r="R7" s="749" t="s">
        <v>34</v>
      </c>
      <c r="S7" s="750">
        <f t="shared" ref="S7:S15" si="0">F7</f>
        <v>100.25</v>
      </c>
      <c r="T7" s="749" t="s">
        <v>34</v>
      </c>
      <c r="U7" s="750">
        <f t="shared" ref="U7:U15" si="1">H7</f>
        <v>101.5</v>
      </c>
      <c r="V7" s="749" t="s">
        <v>34</v>
      </c>
      <c r="W7" s="750">
        <f t="shared" ref="W7:W15" si="2">J7</f>
        <v>101.75</v>
      </c>
      <c r="X7" s="751"/>
      <c r="Y7" s="3022" t="s">
        <v>2350</v>
      </c>
      <c r="Z7" s="3023"/>
      <c r="AA7" s="752">
        <f>D7/F7</f>
        <v>0.99750623441396513</v>
      </c>
      <c r="AB7" s="752">
        <f>D7/H7</f>
        <v>0.98522167487684731</v>
      </c>
      <c r="AC7" s="752">
        <f>D7/J7</f>
        <v>0.98280098280098283</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22" t="s">
        <v>2353</v>
      </c>
      <c r="Q8" s="3023"/>
      <c r="R8" s="749" t="s">
        <v>34</v>
      </c>
      <c r="S8" s="750">
        <f t="shared" si="0"/>
        <v>100</v>
      </c>
      <c r="T8" s="749" t="s">
        <v>34</v>
      </c>
      <c r="U8" s="750">
        <f t="shared" si="1"/>
        <v>100</v>
      </c>
      <c r="V8" s="749" t="s">
        <v>34</v>
      </c>
      <c r="W8" s="750">
        <f t="shared" si="2"/>
        <v>100</v>
      </c>
      <c r="X8" s="751"/>
      <c r="Y8" s="3022" t="s">
        <v>2353</v>
      </c>
      <c r="Z8" s="3023"/>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25"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5"/>
      <c r="Q11" s="1887"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5"/>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5"/>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5"/>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2866</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3028" t="s">
        <v>2361</v>
      </c>
      <c r="Q15" s="1899" t="str">
        <f t="shared" si="6"/>
        <v>居住社区成熟度</v>
      </c>
      <c r="R15" s="753" t="s">
        <v>28</v>
      </c>
      <c r="S15" s="754">
        <f t="shared" si="0"/>
        <v>100</v>
      </c>
      <c r="T15" s="753" t="s">
        <v>28</v>
      </c>
      <c r="U15" s="754">
        <f t="shared" si="1"/>
        <v>100</v>
      </c>
      <c r="V15" s="753" t="s">
        <v>28</v>
      </c>
      <c r="W15" s="754">
        <f t="shared" si="2"/>
        <v>100</v>
      </c>
      <c r="X15" s="1900"/>
      <c r="Y15" s="3015" t="s">
        <v>2361</v>
      </c>
      <c r="Z15" s="1902" t="str">
        <f t="shared" si="7"/>
        <v>居住社区成熟度</v>
      </c>
      <c r="AA15" s="1903">
        <f t="shared" si="3"/>
        <v>1</v>
      </c>
      <c r="AB15" s="1903">
        <f t="shared" si="4"/>
        <v>1</v>
      </c>
      <c r="AC15" s="1903">
        <f t="shared" si="5"/>
        <v>1</v>
      </c>
    </row>
    <row r="16" spans="1:29" ht="15">
      <c r="A16" s="408"/>
      <c r="B16" s="425"/>
      <c r="C16" s="426" t="s">
        <v>29</v>
      </c>
      <c r="D16" s="427"/>
      <c r="E16" s="426" t="s">
        <v>29</v>
      </c>
      <c r="F16" s="429"/>
      <c r="G16" s="426" t="s">
        <v>29</v>
      </c>
      <c r="H16" s="430"/>
      <c r="I16" s="426" t="s">
        <v>29</v>
      </c>
      <c r="J16" s="427"/>
      <c r="K16" s="2404"/>
      <c r="L16" s="1253"/>
      <c r="M16" s="1244"/>
      <c r="N16" s="1244"/>
      <c r="O16" s="1244"/>
      <c r="P16" s="3029"/>
      <c r="Q16" s="1899"/>
      <c r="R16" s="753"/>
      <c r="S16" s="754"/>
      <c r="T16" s="753"/>
      <c r="U16" s="754"/>
      <c r="V16" s="753"/>
      <c r="W16" s="754"/>
      <c r="X16" s="1900"/>
      <c r="Y16" s="3016"/>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2867</v>
      </c>
      <c r="H17" s="435">
        <f>SUMIF(78:78,G18,79:79)-SUMIF(78:78,C18,79:79)+100</f>
        <v>100</v>
      </c>
      <c r="I17" s="432" t="s">
        <v>2867</v>
      </c>
      <c r="J17" s="435">
        <f>SUMIF(78:78,I18,79:79)-SUMIF(78:78,C18,79:79)+100</f>
        <v>100</v>
      </c>
      <c r="K17" s="424"/>
      <c r="L17" s="1253"/>
      <c r="M17" s="1244"/>
      <c r="N17" s="1244"/>
      <c r="O17" s="1244"/>
      <c r="P17" s="3029"/>
      <c r="Q17" s="1899" t="str">
        <f>B17</f>
        <v>交通便捷度</v>
      </c>
      <c r="R17" s="753" t="s">
        <v>28</v>
      </c>
      <c r="S17" s="754">
        <f>F17</f>
        <v>100</v>
      </c>
      <c r="T17" s="753" t="s">
        <v>28</v>
      </c>
      <c r="U17" s="754">
        <f>H17</f>
        <v>100</v>
      </c>
      <c r="V17" s="753" t="s">
        <v>28</v>
      </c>
      <c r="W17" s="754">
        <f>J17</f>
        <v>100</v>
      </c>
      <c r="X17" s="1900"/>
      <c r="Y17" s="3016"/>
      <c r="Z17" s="1902" t="str">
        <f>Q17</f>
        <v>交通便捷度</v>
      </c>
      <c r="AA17" s="1903">
        <f t="shared" si="3"/>
        <v>1</v>
      </c>
      <c r="AB17" s="1903">
        <f t="shared" si="4"/>
        <v>1</v>
      </c>
      <c r="AC17" s="1903">
        <f t="shared" si="5"/>
        <v>1</v>
      </c>
    </row>
    <row r="18" spans="1:29" ht="15">
      <c r="A18" s="408"/>
      <c r="B18" s="436"/>
      <c r="C18" s="437" t="s">
        <v>29</v>
      </c>
      <c r="D18" s="430"/>
      <c r="E18" s="437" t="s">
        <v>29</v>
      </c>
      <c r="F18" s="433"/>
      <c r="G18" s="437" t="s">
        <v>29</v>
      </c>
      <c r="H18" s="427"/>
      <c r="I18" s="437" t="s">
        <v>29</v>
      </c>
      <c r="J18" s="427"/>
      <c r="K18" s="2404"/>
      <c r="L18" s="1253"/>
      <c r="M18" s="1244"/>
      <c r="N18" s="1244"/>
      <c r="O18" s="1244"/>
      <c r="P18" s="3029"/>
      <c r="Q18" s="1899"/>
      <c r="R18" s="753"/>
      <c r="S18" s="754"/>
      <c r="T18" s="753"/>
      <c r="U18" s="754"/>
      <c r="V18" s="753"/>
      <c r="W18" s="754"/>
      <c r="X18" s="1900"/>
      <c r="Y18" s="3016"/>
      <c r="Z18" s="1902"/>
      <c r="AA18" s="1903">
        <v>1</v>
      </c>
      <c r="AB18" s="1903">
        <v>1</v>
      </c>
      <c r="AC18" s="1903">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3029"/>
      <c r="Q19" s="1899" t="str">
        <f>B19</f>
        <v>公共配套设施</v>
      </c>
      <c r="R19" s="753" t="s">
        <v>28</v>
      </c>
      <c r="S19" s="754">
        <f>F19</f>
        <v>100</v>
      </c>
      <c r="T19" s="753" t="s">
        <v>28</v>
      </c>
      <c r="U19" s="754">
        <f>H19</f>
        <v>100</v>
      </c>
      <c r="V19" s="753" t="s">
        <v>28</v>
      </c>
      <c r="W19" s="754">
        <f>J19</f>
        <v>100</v>
      </c>
      <c r="X19" s="1900"/>
      <c r="Y19" s="3016"/>
      <c r="Z19" s="1902" t="str">
        <f>Q19</f>
        <v>公共配套设施</v>
      </c>
      <c r="AA19" s="1903">
        <f t="shared" si="3"/>
        <v>1</v>
      </c>
      <c r="AB19" s="1903">
        <f t="shared" si="4"/>
        <v>1</v>
      </c>
      <c r="AC19" s="1903">
        <f t="shared" si="5"/>
        <v>1</v>
      </c>
    </row>
    <row r="20" spans="1:29" ht="15">
      <c r="A20" s="408"/>
      <c r="B20" s="436"/>
      <c r="C20" s="426" t="s">
        <v>29</v>
      </c>
      <c r="D20" s="427"/>
      <c r="E20" s="426" t="s">
        <v>29</v>
      </c>
      <c r="F20" s="429"/>
      <c r="G20" s="426" t="s">
        <v>29</v>
      </c>
      <c r="H20" s="427"/>
      <c r="I20" s="426" t="s">
        <v>29</v>
      </c>
      <c r="J20" s="427"/>
      <c r="K20" s="2404"/>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3029"/>
      <c r="Q21" s="1899" t="str">
        <f>B21</f>
        <v>基础设施水平</v>
      </c>
      <c r="R21" s="753" t="s">
        <v>28</v>
      </c>
      <c r="S21" s="754">
        <f>F21</f>
        <v>100</v>
      </c>
      <c r="T21" s="753" t="s">
        <v>28</v>
      </c>
      <c r="U21" s="754">
        <f>H21</f>
        <v>100</v>
      </c>
      <c r="V21" s="753" t="s">
        <v>28</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7"/>
      <c r="C22" s="437" t="s">
        <v>2836</v>
      </c>
      <c r="D22" s="427"/>
      <c r="E22" s="437" t="s">
        <v>2836</v>
      </c>
      <c r="F22" s="429"/>
      <c r="G22" s="437" t="s">
        <v>2836</v>
      </c>
      <c r="H22" s="427"/>
      <c r="I22" s="437" t="s">
        <v>2836</v>
      </c>
      <c r="J22" s="427"/>
      <c r="K22" s="2408"/>
      <c r="L22" s="1253"/>
      <c r="M22" s="1244"/>
      <c r="N22" s="1244"/>
      <c r="O22" s="1244"/>
      <c r="P22" s="3029"/>
      <c r="Q22" s="1899"/>
      <c r="R22" s="753"/>
      <c r="S22" s="754"/>
      <c r="T22" s="753"/>
      <c r="U22" s="754"/>
      <c r="V22" s="753"/>
      <c r="W22" s="754"/>
      <c r="X22" s="1900"/>
      <c r="Y22" s="3016"/>
      <c r="Z22" s="1902"/>
      <c r="AA22" s="1903">
        <v>1</v>
      </c>
      <c r="AB22" s="1903">
        <v>1</v>
      </c>
      <c r="AC22" s="1903">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3029"/>
      <c r="Q23" s="1899" t="str">
        <f>B23</f>
        <v>自然及人文环境</v>
      </c>
      <c r="R23" s="753" t="s">
        <v>28</v>
      </c>
      <c r="S23" s="754">
        <f>F23</f>
        <v>100</v>
      </c>
      <c r="T23" s="753" t="s">
        <v>28</v>
      </c>
      <c r="U23" s="754">
        <f>H23</f>
        <v>100</v>
      </c>
      <c r="V23" s="753" t="s">
        <v>28</v>
      </c>
      <c r="W23" s="754">
        <f>J23</f>
        <v>100</v>
      </c>
      <c r="X23" s="1900"/>
      <c r="Y23" s="3016"/>
      <c r="Z23" s="1902" t="str">
        <f>Q23</f>
        <v>自然及人文环境</v>
      </c>
      <c r="AA23" s="1903">
        <f t="shared" si="3"/>
        <v>1</v>
      </c>
      <c r="AB23" s="1903">
        <f t="shared" si="4"/>
        <v>1</v>
      </c>
      <c r="AC23" s="1903">
        <f t="shared" si="5"/>
        <v>1</v>
      </c>
    </row>
    <row r="24" spans="1:29" ht="15">
      <c r="A24" s="408"/>
      <c r="B24" s="436"/>
      <c r="C24" s="426" t="s">
        <v>29</v>
      </c>
      <c r="D24" s="427"/>
      <c r="E24" s="426" t="s">
        <v>29</v>
      </c>
      <c r="F24" s="429"/>
      <c r="G24" s="426" t="s">
        <v>29</v>
      </c>
      <c r="H24" s="427"/>
      <c r="I24" s="426" t="s">
        <v>29</v>
      </c>
      <c r="J24" s="427"/>
      <c r="K24" s="2404"/>
      <c r="L24" s="1253"/>
      <c r="M24" s="1244"/>
      <c r="N24" s="1244"/>
      <c r="O24" s="1244"/>
      <c r="P24" s="3029"/>
      <c r="Q24" s="1899"/>
      <c r="R24" s="753"/>
      <c r="S24" s="754"/>
      <c r="T24" s="753"/>
      <c r="U24" s="754"/>
      <c r="V24" s="753"/>
      <c r="W24" s="754"/>
      <c r="X24" s="1900"/>
      <c r="Y24" s="3016"/>
      <c r="Z24" s="1902"/>
      <c r="AA24" s="1903">
        <v>1</v>
      </c>
      <c r="AB24" s="1903">
        <v>1</v>
      </c>
      <c r="AC24" s="1903">
        <v>1</v>
      </c>
    </row>
    <row r="25" spans="1:29" ht="15">
      <c r="A25" s="408"/>
      <c r="B25" s="402" t="s">
        <v>2362</v>
      </c>
      <c r="C25" s="441">
        <v>11</v>
      </c>
      <c r="D25" s="415">
        <v>100</v>
      </c>
      <c r="E25" s="2409">
        <v>9</v>
      </c>
      <c r="F25" s="442">
        <f>SUMIF(86:86,E25,87:87)-SUMIF(86:86,C25,87:87)+100</f>
        <v>99</v>
      </c>
      <c r="G25" s="2410">
        <v>7</v>
      </c>
      <c r="H25" s="415">
        <f>SUMIF(86:86,G25,87:87)-SUMIF(86:86,C25,87:87)+100</f>
        <v>98</v>
      </c>
      <c r="I25" s="2409">
        <v>16</v>
      </c>
      <c r="J25" s="415">
        <f>SUMIF(86:86,I25,87:87)-SUMIF(86:86,C25,87:87)+100</f>
        <v>102.5</v>
      </c>
      <c r="K25" s="406">
        <v>0.5</v>
      </c>
      <c r="L25" s="1253"/>
      <c r="M25" s="1244"/>
      <c r="N25" s="1244"/>
      <c r="O25" s="1244"/>
      <c r="P25" s="3029"/>
      <c r="Q25" s="1899" t="str">
        <f t="shared" ref="Q25:Q46" si="11">B25</f>
        <v>楼层-1</v>
      </c>
      <c r="R25" s="753" t="s">
        <v>28</v>
      </c>
      <c r="S25" s="754">
        <f>F25</f>
        <v>99</v>
      </c>
      <c r="T25" s="753" t="s">
        <v>28</v>
      </c>
      <c r="U25" s="754">
        <f>H25</f>
        <v>98</v>
      </c>
      <c r="V25" s="753" t="s">
        <v>28</v>
      </c>
      <c r="W25" s="754">
        <f>J25</f>
        <v>102.5</v>
      </c>
      <c r="X25" s="1900"/>
      <c r="Y25" s="3016"/>
      <c r="Z25" s="1902" t="str">
        <f>Q25</f>
        <v>楼层-1</v>
      </c>
      <c r="AA25" s="1903">
        <f t="shared" si="3"/>
        <v>1.0101010101010102</v>
      </c>
      <c r="AB25" s="1903">
        <f t="shared" si="4"/>
        <v>1.0204081632653061</v>
      </c>
      <c r="AC25" s="1903">
        <f t="shared" si="5"/>
        <v>0.97560975609756095</v>
      </c>
    </row>
    <row r="26" spans="1:29" ht="15">
      <c r="A26" s="408"/>
      <c r="B26" s="402" t="s">
        <v>2363</v>
      </c>
      <c r="C26" s="441" t="s">
        <v>2856</v>
      </c>
      <c r="D26" s="415">
        <v>100</v>
      </c>
      <c r="E26" s="2409" t="s">
        <v>2843</v>
      </c>
      <c r="F26" s="442">
        <f>SUMIF(88:88,E26,89:89)-SUMIF(88:88,C26,89:89)+100</f>
        <v>102</v>
      </c>
      <c r="G26" s="2410" t="s">
        <v>2843</v>
      </c>
      <c r="H26" s="415">
        <f>SUMIF(88:88,G26,89:89)-SUMIF(88:88,C26,89:89)+100</f>
        <v>102</v>
      </c>
      <c r="I26" s="2409" t="s">
        <v>2856</v>
      </c>
      <c r="J26" s="415">
        <f>SUMIF(88:88,I26,89:89)-SUMIF(88:88,C26,89:89)+100</f>
        <v>100</v>
      </c>
      <c r="K26" s="406">
        <v>1</v>
      </c>
      <c r="L26" s="1253"/>
      <c r="M26" s="1244"/>
      <c r="N26" s="1244"/>
      <c r="O26" s="1244"/>
      <c r="P26" s="3029"/>
      <c r="Q26" s="1899" t="str">
        <f t="shared" si="11"/>
        <v>朝向</v>
      </c>
      <c r="R26" s="753" t="s">
        <v>28</v>
      </c>
      <c r="S26" s="754">
        <f>F26</f>
        <v>102</v>
      </c>
      <c r="T26" s="753" t="s">
        <v>28</v>
      </c>
      <c r="U26" s="754">
        <f>H26</f>
        <v>102</v>
      </c>
      <c r="V26" s="753" t="s">
        <v>28</v>
      </c>
      <c r="W26" s="754">
        <f>J26</f>
        <v>100</v>
      </c>
      <c r="X26" s="1900"/>
      <c r="Y26" s="3016"/>
      <c r="Z26" s="1902" t="str">
        <f>Q26</f>
        <v>朝向</v>
      </c>
      <c r="AA26" s="1903">
        <f t="shared" si="3"/>
        <v>0.98039215686274506</v>
      </c>
      <c r="AB26" s="1903">
        <f t="shared" si="4"/>
        <v>0.98039215686274506</v>
      </c>
      <c r="AC26" s="1903">
        <f t="shared" si="5"/>
        <v>1</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9"/>
      <c r="Q27" s="1887" t="str">
        <f t="shared" si="11"/>
        <v>道路级别</v>
      </c>
      <c r="R27" s="749" t="s">
        <v>28</v>
      </c>
      <c r="S27" s="750">
        <f>F27</f>
        <v>100</v>
      </c>
      <c r="T27" s="749" t="s">
        <v>28</v>
      </c>
      <c r="U27" s="750">
        <f>H27</f>
        <v>100</v>
      </c>
      <c r="V27" s="749" t="s">
        <v>28</v>
      </c>
      <c r="W27" s="750">
        <f>J27</f>
        <v>100</v>
      </c>
      <c r="X27" s="751"/>
      <c r="Y27" s="3016"/>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9"/>
      <c r="Q28" s="1899">
        <f t="shared" si="11"/>
        <v>111</v>
      </c>
      <c r="R28" s="753" t="s">
        <v>28</v>
      </c>
      <c r="S28" s="754">
        <f t="shared" ref="S28:S46" si="12">F28</f>
        <v>100</v>
      </c>
      <c r="T28" s="753" t="s">
        <v>28</v>
      </c>
      <c r="U28" s="754">
        <f t="shared" ref="U28:U46" si="13">H28</f>
        <v>100</v>
      </c>
      <c r="V28" s="753" t="s">
        <v>28</v>
      </c>
      <c r="W28" s="754">
        <f t="shared" ref="W28:W46" si="14">J28</f>
        <v>100</v>
      </c>
      <c r="X28" s="1900"/>
      <c r="Y28" s="3016"/>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9"/>
      <c r="Q29" s="1899">
        <f t="shared" si="11"/>
        <v>111</v>
      </c>
      <c r="R29" s="753" t="s">
        <v>28</v>
      </c>
      <c r="S29" s="754">
        <f t="shared" si="12"/>
        <v>100</v>
      </c>
      <c r="T29" s="753" t="s">
        <v>28</v>
      </c>
      <c r="U29" s="754">
        <f t="shared" si="13"/>
        <v>100</v>
      </c>
      <c r="V29" s="753" t="s">
        <v>28</v>
      </c>
      <c r="W29" s="754">
        <f t="shared" si="14"/>
        <v>100</v>
      </c>
      <c r="X29" s="1900"/>
      <c r="Y29" s="301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9"/>
      <c r="Q30" s="1899">
        <f t="shared" si="11"/>
        <v>111</v>
      </c>
      <c r="R30" s="753" t="s">
        <v>28</v>
      </c>
      <c r="S30" s="754">
        <f t="shared" si="12"/>
        <v>100</v>
      </c>
      <c r="T30" s="753" t="s">
        <v>28</v>
      </c>
      <c r="U30" s="754">
        <f t="shared" si="13"/>
        <v>100</v>
      </c>
      <c r="V30" s="753" t="s">
        <v>28</v>
      </c>
      <c r="W30" s="754">
        <f t="shared" si="14"/>
        <v>100</v>
      </c>
      <c r="X30" s="1900"/>
      <c r="Y30" s="3016"/>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9"/>
      <c r="Q31" s="1899">
        <f t="shared" si="11"/>
        <v>111</v>
      </c>
      <c r="R31" s="753" t="s">
        <v>28</v>
      </c>
      <c r="S31" s="754">
        <f t="shared" si="12"/>
        <v>100</v>
      </c>
      <c r="T31" s="753" t="s">
        <v>28</v>
      </c>
      <c r="U31" s="754">
        <f t="shared" si="13"/>
        <v>100</v>
      </c>
      <c r="V31" s="753" t="s">
        <v>28</v>
      </c>
      <c r="W31" s="754">
        <f t="shared" si="14"/>
        <v>100</v>
      </c>
      <c r="X31" s="1900"/>
      <c r="Y31" s="3016"/>
      <c r="Z31" s="1902">
        <f t="shared" si="15"/>
        <v>111</v>
      </c>
      <c r="AA31" s="1903">
        <f t="shared" si="3"/>
        <v>1</v>
      </c>
      <c r="AB31" s="1903">
        <f t="shared" si="4"/>
        <v>1</v>
      </c>
      <c r="AC31" s="1903">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3017" t="s">
        <v>2367</v>
      </c>
      <c r="Q32" s="1899" t="str">
        <f t="shared" si="11"/>
        <v>建筑类型</v>
      </c>
      <c r="R32" s="753" t="s">
        <v>28</v>
      </c>
      <c r="S32" s="754">
        <f t="shared" si="12"/>
        <v>100</v>
      </c>
      <c r="T32" s="753" t="s">
        <v>28</v>
      </c>
      <c r="U32" s="754">
        <f t="shared" si="13"/>
        <v>100</v>
      </c>
      <c r="V32" s="753" t="s">
        <v>28</v>
      </c>
      <c r="W32" s="754">
        <f t="shared" si="14"/>
        <v>100</v>
      </c>
      <c r="X32" s="1900"/>
      <c r="Y32" s="3020" t="s">
        <v>2367</v>
      </c>
      <c r="Z32" s="1902" t="str">
        <f t="shared" si="15"/>
        <v>建筑类型</v>
      </c>
      <c r="AA32" s="1903">
        <f t="shared" si="3"/>
        <v>1</v>
      </c>
      <c r="AB32" s="1903">
        <f t="shared" si="4"/>
        <v>1</v>
      </c>
      <c r="AC32" s="1903">
        <f t="shared" si="5"/>
        <v>1</v>
      </c>
    </row>
    <row r="33" spans="1:29" s="452" customFormat="1" ht="15">
      <c r="A33" s="449"/>
      <c r="B33" s="402" t="s">
        <v>2368</v>
      </c>
      <c r="C33" s="450">
        <f>项目基本情况!C12</f>
        <v>227.54</v>
      </c>
      <c r="D33" s="52">
        <v>100</v>
      </c>
      <c r="E33" s="410">
        <v>236.67</v>
      </c>
      <c r="F33" s="405">
        <f>LOOKUP(E33,103:103,104:104)-LOOKUP(C33,103:103,104:104)+100</f>
        <v>100</v>
      </c>
      <c r="G33" s="409">
        <v>236</v>
      </c>
      <c r="H33" s="52">
        <f>LOOKUP(G33,103:103,104:104)-LOOKUP(C33,103:103,104:104)+100</f>
        <v>100</v>
      </c>
      <c r="I33" s="410">
        <v>226.49</v>
      </c>
      <c r="J33" s="52">
        <f>LOOKUP(I33,103:103,104:104)-LOOKUP(C33,103:103,104:104)+100</f>
        <v>100</v>
      </c>
      <c r="K33" s="2399"/>
      <c r="L33" s="1251"/>
      <c r="M33" s="1254"/>
      <c r="N33" s="1254"/>
      <c r="O33" s="1254"/>
      <c r="P33" s="3018"/>
      <c r="Q33" s="755" t="str">
        <f t="shared" si="11"/>
        <v>项目建筑规模</v>
      </c>
      <c r="R33" s="756" t="s">
        <v>28</v>
      </c>
      <c r="S33" s="757">
        <f t="shared" si="12"/>
        <v>100</v>
      </c>
      <c r="T33" s="756" t="s">
        <v>28</v>
      </c>
      <c r="U33" s="757">
        <f t="shared" si="13"/>
        <v>100</v>
      </c>
      <c r="V33" s="756" t="s">
        <v>28</v>
      </c>
      <c r="W33" s="757">
        <f t="shared" si="14"/>
        <v>100</v>
      </c>
      <c r="X33" s="758"/>
      <c r="Y33" s="3020"/>
      <c r="Z33" s="759" t="str">
        <f t="shared" si="15"/>
        <v>项目建筑规模</v>
      </c>
      <c r="AA33" s="1903">
        <f t="shared" si="3"/>
        <v>1</v>
      </c>
      <c r="AB33" s="1903">
        <f t="shared" si="4"/>
        <v>1</v>
      </c>
      <c r="AC33" s="1903">
        <f t="shared" si="5"/>
        <v>1</v>
      </c>
    </row>
    <row r="34" spans="1:29" ht="15">
      <c r="A34" s="453"/>
      <c r="B34" s="402"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3018"/>
      <c r="Q34" s="1899" t="str">
        <f t="shared" si="11"/>
        <v>建筑结构</v>
      </c>
      <c r="R34" s="753" t="s">
        <v>28</v>
      </c>
      <c r="S34" s="754">
        <f t="shared" si="12"/>
        <v>100</v>
      </c>
      <c r="T34" s="753" t="s">
        <v>28</v>
      </c>
      <c r="U34" s="754">
        <f t="shared" si="13"/>
        <v>100</v>
      </c>
      <c r="V34" s="753" t="s">
        <v>28</v>
      </c>
      <c r="W34" s="754">
        <f t="shared" si="14"/>
        <v>100</v>
      </c>
      <c r="X34" s="1900"/>
      <c r="Y34" s="3020"/>
      <c r="Z34" s="1902" t="str">
        <f t="shared" si="15"/>
        <v>建筑结构</v>
      </c>
      <c r="AA34" s="1903">
        <f t="shared" si="3"/>
        <v>1</v>
      </c>
      <c r="AB34" s="1903">
        <f t="shared" si="4"/>
        <v>1</v>
      </c>
      <c r="AC34" s="1903">
        <f t="shared" si="5"/>
        <v>1</v>
      </c>
    </row>
    <row r="35" spans="1:29" ht="15">
      <c r="A35" s="453"/>
      <c r="B35" s="402"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3018"/>
      <c r="Q35" s="1899" t="str">
        <f t="shared" si="11"/>
        <v>建筑品质</v>
      </c>
      <c r="R35" s="753" t="s">
        <v>28</v>
      </c>
      <c r="S35" s="754">
        <f t="shared" si="12"/>
        <v>100</v>
      </c>
      <c r="T35" s="753" t="s">
        <v>28</v>
      </c>
      <c r="U35" s="754">
        <f t="shared" si="13"/>
        <v>100</v>
      </c>
      <c r="V35" s="753" t="s">
        <v>28</v>
      </c>
      <c r="W35" s="754">
        <f t="shared" si="14"/>
        <v>100</v>
      </c>
      <c r="X35" s="1900"/>
      <c r="Y35" s="3020"/>
      <c r="Z35" s="1902" t="str">
        <f t="shared" si="15"/>
        <v>建筑品质</v>
      </c>
      <c r="AA35" s="1903">
        <f t="shared" si="3"/>
        <v>1</v>
      </c>
      <c r="AB35" s="1903">
        <f t="shared" si="4"/>
        <v>1</v>
      </c>
      <c r="AC35" s="1903">
        <f t="shared" si="5"/>
        <v>1</v>
      </c>
    </row>
    <row r="36" spans="1:29" ht="15">
      <c r="A36" s="453"/>
      <c r="B36" s="402"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3018"/>
      <c r="Q36" s="1899" t="str">
        <f t="shared" si="11"/>
        <v>公共部分装修</v>
      </c>
      <c r="R36" s="753" t="s">
        <v>28</v>
      </c>
      <c r="S36" s="754">
        <f t="shared" si="12"/>
        <v>100</v>
      </c>
      <c r="T36" s="753" t="s">
        <v>28</v>
      </c>
      <c r="U36" s="754">
        <f t="shared" si="13"/>
        <v>100</v>
      </c>
      <c r="V36" s="753" t="s">
        <v>28</v>
      </c>
      <c r="W36" s="754">
        <f t="shared" si="14"/>
        <v>100</v>
      </c>
      <c r="X36" s="1900"/>
      <c r="Y36" s="3020"/>
      <c r="Z36" s="1902" t="str">
        <f t="shared" si="15"/>
        <v>公共部分装修</v>
      </c>
      <c r="AA36" s="1903">
        <f t="shared" si="3"/>
        <v>1</v>
      </c>
      <c r="AB36" s="1903">
        <f t="shared" si="4"/>
        <v>1</v>
      </c>
      <c r="AC36" s="1903">
        <f t="shared" si="5"/>
        <v>1</v>
      </c>
    </row>
    <row r="37" spans="1:29" s="35" customFormat="1" ht="15">
      <c r="A37" s="454"/>
      <c r="B37" s="402"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3018"/>
      <c r="Q37" s="1887" t="str">
        <f t="shared" si="11"/>
        <v>成新度</v>
      </c>
      <c r="R37" s="749" t="s">
        <v>28</v>
      </c>
      <c r="S37" s="750">
        <f t="shared" si="12"/>
        <v>100</v>
      </c>
      <c r="T37" s="749" t="s">
        <v>28</v>
      </c>
      <c r="U37" s="750">
        <f t="shared" si="13"/>
        <v>100</v>
      </c>
      <c r="V37" s="749" t="s">
        <v>28</v>
      </c>
      <c r="W37" s="750">
        <f t="shared" si="14"/>
        <v>100</v>
      </c>
      <c r="X37" s="751"/>
      <c r="Y37" s="3020"/>
      <c r="Z37" s="23" t="str">
        <f t="shared" si="15"/>
        <v>成新度</v>
      </c>
      <c r="AA37" s="752">
        <f t="shared" si="3"/>
        <v>1</v>
      </c>
      <c r="AB37" s="752">
        <f t="shared" si="4"/>
        <v>1</v>
      </c>
      <c r="AC37" s="752">
        <f t="shared" si="5"/>
        <v>1</v>
      </c>
    </row>
    <row r="38" spans="1:29" ht="15">
      <c r="A38" s="453"/>
      <c r="B38" s="402"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3018" t="s">
        <v>2367</v>
      </c>
      <c r="Q38" s="1899" t="str">
        <f t="shared" si="11"/>
        <v>物业管理</v>
      </c>
      <c r="R38" s="753" t="s">
        <v>28</v>
      </c>
      <c r="S38" s="754">
        <f t="shared" si="12"/>
        <v>100</v>
      </c>
      <c r="T38" s="753" t="s">
        <v>28</v>
      </c>
      <c r="U38" s="754">
        <f t="shared" si="13"/>
        <v>100</v>
      </c>
      <c r="V38" s="753" t="s">
        <v>28</v>
      </c>
      <c r="W38" s="754">
        <f t="shared" si="14"/>
        <v>100</v>
      </c>
      <c r="X38" s="1900"/>
      <c r="Y38" s="3020" t="s">
        <v>2367</v>
      </c>
      <c r="Z38" s="1902" t="str">
        <f t="shared" si="15"/>
        <v>物业管理</v>
      </c>
      <c r="AA38" s="1903">
        <f t="shared" si="3"/>
        <v>1</v>
      </c>
      <c r="AB38" s="1903">
        <f t="shared" si="4"/>
        <v>1</v>
      </c>
      <c r="AC38" s="1903">
        <f t="shared" si="5"/>
        <v>1</v>
      </c>
    </row>
    <row r="39" spans="1:29" ht="15">
      <c r="A39" s="453"/>
      <c r="B39" s="402"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3018"/>
      <c r="Q39" s="1899" t="str">
        <f t="shared" si="11"/>
        <v>市政基础设施</v>
      </c>
      <c r="R39" s="753" t="s">
        <v>28</v>
      </c>
      <c r="S39" s="754">
        <f t="shared" si="12"/>
        <v>100</v>
      </c>
      <c r="T39" s="753" t="s">
        <v>28</v>
      </c>
      <c r="U39" s="754">
        <f t="shared" si="13"/>
        <v>100</v>
      </c>
      <c r="V39" s="753" t="s">
        <v>28</v>
      </c>
      <c r="W39" s="754">
        <f t="shared" si="14"/>
        <v>100</v>
      </c>
      <c r="X39" s="1900"/>
      <c r="Y39" s="3020"/>
      <c r="Z39" s="1902" t="str">
        <f t="shared" si="15"/>
        <v>市政基础设施</v>
      </c>
      <c r="AA39" s="1903">
        <f t="shared" si="3"/>
        <v>1</v>
      </c>
      <c r="AB39" s="1903">
        <f t="shared" si="4"/>
        <v>1</v>
      </c>
      <c r="AC39" s="1903">
        <f t="shared" si="5"/>
        <v>1</v>
      </c>
    </row>
    <row r="40" spans="1:29" ht="15">
      <c r="A40" s="453"/>
      <c r="B40" s="402"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18"/>
      <c r="Q40" s="1899" t="str">
        <f t="shared" si="11"/>
        <v>房型</v>
      </c>
      <c r="R40" s="753" t="s">
        <v>28</v>
      </c>
      <c r="S40" s="754">
        <f t="shared" si="12"/>
        <v>100</v>
      </c>
      <c r="T40" s="753" t="s">
        <v>28</v>
      </c>
      <c r="U40" s="754">
        <f t="shared" si="13"/>
        <v>100</v>
      </c>
      <c r="V40" s="753" t="s">
        <v>28</v>
      </c>
      <c r="W40" s="754">
        <f t="shared" si="14"/>
        <v>100</v>
      </c>
      <c r="X40" s="1900"/>
      <c r="Y40" s="3020"/>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903">
        <f t="shared" si="3"/>
        <v>1</v>
      </c>
      <c r="AB41" s="1903">
        <f t="shared" si="4"/>
        <v>1</v>
      </c>
      <c r="AC41" s="1903">
        <f t="shared" si="5"/>
        <v>1</v>
      </c>
    </row>
    <row r="42" spans="1:29" ht="15">
      <c r="A42" s="453"/>
      <c r="B42" s="402"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3018"/>
      <c r="Q42" s="1899" t="str">
        <f t="shared" si="11"/>
        <v>内部装修</v>
      </c>
      <c r="R42" s="753" t="s">
        <v>28</v>
      </c>
      <c r="S42" s="754">
        <f t="shared" si="12"/>
        <v>100</v>
      </c>
      <c r="T42" s="753" t="s">
        <v>28</v>
      </c>
      <c r="U42" s="754">
        <f t="shared" si="13"/>
        <v>100</v>
      </c>
      <c r="V42" s="753" t="s">
        <v>28</v>
      </c>
      <c r="W42" s="754">
        <f t="shared" si="14"/>
        <v>100</v>
      </c>
      <c r="X42" s="1900"/>
      <c r="Y42" s="3020"/>
      <c r="Z42" s="1902" t="str">
        <f t="shared" si="15"/>
        <v>内部装修</v>
      </c>
      <c r="AA42" s="1903">
        <f t="shared" si="3"/>
        <v>1</v>
      </c>
      <c r="AB42" s="1903">
        <f t="shared" si="4"/>
        <v>1</v>
      </c>
      <c r="AC42" s="1903">
        <f t="shared" si="5"/>
        <v>1</v>
      </c>
    </row>
    <row r="43" spans="1:29" ht="15">
      <c r="A43" s="453"/>
      <c r="B43" s="402"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3018"/>
      <c r="Q43" s="1899" t="str">
        <f t="shared" si="11"/>
        <v>内部装修维护情况</v>
      </c>
      <c r="R43" s="753" t="s">
        <v>28</v>
      </c>
      <c r="S43" s="754">
        <f t="shared" si="12"/>
        <v>100</v>
      </c>
      <c r="T43" s="753" t="s">
        <v>28</v>
      </c>
      <c r="U43" s="754">
        <f t="shared" si="13"/>
        <v>100</v>
      </c>
      <c r="V43" s="753" t="s">
        <v>28</v>
      </c>
      <c r="W43" s="754">
        <f t="shared" si="14"/>
        <v>100</v>
      </c>
      <c r="X43" s="1900"/>
      <c r="Y43" s="302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18"/>
      <c r="Q44" s="1887">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18"/>
      <c r="Q45" s="1899">
        <f t="shared" si="11"/>
        <v>111</v>
      </c>
      <c r="R45" s="753" t="s">
        <v>28</v>
      </c>
      <c r="S45" s="754">
        <f t="shared" si="12"/>
        <v>100</v>
      </c>
      <c r="T45" s="753" t="s">
        <v>28</v>
      </c>
      <c r="U45" s="754">
        <f t="shared" si="13"/>
        <v>100</v>
      </c>
      <c r="V45" s="753" t="s">
        <v>28</v>
      </c>
      <c r="W45" s="754">
        <f t="shared" si="14"/>
        <v>100</v>
      </c>
      <c r="X45" s="1900"/>
      <c r="Y45" s="3020"/>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19"/>
      <c r="Q46" s="1899">
        <f t="shared" si="11"/>
        <v>111</v>
      </c>
      <c r="R46" s="753" t="s">
        <v>27</v>
      </c>
      <c r="S46" s="754">
        <f t="shared" si="12"/>
        <v>100</v>
      </c>
      <c r="T46" s="753" t="s">
        <v>27</v>
      </c>
      <c r="U46" s="754">
        <f t="shared" si="13"/>
        <v>100</v>
      </c>
      <c r="V46" s="753" t="s">
        <v>27</v>
      </c>
      <c r="W46" s="754">
        <f t="shared" si="14"/>
        <v>100</v>
      </c>
      <c r="X46" s="1900"/>
      <c r="Y46" s="3021"/>
      <c r="Z46" s="1902">
        <f t="shared" si="15"/>
        <v>111</v>
      </c>
      <c r="AA46" s="1903">
        <f t="shared" si="3"/>
        <v>1</v>
      </c>
      <c r="AB46" s="1903">
        <f t="shared" si="4"/>
        <v>1</v>
      </c>
      <c r="AC46" s="1903">
        <f t="shared" si="5"/>
        <v>1</v>
      </c>
    </row>
    <row r="47" spans="1:29" ht="15">
      <c r="A47" s="460" t="s">
        <v>2379</v>
      </c>
      <c r="B47" s="461"/>
      <c r="C47" s="1502" t="s">
        <v>26</v>
      </c>
      <c r="D47" s="1503"/>
      <c r="E47" s="1504">
        <v>67732</v>
      </c>
      <c r="F47" s="1505"/>
      <c r="G47" s="1506">
        <v>71759</v>
      </c>
      <c r="H47" s="1507"/>
      <c r="I47" s="1504">
        <v>66229</v>
      </c>
      <c r="J47" s="1507"/>
      <c r="K47" s="2415"/>
      <c r="L47" s="1256"/>
      <c r="M47" s="1257"/>
      <c r="N47" s="1244"/>
      <c r="O47" s="1257"/>
      <c r="P47" s="3026" t="str">
        <f>A47</f>
        <v>成交单价（元/平方米）</v>
      </c>
      <c r="Q47" s="3026"/>
      <c r="R47" s="3027">
        <f>E47</f>
        <v>67732</v>
      </c>
      <c r="S47" s="3027"/>
      <c r="T47" s="3027">
        <f>G47</f>
        <v>71759</v>
      </c>
      <c r="U47" s="3027"/>
      <c r="V47" s="3027">
        <f>I47</f>
        <v>66229</v>
      </c>
      <c r="W47" s="3027"/>
      <c r="X47" s="738"/>
      <c r="Y47" s="760"/>
      <c r="Z47" s="738"/>
      <c r="AA47" s="738"/>
      <c r="AB47" s="738"/>
      <c r="AC47" s="738"/>
    </row>
    <row r="48" spans="1:29" ht="15.75" thickBot="1">
      <c r="A48" s="467" t="s">
        <v>2380</v>
      </c>
      <c r="B48" s="468"/>
      <c r="C48" s="1508">
        <f>R49</f>
        <v>67045</v>
      </c>
      <c r="D48" s="1509"/>
      <c r="E48" s="1510">
        <f>R48</f>
        <v>66907</v>
      </c>
      <c r="F48" s="1510"/>
      <c r="G48" s="1508">
        <f>T48</f>
        <v>70727</v>
      </c>
      <c r="H48" s="1509"/>
      <c r="I48" s="1510">
        <f>V48</f>
        <v>63502</v>
      </c>
      <c r="J48" s="1509"/>
      <c r="K48" s="2416"/>
      <c r="L48" s="1256"/>
      <c r="M48" s="1257"/>
      <c r="N48" s="1257"/>
      <c r="O48" s="1257"/>
      <c r="P48" s="3026" t="str">
        <f>A48</f>
        <v>比较价值（元/平方米）</v>
      </c>
      <c r="Q48" s="3026"/>
      <c r="R48" s="3027">
        <f>IF(E1="售价",ROUND(PRODUCT(R47,AA7:AA46),0),ROUND(PRODUCT(R47,AA7:AA46),1))</f>
        <v>66907</v>
      </c>
      <c r="S48" s="3027"/>
      <c r="T48" s="3030">
        <f>IF(E1="售价",ROUND(PRODUCT(T47,AB7:AB46),0),ROUND(PRODUCT(T47,AB7:AB46),1))</f>
        <v>70727</v>
      </c>
      <c r="U48" s="3031"/>
      <c r="V48" s="3027">
        <f>IF(E1="售价",ROUND(PRODUCT(V47,AC7:AC46),0),ROUND(PRODUCT(V47,AC7:AC46),1))</f>
        <v>63502</v>
      </c>
      <c r="W48" s="3027"/>
      <c r="X48" s="738"/>
      <c r="Y48" s="738"/>
      <c r="Z48" s="738"/>
      <c r="AA48" s="738"/>
      <c r="AB48" s="738"/>
      <c r="AC48" s="738"/>
    </row>
    <row r="49" spans="1:29" ht="15.75" thickBot="1">
      <c r="A49" s="473" t="s">
        <v>2381</v>
      </c>
      <c r="B49" s="474"/>
      <c r="C49" s="1511">
        <f>R49</f>
        <v>67045</v>
      </c>
      <c r="D49" s="1512"/>
      <c r="E49" s="1512"/>
      <c r="F49" s="1512"/>
      <c r="G49" s="1512"/>
      <c r="H49" s="1512"/>
      <c r="I49" s="1512"/>
      <c r="J49" s="1512"/>
      <c r="K49" s="2417"/>
      <c r="L49" s="1256"/>
      <c r="M49" s="1257"/>
      <c r="N49" s="1257"/>
      <c r="O49" s="1257"/>
      <c r="P49" s="3032" t="str">
        <f>A49</f>
        <v>估价对象XX用房的比较价值（楼面单价，元/平方米）</v>
      </c>
      <c r="Q49" s="3033"/>
      <c r="R49" s="3034">
        <f>IF(E1="售价",ROUND(AVERAGE(R48:V48),0),ROUND(AVERAGE(R48:V48),1))</f>
        <v>67045</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1.2330548373114869E-2</v>
      </c>
      <c r="F52" s="481" t="str">
        <f>IF(OR(E52&gt;=0.3,E52&lt;=-0.3),"超过30%","")</f>
        <v/>
      </c>
      <c r="G52" s="480">
        <f>IF(G47&lt;G48,G48/G47-1,G47/G48-1)</f>
        <v>1.4591315904817215E-2</v>
      </c>
      <c r="H52" s="481" t="str">
        <f>IF(OR(G52&gt;=0.3,G52&lt;=-0.3),"超过30%","")</f>
        <v/>
      </c>
      <c r="I52" s="480">
        <f>IF(I47&lt;I48,I48/I47-1,I47/I48-1)</f>
        <v>4.2943529337658548E-2</v>
      </c>
      <c r="J52" s="481" t="str">
        <f>IF(OR(I52&gt;=0.3,I52&lt;=-0.3),"超过30%","")</f>
        <v/>
      </c>
      <c r="K52" s="1262"/>
      <c r="L52" s="1258"/>
      <c r="M52" s="1257"/>
      <c r="N52" s="1257"/>
      <c r="O52" s="1257"/>
    </row>
    <row r="53" spans="1:29" ht="13.5" customHeight="1">
      <c r="A53" s="1257"/>
      <c r="B53" s="1257"/>
      <c r="C53" s="478" t="s">
        <v>2383</v>
      </c>
      <c r="D53" s="482"/>
      <c r="E53" s="480">
        <f>IF(E48&lt;G48,G48/E48-1,E48/G48-1)</f>
        <v>5.70941754973322E-2</v>
      </c>
      <c r="F53" s="481" t="str">
        <f>IF(OR(E53&gt;=0.2,E53&lt;=-0.2),"超过20%","")</f>
        <v/>
      </c>
      <c r="G53" s="480">
        <f>IF(G48&lt;I48,I48/G48-1,G48/I48-1)</f>
        <v>0.11377594406475389</v>
      </c>
      <c r="H53" s="481" t="str">
        <f>IF(OR(G53&gt;=0.2,G53&lt;=-0.2),"超过20%","")</f>
        <v/>
      </c>
      <c r="I53" s="480">
        <f>IF(I48&lt;E48,E48/I48-1,I48/E48-1)</f>
        <v>5.3620358413908331E-2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5.9454910529734839E-2</v>
      </c>
      <c r="F54" s="481" t="str">
        <f>IF(OR(E54&gt;=0.3,E54&lt;=-0.3),"超过30%","")</f>
        <v/>
      </c>
      <c r="G54" s="480">
        <f>IF(G47&lt;I47,I47/G47-1,G47/I47-1)</f>
        <v>8.349816545622013E-2</v>
      </c>
      <c r="H54" s="481" t="str">
        <f>IF(OR(G54&gt;=0.3,G54&lt;=-0.3),"超过30%","")</f>
        <v/>
      </c>
      <c r="I54" s="480">
        <f>IF(I47&lt;E47,E47/I47-1,I47/E47-1)</f>
        <v>2.26939860182096E-2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100.25</v>
      </c>
      <c r="E59" s="493">
        <v>100.5</v>
      </c>
      <c r="F59" s="493">
        <v>100.75</v>
      </c>
      <c r="G59" s="493">
        <v>101</v>
      </c>
      <c r="H59" s="493">
        <v>101.25</v>
      </c>
      <c r="I59" s="493">
        <v>101.5</v>
      </c>
      <c r="J59" s="493">
        <v>101.75</v>
      </c>
      <c r="K59" s="493">
        <v>102</v>
      </c>
      <c r="L59" s="493">
        <v>102.25</v>
      </c>
      <c r="M59" s="493">
        <v>102.5</v>
      </c>
      <c r="N59" s="493">
        <v>102.75</v>
      </c>
      <c r="O59" s="493">
        <v>103</v>
      </c>
      <c r="P59" s="2422"/>
    </row>
    <row r="60" spans="1:29" s="35" customFormat="1" ht="15.75" thickBot="1">
      <c r="A60" s="496" t="s">
        <v>2387</v>
      </c>
      <c r="B60" s="497"/>
      <c r="C60" s="498">
        <v>0.25</v>
      </c>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2832</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729</v>
      </c>
      <c r="C2" s="2335"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32059</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270375</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270000</v>
      </c>
      <c r="D6" s="80" t="s">
        <v>2800</v>
      </c>
      <c r="E6" s="319" t="s">
        <v>2103</v>
      </c>
      <c r="F6" s="2752">
        <f>'数据-取费表'!B29</f>
        <v>25000</v>
      </c>
      <c r="G6" s="1238"/>
      <c r="H6" s="1384" t="s">
        <v>2101</v>
      </c>
      <c r="I6" s="2025"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7" t="s">
        <v>2109</v>
      </c>
      <c r="C10" s="1385">
        <f ca="1">ROUND(IF(F10="押一",F6*F7*F8/12*F11,IF(F10="押二",F6*F7*F8/12*2*F11,IF(F10="押三",F6*F7*F8/12*3*F11,C11*F11))),0)</f>
        <v>375</v>
      </c>
      <c r="D10" s="2338" t="s">
        <v>2801</v>
      </c>
      <c r="E10" s="330" t="s">
        <v>2110</v>
      </c>
      <c r="F10" s="2339" t="s">
        <v>2111</v>
      </c>
      <c r="G10" s="1238"/>
      <c r="H10" s="1384" t="s">
        <v>2108</v>
      </c>
      <c r="I10" s="2337" t="s">
        <v>2109</v>
      </c>
      <c r="J10" s="1385">
        <f ca="1">ROUND(IF(M10="押一",M6*M8*M7/12*M11,IF(M10="押二",M6*M8*M7/12*2*M11,IF(M10="押三",M6*M8*M7/12*3*M11,J11*M11))),0)</f>
        <v>0</v>
      </c>
      <c r="K10" s="80" t="s">
        <v>2802</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921055</v>
      </c>
      <c r="D13" s="1422" t="s">
        <v>2118</v>
      </c>
      <c r="E13" s="1422" t="s">
        <v>2119</v>
      </c>
      <c r="F13" s="1423">
        <f>'数据-取费表'!E20</f>
        <v>0.83299999999999996</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682620</v>
      </c>
      <c r="D14" s="1888" t="s">
        <v>2122</v>
      </c>
      <c r="E14" s="1889"/>
      <c r="F14" s="979"/>
      <c r="G14" s="1239"/>
      <c r="H14" s="337" t="s">
        <v>2101</v>
      </c>
      <c r="I14" s="319" t="s">
        <v>2123</v>
      </c>
      <c r="J14" s="14">
        <f ca="1">C29</f>
        <v>1105708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20479</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34131</v>
      </c>
      <c r="D16" s="319" t="s">
        <v>2126</v>
      </c>
      <c r="E16" s="319" t="s">
        <v>2127</v>
      </c>
      <c r="F16" s="342">
        <f>IF('数据-取费表'!B10="住宅",'数据-取费表'!E22,0)</f>
        <v>0.05</v>
      </c>
      <c r="G16" s="1239"/>
      <c r="H16" s="1420" t="s">
        <v>14</v>
      </c>
      <c r="I16" s="1421" t="s">
        <v>2132</v>
      </c>
      <c r="J16" s="327">
        <f ca="1">ROUND(J17+J22+J23+J24,0)</f>
        <v>16586</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45508</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10239</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792977</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15860</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16586</v>
      </c>
      <c r="K22" s="1893"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48306</v>
      </c>
      <c r="D23" s="2008"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3"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8"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-16586</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161767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1105708</v>
      </c>
      <c r="D29" s="1433"/>
      <c r="E29" s="1431"/>
      <c r="F29" s="1434"/>
      <c r="G29" s="791"/>
      <c r="H29" s="356" t="s">
        <v>24</v>
      </c>
      <c r="I29" s="357" t="s">
        <v>2197</v>
      </c>
      <c r="J29" s="358">
        <f ca="1">ROUND(J26/(1+F40)^F41,0)</f>
        <v>0</v>
      </c>
      <c r="K29" s="359" t="s">
        <v>2198</v>
      </c>
      <c r="L29" s="360"/>
      <c r="M29" s="361">
        <f>IF(D1="仅计算典型户型",'数据-取费表'!E5,'数据-取费表'!B5)</f>
        <v>227.54</v>
      </c>
    </row>
    <row r="30" spans="1:37" ht="18" customHeight="1" thickTop="1">
      <c r="A30" s="1420" t="s">
        <v>14</v>
      </c>
      <c r="B30" s="1421" t="s">
        <v>2199</v>
      </c>
      <c r="C30" s="327">
        <f ca="1">ROUND(C31+C36+C37+C38,0)</f>
        <v>34191</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13518.8</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73684</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0.08</v>
      </c>
      <c r="K35" s="1231"/>
      <c r="L35" s="1230"/>
      <c r="M35" s="1230"/>
    </row>
    <row r="36" spans="1:18" ht="18" customHeight="1">
      <c r="A36" s="1387" t="s">
        <v>2108</v>
      </c>
      <c r="B36" s="319" t="s">
        <v>2208</v>
      </c>
      <c r="C36" s="14">
        <f ca="1">ROUND(C29*F36,0)</f>
        <v>16586</v>
      </c>
      <c r="D36" s="1893"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1382</v>
      </c>
      <c r="D37" s="1893"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2704</v>
      </c>
      <c r="D38" s="1433" t="s">
        <v>2174</v>
      </c>
      <c r="E38" s="1431" t="s">
        <v>2170</v>
      </c>
      <c r="F38" s="1426">
        <f>'数据-取费表'!B46</f>
        <v>0.01</v>
      </c>
      <c r="G38" s="791"/>
      <c r="H38" s="1230"/>
      <c r="I38" s="365" t="s">
        <v>2212</v>
      </c>
      <c r="J38" s="220">
        <f ca="1">ROUND(J34/C39,3)</f>
        <v>0.312</v>
      </c>
      <c r="K38" s="1235"/>
      <c r="L38" s="1230"/>
      <c r="M38" s="1230"/>
    </row>
    <row r="39" spans="1:18" ht="18" customHeight="1" thickTop="1">
      <c r="A39" s="1420" t="s">
        <v>22</v>
      </c>
      <c r="B39" s="1435" t="s">
        <v>2213</v>
      </c>
      <c r="C39" s="327">
        <f ca="1">C5-C30</f>
        <v>236184</v>
      </c>
      <c r="D39" s="1436" t="s">
        <v>2214</v>
      </c>
      <c r="E39" s="1437"/>
      <c r="F39" s="1438"/>
      <c r="G39" s="791"/>
      <c r="H39" s="1230"/>
      <c r="I39" s="365" t="s">
        <v>2215</v>
      </c>
      <c r="J39" s="220">
        <f ca="1">1-J38</f>
        <v>0.68799999999999994</v>
      </c>
      <c r="K39" s="1235"/>
      <c r="L39" s="1230"/>
      <c r="M39" s="1230"/>
    </row>
    <row r="40" spans="1:18" s="791" customFormat="1" ht="18" customHeight="1">
      <c r="A40" s="316" t="s">
        <v>23</v>
      </c>
      <c r="B40" s="317" t="s">
        <v>2216</v>
      </c>
      <c r="C40" s="318">
        <f ca="1">ROUND(C39*(1-((1+F42)/(1+F40))^F41)/(F40-F42),0)</f>
        <v>7294626</v>
      </c>
      <c r="D40" s="346" t="s">
        <v>2184</v>
      </c>
      <c r="E40" s="319" t="s">
        <v>2185</v>
      </c>
      <c r="F40" s="2756">
        <f>'数据-取费表'!B16</f>
        <v>0.05</v>
      </c>
      <c r="H40" s="1236"/>
      <c r="I40" s="216" t="s">
        <v>2217</v>
      </c>
      <c r="J40" s="217"/>
      <c r="K40" s="1235"/>
      <c r="L40" s="1236"/>
      <c r="M40" s="1236"/>
      <c r="Q40" s="795"/>
    </row>
    <row r="41" spans="1:18" s="791" customFormat="1" ht="18" customHeight="1">
      <c r="A41" s="321"/>
      <c r="B41" s="322"/>
      <c r="C41" s="323"/>
      <c r="D41" s="354" t="s">
        <v>2218</v>
      </c>
      <c r="E41" s="1825" t="s">
        <v>2219</v>
      </c>
      <c r="F41" s="355">
        <f>IF('数据-取费表'!B28="租赁期内按合同租金",'数据-取费表'!B34,IF(E41="收益年期(n)",'数据-取费表'!B33,'数据-取费表'!B13))</f>
        <v>50</v>
      </c>
      <c r="H41" s="1237"/>
      <c r="I41" s="219" t="s">
        <v>2089</v>
      </c>
      <c r="J41" s="220">
        <f ca="1">ROUND(C13/C40,3)</f>
        <v>0.126</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0.874</v>
      </c>
      <c r="K42" s="1234"/>
      <c r="L42" s="1237"/>
      <c r="M42" s="1237"/>
      <c r="Q42" s="795"/>
    </row>
    <row r="43" spans="1:18" s="791" customFormat="1" ht="18" customHeight="1" thickBot="1">
      <c r="A43" s="356" t="s">
        <v>24</v>
      </c>
      <c r="B43" s="357" t="s">
        <v>2220</v>
      </c>
      <c r="C43" s="358">
        <f ca="1">ROUND(C40/F43,0)</f>
        <v>32059</v>
      </c>
      <c r="D43" s="359" t="s">
        <v>2221</v>
      </c>
      <c r="E43" s="360" t="s">
        <v>2222</v>
      </c>
      <c r="F43" s="361">
        <f>IF(D1="仅计算典型户型",'数据-取费表'!E5,'数据-取费表'!B5)</f>
        <v>227.54</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7294626</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3" t="s">
        <v>2232</v>
      </c>
      <c r="C47" s="1303">
        <f ca="1">IF(C2="元",C69-C40,ROUND((C69-C40)/10000,0))</f>
        <v>-762</v>
      </c>
      <c r="D47" s="2344" t="str">
        <f>C2</f>
        <v>万元</v>
      </c>
      <c r="E47" s="776"/>
      <c r="F47" s="776"/>
      <c r="I47" s="2345" t="s">
        <v>2233</v>
      </c>
      <c r="J47" s="1343"/>
      <c r="K47" s="1344"/>
      <c r="L47" s="1357">
        <f>IF(M48="住宅",0,IF(L49&gt;J52,L61,J61))</f>
        <v>0</v>
      </c>
      <c r="O47" s="1371" t="s">
        <v>960</v>
      </c>
      <c r="P47" s="1368" t="s">
        <v>2234</v>
      </c>
      <c r="Q47" s="1369">
        <f ca="1">C29</f>
        <v>1105708</v>
      </c>
      <c r="R47" s="1370" t="s">
        <v>2229</v>
      </c>
    </row>
    <row r="48" spans="1:18" s="791" customFormat="1" ht="15.75" thickBot="1">
      <c r="A48" s="312" t="s">
        <v>2235</v>
      </c>
      <c r="B48" s="313" t="s">
        <v>2236</v>
      </c>
      <c r="C48" s="313" t="s">
        <v>2237</v>
      </c>
      <c r="D48" s="313" t="s">
        <v>2238</v>
      </c>
      <c r="E48" s="1297" t="s">
        <v>2239</v>
      </c>
      <c r="F48" s="1298"/>
      <c r="I48" s="2346" t="s">
        <v>2240</v>
      </c>
      <c r="J48" s="2347" t="s">
        <v>2849</v>
      </c>
      <c r="K48" s="2348"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9" t="s">
        <v>2244</v>
      </c>
      <c r="J49" s="2350" t="s">
        <v>2869</v>
      </c>
      <c r="K49" s="2351" t="s">
        <v>2245</v>
      </c>
      <c r="L49" s="1128">
        <f>'数据-取费表'!B13</f>
        <v>57.5</v>
      </c>
      <c r="O49" s="1371" t="s">
        <v>962</v>
      </c>
      <c r="P49" s="1368" t="s">
        <v>2246</v>
      </c>
      <c r="Q49" s="1372">
        <f>J53</f>
        <v>0</v>
      </c>
      <c r="R49" s="1370"/>
    </row>
    <row r="50" spans="1:18" s="791" customFormat="1" ht="15.75" thickBot="1">
      <c r="A50" s="345" t="s">
        <v>2101</v>
      </c>
      <c r="B50" s="2025" t="s">
        <v>2247</v>
      </c>
      <c r="C50" s="318">
        <f>ROUND(F50*F52*F51*(1-F53),0)</f>
        <v>0</v>
      </c>
      <c r="D50" s="93" t="s">
        <v>2803</v>
      </c>
      <c r="E50" s="2352" t="s">
        <v>2248</v>
      </c>
      <c r="F50" s="1299"/>
      <c r="I50" s="2349" t="s">
        <v>2249</v>
      </c>
      <c r="J50" s="1128">
        <f>'数据-取费表'!B26</f>
        <v>2008</v>
      </c>
      <c r="K50" s="2353" t="s">
        <v>2250</v>
      </c>
      <c r="L50" s="1346"/>
      <c r="O50" s="1371" t="s">
        <v>963</v>
      </c>
      <c r="P50" s="1368" t="s">
        <v>2251</v>
      </c>
      <c r="Q50" s="1369">
        <f>J54</f>
        <v>50</v>
      </c>
      <c r="R50" s="1370" t="s">
        <v>2252</v>
      </c>
    </row>
    <row r="51" spans="1:18" s="791" customFormat="1" ht="15.75" thickBot="1">
      <c r="A51" s="321"/>
      <c r="B51" s="322"/>
      <c r="C51" s="323"/>
      <c r="D51" s="324"/>
      <c r="E51" s="339" t="s">
        <v>2104</v>
      </c>
      <c r="F51" s="1296">
        <f>F7</f>
        <v>1</v>
      </c>
      <c r="I51" s="2349" t="s">
        <v>2253</v>
      </c>
      <c r="J51" s="1347">
        <f>SUMPRODUCT((I64:I66=J48)*(J63:L63=J49)*(J64:L66))</f>
        <v>60</v>
      </c>
      <c r="K51" s="2353" t="s">
        <v>2254</v>
      </c>
      <c r="L51" s="1346"/>
      <c r="O51" s="1367" t="s">
        <v>964</v>
      </c>
      <c r="P51" s="1368" t="str">
        <f>IF(C2="元","收益价值(元)","收益价值(万元)")</f>
        <v>收益价值(万元)</v>
      </c>
      <c r="Q51" s="1369">
        <f ca="1">ROUND(IF(C2="元",Q45+Q46,(Q45+Q46)/10000),0)</f>
        <v>729</v>
      </c>
      <c r="R51" s="1370" t="s">
        <v>965</v>
      </c>
    </row>
    <row r="52" spans="1:18" s="791" customFormat="1" ht="16.5" thickBot="1">
      <c r="A52" s="321"/>
      <c r="B52" s="322"/>
      <c r="C52" s="323"/>
      <c r="D52" s="324"/>
      <c r="E52" s="319" t="s">
        <v>2106</v>
      </c>
      <c r="F52" s="320">
        <f>F8</f>
        <v>12</v>
      </c>
      <c r="I52" s="2354" t="s">
        <v>2255</v>
      </c>
      <c r="J52" s="1348">
        <f>IF(J50="",J51,J50+J51-YEAR('数据-取费表'!B2))</f>
        <v>50</v>
      </c>
      <c r="K52" s="2355" t="s">
        <v>2256</v>
      </c>
      <c r="L52" s="1349">
        <f ca="1">ROUND(-PV('数据-取费表'!B15,L49,(C40-C13*J35)),0)</f>
        <v>147695259</v>
      </c>
      <c r="O52" s="1361" t="s">
        <v>2257</v>
      </c>
      <c r="P52" s="1362"/>
      <c r="Q52" s="1358"/>
      <c r="R52" s="1362"/>
    </row>
    <row r="53" spans="1:18" s="791" customFormat="1" ht="15.75" thickBot="1">
      <c r="A53" s="325"/>
      <c r="B53" s="326"/>
      <c r="C53" s="327"/>
      <c r="D53" s="328"/>
      <c r="E53" s="319" t="s">
        <v>2107</v>
      </c>
      <c r="F53" s="1356"/>
      <c r="I53" s="2356" t="s">
        <v>2258</v>
      </c>
      <c r="J53" s="1350"/>
      <c r="K53" s="2356" t="s">
        <v>2259</v>
      </c>
      <c r="L53" s="1350"/>
      <c r="O53" s="1363" t="s">
        <v>2224</v>
      </c>
      <c r="P53" s="1364" t="s">
        <v>2225</v>
      </c>
      <c r="Q53" s="1365" t="s">
        <v>2226</v>
      </c>
      <c r="R53" s="1366" t="s">
        <v>2227</v>
      </c>
    </row>
    <row r="54" spans="1:18" s="791" customFormat="1" ht="29.25" customHeight="1" thickBot="1">
      <c r="A54" s="1384" t="s">
        <v>2108</v>
      </c>
      <c r="B54" s="2337" t="s">
        <v>2109</v>
      </c>
      <c r="C54" s="1385">
        <f ca="1">ROUND(IF(F54="押一",F50*F51*F52/12*F11,IF(F54="押二",F50*F51*F52/12*2*F11,IF(F54="押三",F50*F51*F52/12*3*F11,C55*F11))),0)</f>
        <v>0</v>
      </c>
      <c r="D54" s="2338" t="s">
        <v>2801</v>
      </c>
      <c r="E54" s="330" t="s">
        <v>2110</v>
      </c>
      <c r="F54" s="2339"/>
      <c r="I54" s="2357" t="s">
        <v>2260</v>
      </c>
      <c r="J54" s="1351">
        <f>IF(M48="住宅",J52,IF(E1="——",MIN(J52,L49),IF(E1="在建（套用方法）",MIN(J52,L49-'数据-取费表'!B25),IF(E1="土地（套用方法）",MIN(J52,L49-'数据-取费表'!B21)))))</f>
        <v>50</v>
      </c>
      <c r="K54" s="3035" t="s">
        <v>2799</v>
      </c>
      <c r="L54" s="3036"/>
      <c r="O54" s="1367" t="s">
        <v>958</v>
      </c>
      <c r="P54" s="1368" t="s">
        <v>2228</v>
      </c>
      <c r="Q54" s="1369">
        <f ca="1">C40+J29</f>
        <v>7294626</v>
      </c>
      <c r="R54" s="1370" t="s">
        <v>2229</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2261</v>
      </c>
      <c r="Q55" s="1369">
        <f>L61</f>
        <v>0</v>
      </c>
      <c r="R55" s="1370" t="s">
        <v>2262</v>
      </c>
    </row>
    <row r="56" spans="1:18" s="791" customFormat="1" ht="20.25" thickBot="1">
      <c r="A56" s="1424" t="s">
        <v>2115</v>
      </c>
      <c r="B56" s="2341" t="s">
        <v>2116</v>
      </c>
      <c r="C56" s="1425"/>
      <c r="D56" s="1441"/>
      <c r="E56" s="2361"/>
      <c r="F56" s="1501"/>
      <c r="I56" s="2362" t="s">
        <v>2263</v>
      </c>
      <c r="J56" s="1871" t="e">
        <f>ROUND(IF(J48="钢混",J58/J51,1-(1-2%)*(J51-J58)/J51),3)</f>
        <v>#VALUE!</v>
      </c>
      <c r="K56" s="2363"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921055</v>
      </c>
      <c r="D57" s="1294"/>
      <c r="E57" s="1295"/>
      <c r="F57" s="1302"/>
      <c r="I57" s="2364" t="s">
        <v>2266</v>
      </c>
      <c r="J57" s="1355" t="s">
        <v>2824</v>
      </c>
      <c r="K57" s="2349" t="s">
        <v>2267</v>
      </c>
      <c r="L57" s="1128">
        <f>IF(L49&lt;J52,"——",L49-J52)</f>
        <v>7.5</v>
      </c>
      <c r="O57" s="1371" t="s">
        <v>961</v>
      </c>
      <c r="P57" s="1368" t="s">
        <v>2268</v>
      </c>
      <c r="Q57" s="1372">
        <f>L53</f>
        <v>0</v>
      </c>
      <c r="R57" s="1370"/>
    </row>
    <row r="58" spans="1:18" s="791" customFormat="1" ht="29.25" thickBot="1">
      <c r="A58" s="1301"/>
      <c r="B58" s="319" t="s">
        <v>2196</v>
      </c>
      <c r="C58" s="188">
        <f ca="1">C29</f>
        <v>1105708</v>
      </c>
      <c r="D58" s="1294"/>
      <c r="E58" s="1295"/>
      <c r="F58" s="1302"/>
      <c r="I58" s="2365" t="s">
        <v>2269</v>
      </c>
      <c r="J58" s="1354" t="str">
        <f>IF(OR(M48="住宅",J52&lt;L49,J57="是"),"——",J52-L49)</f>
        <v>——</v>
      </c>
      <c r="K58" s="2349" t="s">
        <v>2270</v>
      </c>
      <c r="L58" s="1128">
        <f ca="1">IF(L49&lt;J52,"——",IF(L56="比较法",L50,IF(L56="基准地价",L51,L52)))</f>
        <v>147695259</v>
      </c>
      <c r="O58" s="1371" t="s">
        <v>962</v>
      </c>
      <c r="P58" s="1368" t="s">
        <v>2271</v>
      </c>
      <c r="Q58" s="1369" t="e">
        <f>L59</f>
        <v>#DIV/0!</v>
      </c>
      <c r="R58" s="1370" t="s">
        <v>2272</v>
      </c>
    </row>
    <row r="59" spans="1:18" s="791" customFormat="1" ht="29.25" thickBot="1">
      <c r="A59" s="332" t="s">
        <v>14</v>
      </c>
      <c r="B59" s="333" t="s">
        <v>2199</v>
      </c>
      <c r="C59" s="334">
        <f ca="1">ROUND(C60+C65+C66+C67,0)</f>
        <v>17968</v>
      </c>
      <c r="D59" s="12" t="s">
        <v>2200</v>
      </c>
      <c r="E59" s="1898"/>
      <c r="F59" s="16"/>
      <c r="I59" s="2365" t="s">
        <v>2273</v>
      </c>
      <c r="J59" s="1870" t="e">
        <f>IF(J56&lt;0.4,0.4,J56)</f>
        <v>#VALUE!</v>
      </c>
      <c r="K59" s="2355"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2276</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729</v>
      </c>
      <c r="R60" s="1370" t="s">
        <v>965</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6" t="s">
        <v>2277</v>
      </c>
      <c r="J61" s="1353" t="str">
        <f>IF(OR(M48="住宅",J52&lt;L49,J57="是"),"0",ROUND(J60/(1+J53)^J54,0))</f>
        <v>0</v>
      </c>
      <c r="K61" s="2367"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4"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0</v>
      </c>
      <c r="I63" s="2368" t="s">
        <v>2284</v>
      </c>
      <c r="J63" s="1874" t="s">
        <v>2285</v>
      </c>
      <c r="K63" s="1874" t="s">
        <v>2286</v>
      </c>
      <c r="L63" s="1874" t="s">
        <v>2287</v>
      </c>
      <c r="M63" s="1873" t="s">
        <v>2288</v>
      </c>
      <c r="O63" s="1367" t="s">
        <v>958</v>
      </c>
      <c r="P63" s="1368" t="s">
        <v>2228</v>
      </c>
      <c r="Q63" s="1369">
        <f ca="1">C40+J29</f>
        <v>7294626</v>
      </c>
      <c r="R63" s="1370" t="s">
        <v>2229</v>
      </c>
    </row>
    <row r="64" spans="1:18" s="791" customFormat="1" ht="20.25" thickBot="1">
      <c r="A64" s="348"/>
      <c r="B64" s="328"/>
      <c r="C64" s="19"/>
      <c r="D64" s="349"/>
      <c r="E64" s="319" t="s">
        <v>2289</v>
      </c>
      <c r="F64" s="320">
        <f t="shared" si="0"/>
        <v>0</v>
      </c>
      <c r="I64" s="2368" t="s">
        <v>2290</v>
      </c>
      <c r="J64" s="1874">
        <v>70</v>
      </c>
      <c r="K64" s="1874">
        <v>50</v>
      </c>
      <c r="L64" s="1874">
        <v>80</v>
      </c>
      <c r="M64" s="1872">
        <v>0.02</v>
      </c>
      <c r="O64" s="1367" t="s">
        <v>959</v>
      </c>
      <c r="P64" s="1368" t="s">
        <v>2261</v>
      </c>
      <c r="Q64" s="1369">
        <f>L61</f>
        <v>0</v>
      </c>
      <c r="R64" s="1370" t="s">
        <v>2262</v>
      </c>
    </row>
    <row r="65" spans="1:18" s="791" customFormat="1" ht="23.25" thickBot="1">
      <c r="A65" s="337" t="s">
        <v>19</v>
      </c>
      <c r="B65" s="319" t="s">
        <v>2208</v>
      </c>
      <c r="C65" s="14">
        <f ca="1">ROUND(C58*F65,0)</f>
        <v>16586</v>
      </c>
      <c r="D65" s="1893" t="s">
        <v>2209</v>
      </c>
      <c r="E65" s="319" t="s">
        <v>2153</v>
      </c>
      <c r="F65" s="350">
        <f t="shared" si="0"/>
        <v>1.4999999999999999E-2</v>
      </c>
      <c r="I65" s="2368" t="s">
        <v>2291</v>
      </c>
      <c r="J65" s="1874">
        <v>50</v>
      </c>
      <c r="K65" s="1874">
        <v>35</v>
      </c>
      <c r="L65" s="1874">
        <v>60</v>
      </c>
      <c r="M65" s="1873">
        <v>0</v>
      </c>
      <c r="O65" s="1371" t="s">
        <v>960</v>
      </c>
      <c r="P65" s="1368" t="s">
        <v>2265</v>
      </c>
      <c r="Q65" s="1373">
        <f ca="1">L52</f>
        <v>147695259</v>
      </c>
      <c r="R65" s="1374" t="s">
        <v>2292</v>
      </c>
    </row>
    <row r="66" spans="1:18" s="791" customFormat="1" ht="20.25" thickBot="1">
      <c r="A66" s="337" t="s">
        <v>20</v>
      </c>
      <c r="B66" s="319" t="s">
        <v>2168</v>
      </c>
      <c r="C66" s="14">
        <f ca="1">ROUND(C57*F66,0)</f>
        <v>1382</v>
      </c>
      <c r="D66" s="1893" t="s">
        <v>2169</v>
      </c>
      <c r="E66" s="319" t="s">
        <v>2170</v>
      </c>
      <c r="F66" s="351">
        <f t="shared" si="0"/>
        <v>1.5E-3</v>
      </c>
      <c r="I66" s="2368" t="s">
        <v>2293</v>
      </c>
      <c r="J66" s="1874">
        <v>40</v>
      </c>
      <c r="K66" s="1874">
        <v>30</v>
      </c>
      <c r="L66" s="1874">
        <v>50</v>
      </c>
      <c r="M66" s="1872">
        <v>0.02</v>
      </c>
      <c r="O66" s="1371" t="s">
        <v>961</v>
      </c>
      <c r="P66" s="1375" t="s">
        <v>2294</v>
      </c>
      <c r="Q66" s="1369">
        <f ca="1">ROUND(Q67-Q68*Q69,0)</f>
        <v>162500</v>
      </c>
      <c r="R66" s="1370"/>
    </row>
    <row r="67" spans="1:18" s="791" customFormat="1" ht="15.75" thickBot="1">
      <c r="A67" s="337" t="s">
        <v>21</v>
      </c>
      <c r="B67" s="319" t="s">
        <v>2151</v>
      </c>
      <c r="C67" s="14">
        <f ca="1">ROUND(C49*F67,0)</f>
        <v>0</v>
      </c>
      <c r="D67" s="1893" t="s">
        <v>2174</v>
      </c>
      <c r="E67" s="319" t="s">
        <v>2170</v>
      </c>
      <c r="F67" s="329">
        <f t="shared" si="0"/>
        <v>0.01</v>
      </c>
      <c r="O67" s="1371" t="s">
        <v>966</v>
      </c>
      <c r="P67" s="1375" t="s">
        <v>2295</v>
      </c>
      <c r="Q67" s="1369">
        <f ca="1">C39</f>
        <v>236184</v>
      </c>
      <c r="R67" s="1370" t="s">
        <v>2229</v>
      </c>
    </row>
    <row r="68" spans="1:18" ht="15.75" thickBot="1">
      <c r="A68" s="332" t="s">
        <v>22</v>
      </c>
      <c r="B68" s="89" t="s">
        <v>2178</v>
      </c>
      <c r="C68" s="334">
        <f ca="1">C49-C59</f>
        <v>-17968</v>
      </c>
      <c r="D68" s="1888" t="s">
        <v>2179</v>
      </c>
      <c r="E68" s="1892"/>
      <c r="F68" s="353"/>
      <c r="H68" s="791"/>
      <c r="I68" s="791"/>
      <c r="J68" s="791"/>
      <c r="K68" s="791"/>
      <c r="L68" s="791"/>
      <c r="M68" s="791"/>
      <c r="O68" s="1371" t="s">
        <v>967</v>
      </c>
      <c r="P68" s="1375" t="s">
        <v>2296</v>
      </c>
      <c r="Q68" s="1369">
        <f ca="1">C13</f>
        <v>921055</v>
      </c>
      <c r="R68" s="1370" t="s">
        <v>2229</v>
      </c>
    </row>
    <row r="69" spans="1:18" ht="15.75" thickBot="1">
      <c r="A69" s="316" t="s">
        <v>23</v>
      </c>
      <c r="B69" s="317" t="s">
        <v>2216</v>
      </c>
      <c r="C69" s="318">
        <f ca="1">ROUND(C68*(1-((1+F71)/(1+F69))^F70)/(F69-F71),0)</f>
        <v>-328022</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50</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-1442</v>
      </c>
      <c r="D72" s="359" t="s">
        <v>2221</v>
      </c>
      <c r="E72" s="360" t="s">
        <v>2222</v>
      </c>
      <c r="F72" s="361">
        <f>F43</f>
        <v>227.54</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729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7" t="s">
        <v>1025</v>
      </c>
      <c r="B1" s="3038"/>
      <c r="C1" s="3039"/>
      <c r="D1" s="3040">
        <f>SUM(I10,I15,I20,I21,I23)</f>
        <v>0</v>
      </c>
      <c r="E1" s="3040"/>
      <c r="F1" s="3040"/>
      <c r="G1" s="3040"/>
      <c r="H1" s="3040"/>
      <c r="I1" s="3041"/>
    </row>
    <row r="2" spans="1:9">
      <c r="A2" s="3042" t="s">
        <v>1026</v>
      </c>
      <c r="B2" s="3043" t="s">
        <v>975</v>
      </c>
      <c r="C2" s="3043"/>
      <c r="D2" s="1389" t="s">
        <v>976</v>
      </c>
      <c r="E2" s="1389" t="s">
        <v>977</v>
      </c>
      <c r="F2" s="1389" t="s">
        <v>978</v>
      </c>
      <c r="G2" s="1389" t="s">
        <v>979</v>
      </c>
      <c r="H2" s="1389" t="s">
        <v>980</v>
      </c>
      <c r="I2" s="1390" t="s">
        <v>981</v>
      </c>
    </row>
    <row r="3" spans="1:9">
      <c r="A3" s="3042"/>
      <c r="B3" s="3043" t="s">
        <v>982</v>
      </c>
      <c r="C3" s="3043"/>
      <c r="D3" s="1391"/>
      <c r="E3" s="1389"/>
      <c r="F3" s="1392"/>
      <c r="G3" s="1392"/>
      <c r="H3" s="1393"/>
      <c r="I3" s="1394">
        <f>ROUND(D3*E3*F3*G3*H3/10000,0)</f>
        <v>0</v>
      </c>
    </row>
    <row r="4" spans="1:9">
      <c r="A4" s="3042"/>
      <c r="B4" s="3043" t="s">
        <v>983</v>
      </c>
      <c r="C4" s="3043"/>
      <c r="D4" s="1391"/>
      <c r="E4" s="1389"/>
      <c r="F4" s="1392"/>
      <c r="G4" s="1392"/>
      <c r="H4" s="1393"/>
      <c r="I4" s="1394">
        <f t="shared" ref="I4:I9" si="0">ROUND(D4*E4*F4*G4*H4/10000,0)</f>
        <v>0</v>
      </c>
    </row>
    <row r="5" spans="1:9">
      <c r="A5" s="3042"/>
      <c r="B5" s="3043" t="s">
        <v>984</v>
      </c>
      <c r="C5" s="3043"/>
      <c r="D5" s="1391"/>
      <c r="E5" s="1389"/>
      <c r="F5" s="1392"/>
      <c r="G5" s="1392"/>
      <c r="H5" s="1393"/>
      <c r="I5" s="1394">
        <f t="shared" si="0"/>
        <v>0</v>
      </c>
    </row>
    <row r="6" spans="1:9">
      <c r="A6" s="3042"/>
      <c r="B6" s="3043" t="s">
        <v>985</v>
      </c>
      <c r="C6" s="3043"/>
      <c r="D6" s="1391"/>
      <c r="E6" s="1389"/>
      <c r="F6" s="1392"/>
      <c r="G6" s="1392"/>
      <c r="H6" s="1393"/>
      <c r="I6" s="1394">
        <f t="shared" si="0"/>
        <v>0</v>
      </c>
    </row>
    <row r="7" spans="1:9">
      <c r="A7" s="3042"/>
      <c r="B7" s="3043" t="s">
        <v>986</v>
      </c>
      <c r="C7" s="3043"/>
      <c r="D7" s="1391"/>
      <c r="E7" s="1389"/>
      <c r="F7" s="1392"/>
      <c r="G7" s="1392"/>
      <c r="H7" s="1393"/>
      <c r="I7" s="1394">
        <f t="shared" si="0"/>
        <v>0</v>
      </c>
    </row>
    <row r="8" spans="1:9">
      <c r="A8" s="3042"/>
      <c r="B8" s="3043" t="s">
        <v>987</v>
      </c>
      <c r="C8" s="3043"/>
      <c r="D8" s="1391"/>
      <c r="E8" s="1389"/>
      <c r="F8" s="1392"/>
      <c r="G8" s="1392"/>
      <c r="H8" s="1393"/>
      <c r="I8" s="1394">
        <f t="shared" si="0"/>
        <v>0</v>
      </c>
    </row>
    <row r="9" spans="1:9">
      <c r="A9" s="3042"/>
      <c r="B9" s="3043" t="s">
        <v>988</v>
      </c>
      <c r="C9" s="3043"/>
      <c r="D9" s="1391"/>
      <c r="E9" s="1389"/>
      <c r="F9" s="1392"/>
      <c r="G9" s="1392"/>
      <c r="H9" s="1393"/>
      <c r="I9" s="1394">
        <f t="shared" si="0"/>
        <v>0</v>
      </c>
    </row>
    <row r="10" spans="1:9">
      <c r="A10" s="3042"/>
      <c r="B10" s="3044" t="s">
        <v>989</v>
      </c>
      <c r="C10" s="3044"/>
      <c r="D10" s="1395">
        <v>527</v>
      </c>
      <c r="E10" s="1395" t="e">
        <f>ROUND(D1*10000/D10/H9,0)</f>
        <v>#DIV/0!</v>
      </c>
      <c r="F10" s="1396"/>
      <c r="G10" s="1396"/>
      <c r="H10" s="1397"/>
      <c r="I10" s="1398">
        <f>SUM(I3:I9)</f>
        <v>0</v>
      </c>
    </row>
    <row r="11" spans="1:9" ht="14.25">
      <c r="A11" s="3042" t="s">
        <v>1027</v>
      </c>
      <c r="B11" s="3043" t="s">
        <v>990</v>
      </c>
      <c r="C11" s="3043"/>
      <c r="D11" s="1391" t="s">
        <v>991</v>
      </c>
      <c r="E11" s="1391" t="s">
        <v>992</v>
      </c>
      <c r="F11" s="1392" t="s">
        <v>993</v>
      </c>
      <c r="G11" s="1392" t="s">
        <v>980</v>
      </c>
      <c r="H11" s="1399" t="s">
        <v>994</v>
      </c>
      <c r="I11" s="1390" t="s">
        <v>981</v>
      </c>
    </row>
    <row r="12" spans="1:9">
      <c r="A12" s="3042"/>
      <c r="B12" s="3043" t="s">
        <v>995</v>
      </c>
      <c r="C12" s="3043"/>
      <c r="D12" s="1391"/>
      <c r="E12" s="1391"/>
      <c r="F12" s="1392"/>
      <c r="G12" s="1393"/>
      <c r="H12" s="1400"/>
      <c r="I12" s="1390">
        <f>ROUND(D12*E12*F12*G12/10000,0)</f>
        <v>0</v>
      </c>
    </row>
    <row r="13" spans="1:9">
      <c r="A13" s="3042"/>
      <c r="B13" s="3043" t="s">
        <v>996</v>
      </c>
      <c r="C13" s="3043"/>
      <c r="D13" s="1391"/>
      <c r="E13" s="1391"/>
      <c r="F13" s="1392"/>
      <c r="G13" s="1393"/>
      <c r="H13" s="1400"/>
      <c r="I13" s="1390">
        <f>ROUND(D13*E13*F13*G13/10000,0)</f>
        <v>0</v>
      </c>
    </row>
    <row r="14" spans="1:9">
      <c r="A14" s="3042"/>
      <c r="B14" s="3043" t="s">
        <v>997</v>
      </c>
      <c r="C14" s="3043"/>
      <c r="D14" s="1391"/>
      <c r="E14" s="1391"/>
      <c r="F14" s="1392"/>
      <c r="G14" s="1393"/>
      <c r="H14" s="1400"/>
      <c r="I14" s="1390">
        <f>ROUND(D14*E14*F14*G14/10000,0)</f>
        <v>0</v>
      </c>
    </row>
    <row r="15" spans="1:9">
      <c r="A15" s="3042"/>
      <c r="B15" s="3044" t="s">
        <v>989</v>
      </c>
      <c r="C15" s="3044"/>
      <c r="D15" s="1395"/>
      <c r="E15" s="1395">
        <f>SUM(E12:E14)</f>
        <v>0</v>
      </c>
      <c r="F15" s="1396"/>
      <c r="G15" s="1393"/>
      <c r="H15" s="1400"/>
      <c r="I15" s="1401">
        <f>SUM(I12:I14)</f>
        <v>0</v>
      </c>
    </row>
    <row r="16" spans="1:9" ht="24">
      <c r="A16" s="3042" t="s">
        <v>1028</v>
      </c>
      <c r="B16" s="3043" t="s">
        <v>998</v>
      </c>
      <c r="C16" s="3043"/>
      <c r="D16" s="1391" t="s">
        <v>976</v>
      </c>
      <c r="E16" s="1402" t="s">
        <v>999</v>
      </c>
      <c r="F16" s="1392" t="s">
        <v>1000</v>
      </c>
      <c r="G16" s="1393" t="s">
        <v>980</v>
      </c>
      <c r="H16" s="1399" t="s">
        <v>994</v>
      </c>
      <c r="I16" s="1390" t="s">
        <v>981</v>
      </c>
    </row>
    <row r="17" spans="1:9" ht="14.25">
      <c r="A17" s="3042"/>
      <c r="B17" s="3043" t="s">
        <v>1001</v>
      </c>
      <c r="C17" s="3043"/>
      <c r="D17" s="1391"/>
      <c r="E17" s="1391"/>
      <c r="F17" s="1392"/>
      <c r="G17" s="1393"/>
      <c r="H17" s="1403"/>
      <c r="I17" s="1404">
        <f>ROUND(D17*E17*F17*G17/10000,0)</f>
        <v>0</v>
      </c>
    </row>
    <row r="18" spans="1:9" ht="14.25">
      <c r="A18" s="3042"/>
      <c r="B18" s="3043" t="s">
        <v>1002</v>
      </c>
      <c r="C18" s="3043"/>
      <c r="D18" s="1391"/>
      <c r="E18" s="1391"/>
      <c r="F18" s="1392"/>
      <c r="G18" s="1393"/>
      <c r="H18" s="1403"/>
      <c r="I18" s="1404">
        <f>ROUND(D18*E18*F18*G18/10000,0)</f>
        <v>0</v>
      </c>
    </row>
    <row r="19" spans="1:9" ht="14.25">
      <c r="A19" s="3042"/>
      <c r="B19" s="3043" t="s">
        <v>1003</v>
      </c>
      <c r="C19" s="3043"/>
      <c r="D19" s="1391"/>
      <c r="E19" s="1391"/>
      <c r="F19" s="1392"/>
      <c r="G19" s="1393"/>
      <c r="H19" s="1403"/>
      <c r="I19" s="1404">
        <f>ROUND(D19*E19*F19*G19/10000,0)</f>
        <v>0</v>
      </c>
    </row>
    <row r="20" spans="1:9">
      <c r="A20" s="3042"/>
      <c r="B20" s="3044" t="s">
        <v>989</v>
      </c>
      <c r="C20" s="3044"/>
      <c r="D20" s="1395">
        <f>SUM(D17:D19)</f>
        <v>0</v>
      </c>
      <c r="E20" s="1395"/>
      <c r="F20" s="1396"/>
      <c r="G20" s="1393"/>
      <c r="H20" s="1400"/>
      <c r="I20" s="1401">
        <f>SUM(I17:I19)</f>
        <v>0</v>
      </c>
    </row>
    <row r="21" spans="1:9">
      <c r="A21" s="3042" t="s">
        <v>1029</v>
      </c>
      <c r="B21" s="3046"/>
      <c r="C21" s="3046"/>
      <c r="D21" s="3046"/>
      <c r="E21" s="3046"/>
      <c r="F21" s="3046"/>
      <c r="G21" s="3046"/>
      <c r="H21" s="1405">
        <v>0.1</v>
      </c>
      <c r="I21" s="1398">
        <f>ROUND(I10*H21,0)</f>
        <v>0</v>
      </c>
    </row>
    <row r="22" spans="1:9" ht="14.25">
      <c r="A22" s="3047" t="s">
        <v>1030</v>
      </c>
      <c r="B22" s="3048"/>
      <c r="C22" s="3049"/>
      <c r="D22" s="1406" t="s">
        <v>1004</v>
      </c>
      <c r="E22" s="1406" t="s">
        <v>1005</v>
      </c>
      <c r="F22" s="1407" t="s">
        <v>980</v>
      </c>
      <c r="G22" s="1407" t="s">
        <v>1006</v>
      </c>
      <c r="H22" s="1399" t="s">
        <v>994</v>
      </c>
      <c r="I22" s="1390" t="s">
        <v>981</v>
      </c>
    </row>
    <row r="23" spans="1:9" ht="14.25" thickBot="1">
      <c r="A23" s="3050"/>
      <c r="B23" s="3051"/>
      <c r="C23" s="3052"/>
      <c r="D23" s="1408"/>
      <c r="E23" s="1408"/>
      <c r="F23" s="1408"/>
      <c r="G23" s="1409"/>
      <c r="H23" s="1410"/>
      <c r="I23" s="1411">
        <f>ROUND(E23*D23*F23*(1-G23)/10000,0)</f>
        <v>0</v>
      </c>
    </row>
    <row r="26" spans="1:9">
      <c r="A26" s="1412" t="s">
        <v>1007</v>
      </c>
      <c r="B26" s="1412"/>
      <c r="C26" s="1412"/>
      <c r="D26" s="1412"/>
      <c r="E26" s="3053">
        <f>C27-C30-C31-C32</f>
        <v>0</v>
      </c>
      <c r="F26" s="3053"/>
      <c r="G26" s="3053"/>
      <c r="H26" s="1829" t="s">
        <v>1220</v>
      </c>
    </row>
    <row r="27" spans="1:9">
      <c r="A27" s="1413">
        <v>1</v>
      </c>
      <c r="B27" s="1414" t="s">
        <v>1008</v>
      </c>
      <c r="C27" s="1414">
        <f>C28+C29</f>
        <v>0</v>
      </c>
      <c r="D27" s="1414"/>
      <c r="E27" s="3054"/>
      <c r="F27" s="3054"/>
      <c r="G27" s="3054"/>
    </row>
    <row r="28" spans="1:9">
      <c r="A28" s="1415" t="s">
        <v>1009</v>
      </c>
      <c r="B28" s="1414" t="s">
        <v>1010</v>
      </c>
      <c r="C28" s="1414"/>
      <c r="D28" s="1414"/>
      <c r="E28" s="3054"/>
      <c r="F28" s="3054"/>
      <c r="G28" s="305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5"/>
      <c r="F32" s="3045"/>
      <c r="G32" s="3045"/>
    </row>
    <row r="33" spans="1:7" hidden="1">
      <c r="A33" s="3055" t="s">
        <v>1019</v>
      </c>
      <c r="B33" s="3056"/>
      <c r="C33" s="3056"/>
      <c r="D33" s="3057"/>
      <c r="E33" s="3053"/>
      <c r="F33" s="3053"/>
      <c r="G33" s="3053"/>
    </row>
    <row r="34" spans="1:7" hidden="1">
      <c r="A34" s="1417">
        <v>1</v>
      </c>
      <c r="B34" s="1414" t="s">
        <v>1020</v>
      </c>
      <c r="C34" s="1414"/>
      <c r="D34" s="1414"/>
      <c r="E34" s="3054"/>
      <c r="F34" s="3054"/>
      <c r="G34" s="3054"/>
    </row>
    <row r="35" spans="1:7" hidden="1">
      <c r="A35" s="1417">
        <v>2</v>
      </c>
      <c r="B35" s="1414" t="s">
        <v>1021</v>
      </c>
      <c r="C35" s="1414"/>
      <c r="D35" s="1414"/>
      <c r="E35" s="3054"/>
      <c r="F35" s="3054"/>
      <c r="G35" s="3054"/>
    </row>
    <row r="36" spans="1:7" hidden="1">
      <c r="A36" s="1417">
        <v>3</v>
      </c>
      <c r="B36" s="1414" t="s">
        <v>1022</v>
      </c>
      <c r="C36" s="1414"/>
      <c r="D36" s="1414"/>
      <c r="E36" s="3054"/>
      <c r="F36" s="3054"/>
      <c r="G36" s="3054"/>
    </row>
    <row r="37" spans="1:7" hidden="1">
      <c r="A37" s="1417">
        <v>4</v>
      </c>
      <c r="B37" s="1414" t="s">
        <v>1023</v>
      </c>
      <c r="C37" s="1414"/>
      <c r="D37" s="1414"/>
      <c r="E37" s="3054"/>
      <c r="F37" s="3054"/>
      <c r="G37" s="3054"/>
    </row>
    <row r="38" spans="1:7" hidden="1">
      <c r="A38" s="3055" t="s">
        <v>1024</v>
      </c>
      <c r="B38" s="3056"/>
      <c r="C38" s="3056"/>
      <c r="D38" s="3057"/>
      <c r="E38" s="3053"/>
      <c r="F38" s="3053"/>
      <c r="G38" s="305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61" t="s">
        <v>2303</v>
      </c>
      <c r="D4" s="3062"/>
      <c r="E4" s="3062"/>
      <c r="F4" s="3062"/>
      <c r="G4" s="3062"/>
      <c r="H4" s="3062"/>
      <c r="I4" s="3062"/>
      <c r="J4" s="3062"/>
      <c r="K4" s="3062"/>
      <c r="L4" s="3062"/>
      <c r="M4" s="3062"/>
      <c r="N4" s="3062"/>
      <c r="O4" s="3062"/>
      <c r="P4" s="3062"/>
      <c r="Q4" s="3062"/>
      <c r="R4" s="3062"/>
      <c r="S4" s="3063"/>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2312</v>
      </c>
      <c r="B20" s="2370"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2314</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2" t="str">
        <f>'数据-取费表'!B3</f>
        <v>万元</v>
      </c>
      <c r="D23" s="84"/>
      <c r="E23" s="84"/>
      <c r="F23" s="2373" t="s">
        <v>1254</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2316</v>
      </c>
      <c r="B24" s="308" t="e">
        <f>R25</f>
        <v>#DIV/0!</v>
      </c>
      <c r="C24" s="1144"/>
      <c r="D24" s="84"/>
      <c r="E24" s="84"/>
      <c r="F24" s="84"/>
      <c r="G24" s="84"/>
      <c r="H24" s="84"/>
      <c r="I24" s="84"/>
      <c r="J24" s="84"/>
      <c r="K24" s="84"/>
      <c r="L24" s="84"/>
      <c r="M24" s="84"/>
      <c r="N24" s="84"/>
      <c r="O24" s="84"/>
      <c r="P24" s="84"/>
      <c r="Q24" s="84"/>
      <c r="R24" s="769"/>
      <c r="S24" s="14" t="s">
        <v>2317</v>
      </c>
      <c r="T24" s="1897" t="s">
        <v>2318</v>
      </c>
      <c r="U24" s="2375" t="s">
        <v>2319</v>
      </c>
      <c r="V24" s="1342"/>
      <c r="W24" s="2376" t="s">
        <v>2320</v>
      </c>
      <c r="X24" s="2375" t="s">
        <v>2321</v>
      </c>
      <c r="Y24" s="1342"/>
      <c r="Z24" s="2377" t="s">
        <v>2320</v>
      </c>
    </row>
    <row r="25" spans="1:45">
      <c r="A25" s="334" t="s">
        <v>2322</v>
      </c>
      <c r="B25" s="14">
        <f>SUM(B27:B10000)</f>
        <v>0</v>
      </c>
      <c r="C25" s="3058" t="s">
        <v>45</v>
      </c>
      <c r="D25" s="3059"/>
      <c r="E25" s="3059"/>
      <c r="F25" s="3059"/>
      <c r="G25" s="3059"/>
      <c r="H25" s="3059"/>
      <c r="I25" s="3059"/>
      <c r="J25" s="3059"/>
      <c r="K25" s="3059"/>
      <c r="L25" s="3059"/>
      <c r="M25" s="3059"/>
      <c r="N25" s="3059"/>
      <c r="O25" s="3059"/>
      <c r="P25" s="3059"/>
      <c r="Q25" s="306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3" t="s">
        <v>2328</v>
      </c>
      <c r="V26" s="2379" t="s">
        <v>2329</v>
      </c>
      <c r="W26" s="2380" t="s">
        <v>2330</v>
      </c>
      <c r="X26" s="1883" t="s">
        <v>2328</v>
      </c>
      <c r="Y26" s="2379" t="s">
        <v>2329</v>
      </c>
      <c r="Z26" s="2380"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2445</v>
      </c>
      <c r="C1" s="1726"/>
      <c r="D1" s="2451"/>
      <c r="E1" s="2382"/>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万元</v>
      </c>
      <c r="D2" s="2384"/>
      <c r="E2" s="2452" t="e">
        <f ca="1">SUMIF(INDIRECT("'"&amp;G2&amp;"'"&amp;"!A:A"),"承租人权益价值",INDIRECT("'"&amp;G2&amp;"'"&amp;"!c:c"))</f>
        <v>#REF!</v>
      </c>
      <c r="F2" s="2385" t="str">
        <f>C2</f>
        <v>万元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227.54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2990" t="s">
        <v>2337</v>
      </c>
      <c r="D4" s="2991"/>
      <c r="E4" s="2992" t="s">
        <v>2338</v>
      </c>
      <c r="F4" s="2993"/>
      <c r="G4" s="2990" t="s">
        <v>2339</v>
      </c>
      <c r="H4" s="2991"/>
      <c r="I4" s="2990" t="s">
        <v>2340</v>
      </c>
      <c r="J4" s="2991"/>
      <c r="K4" s="594"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3006" t="s">
        <v>2339</v>
      </c>
      <c r="AC4" s="2987" t="s">
        <v>2340</v>
      </c>
    </row>
    <row r="5" spans="1:29" ht="15">
      <c r="A5" s="383"/>
      <c r="B5" s="384"/>
      <c r="C5" s="3009" t="s">
        <v>2343</v>
      </c>
      <c r="D5" s="3010"/>
      <c r="E5" s="3064" t="s">
        <v>2344</v>
      </c>
      <c r="F5" s="3008"/>
      <c r="G5" s="3009" t="s">
        <v>2345</v>
      </c>
      <c r="H5" s="3010"/>
      <c r="I5" s="3009" t="s">
        <v>2346</v>
      </c>
      <c r="J5" s="3010"/>
      <c r="K5" s="594"/>
      <c r="L5" s="1243"/>
      <c r="M5" s="1244"/>
      <c r="N5" s="1244"/>
      <c r="O5" s="1244"/>
      <c r="P5" s="2996"/>
      <c r="Q5" s="2997"/>
      <c r="R5" s="3002"/>
      <c r="S5" s="3003"/>
      <c r="T5" s="3002"/>
      <c r="U5" s="3003"/>
      <c r="V5" s="3006"/>
      <c r="W5" s="3006"/>
      <c r="X5" s="1900"/>
      <c r="Y5" s="3002"/>
      <c r="Z5" s="3003"/>
      <c r="AA5" s="2988"/>
      <c r="AB5" s="3006"/>
      <c r="AC5" s="2988"/>
    </row>
    <row r="6" spans="1:29" ht="15.75" thickBot="1">
      <c r="A6" s="385"/>
      <c r="B6" s="386"/>
      <c r="C6" s="3011" t="s">
        <v>2347</v>
      </c>
      <c r="D6" s="3012"/>
      <c r="E6" s="3013" t="s">
        <v>2347</v>
      </c>
      <c r="F6" s="3014"/>
      <c r="G6" s="3011" t="s">
        <v>2347</v>
      </c>
      <c r="H6" s="3012"/>
      <c r="I6" s="3011" t="s">
        <v>2347</v>
      </c>
      <c r="J6" s="3012"/>
      <c r="K6" s="594" t="s">
        <v>2348</v>
      </c>
      <c r="L6" s="1243"/>
      <c r="M6" s="1244"/>
      <c r="N6" s="1244"/>
      <c r="O6" s="1244"/>
      <c r="P6" s="2998"/>
      <c r="Q6" s="2999"/>
      <c r="R6" s="3002"/>
      <c r="S6" s="3003"/>
      <c r="T6" s="3004"/>
      <c r="U6" s="3005"/>
      <c r="V6" s="3006"/>
      <c r="W6" s="3006"/>
      <c r="X6" s="1900"/>
      <c r="Y6" s="3004"/>
      <c r="Z6" s="3005"/>
      <c r="AA6" s="2989"/>
      <c r="AB6" s="3006"/>
      <c r="AC6" s="2989"/>
    </row>
    <row r="7" spans="1:29" s="35" customFormat="1" ht="15.75" thickBot="1">
      <c r="A7" s="387" t="s">
        <v>2349</v>
      </c>
      <c r="B7" s="388"/>
      <c r="C7" s="389">
        <f>'数据-取费表'!B2</f>
        <v>43180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2" t="s">
        <v>2350</v>
      </c>
      <c r="Q7" s="3024"/>
      <c r="R7" s="749" t="s">
        <v>25</v>
      </c>
      <c r="S7" s="750">
        <f t="shared" ref="S7:S15" si="0">F7</f>
        <v>0</v>
      </c>
      <c r="T7" s="749" t="s">
        <v>25</v>
      </c>
      <c r="U7" s="750">
        <f t="shared" ref="U7:U15" si="1">H7</f>
        <v>0</v>
      </c>
      <c r="V7" s="749" t="s">
        <v>25</v>
      </c>
      <c r="W7" s="750">
        <f t="shared" ref="W7:W15" si="2">J7</f>
        <v>0</v>
      </c>
      <c r="X7" s="751"/>
      <c r="Y7" s="3022" t="s">
        <v>2350</v>
      </c>
      <c r="Z7" s="3023"/>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2" t="s">
        <v>2353</v>
      </c>
      <c r="Q8" s="3023"/>
      <c r="R8" s="749" t="s">
        <v>25</v>
      </c>
      <c r="S8" s="750">
        <f t="shared" si="0"/>
        <v>0</v>
      </c>
      <c r="T8" s="749" t="s">
        <v>25</v>
      </c>
      <c r="U8" s="750">
        <f t="shared" si="1"/>
        <v>0</v>
      </c>
      <c r="V8" s="749" t="s">
        <v>25</v>
      </c>
      <c r="W8" s="750">
        <f t="shared" si="2"/>
        <v>0</v>
      </c>
      <c r="X8" s="751"/>
      <c r="Y8" s="3022" t="s">
        <v>2353</v>
      </c>
      <c r="Z8" s="3023"/>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5"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5"/>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5"/>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2360</v>
      </c>
      <c r="B15" s="26" t="s">
        <v>2446</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8" t="s">
        <v>2361</v>
      </c>
      <c r="Q15" s="1899" t="str">
        <f t="shared" si="6"/>
        <v>商业繁华度</v>
      </c>
      <c r="R15" s="753" t="s">
        <v>25</v>
      </c>
      <c r="S15" s="754">
        <f t="shared" si="0"/>
        <v>100</v>
      </c>
      <c r="T15" s="753" t="s">
        <v>25</v>
      </c>
      <c r="U15" s="754">
        <f t="shared" si="1"/>
        <v>100</v>
      </c>
      <c r="V15" s="753" t="s">
        <v>25</v>
      </c>
      <c r="W15" s="754">
        <f t="shared" si="2"/>
        <v>100</v>
      </c>
      <c r="X15" s="1900"/>
      <c r="Y15" s="3015"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9"/>
      <c r="Q16" s="1899"/>
      <c r="R16" s="753"/>
      <c r="S16" s="754"/>
      <c r="T16" s="753"/>
      <c r="U16" s="754"/>
      <c r="V16" s="753"/>
      <c r="W16" s="754"/>
      <c r="X16" s="1900"/>
      <c r="Y16" s="3016"/>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9"/>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29"/>
      <c r="Q18" s="1899"/>
      <c r="R18" s="753"/>
      <c r="S18" s="754"/>
      <c r="T18" s="753"/>
      <c r="U18" s="754"/>
      <c r="V18" s="753"/>
      <c r="W18" s="754"/>
      <c r="X18" s="1900"/>
      <c r="Y18" s="3016"/>
      <c r="Z18" s="1902"/>
      <c r="AA18" s="1903">
        <v>1</v>
      </c>
      <c r="AB18" s="1903">
        <v>1</v>
      </c>
      <c r="AC18" s="1903">
        <v>1</v>
      </c>
    </row>
    <row r="19" spans="1:29" ht="42.75">
      <c r="A19" s="408"/>
      <c r="B19" s="431" t="s">
        <v>2447</v>
      </c>
      <c r="C19" s="2405"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9"/>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7" t="s">
        <v>2448</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9"/>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29"/>
      <c r="Q22" s="1899"/>
      <c r="R22" s="753"/>
      <c r="S22" s="754"/>
      <c r="T22" s="753"/>
      <c r="U22" s="754"/>
      <c r="V22" s="753"/>
      <c r="W22" s="754"/>
      <c r="X22" s="1900"/>
      <c r="Y22" s="3016"/>
      <c r="Z22" s="1902"/>
      <c r="AA22" s="1903">
        <v>1</v>
      </c>
      <c r="AB22" s="1903">
        <v>1</v>
      </c>
      <c r="AC22" s="1903">
        <v>1</v>
      </c>
    </row>
    <row r="23" spans="1:29" ht="71.25">
      <c r="A23" s="408"/>
      <c r="B23" s="431" t="s">
        <v>1749</v>
      </c>
      <c r="C23" s="2455" t="str">
        <f>估价对象房地状况!C9</f>
        <v>区域自然环境：朝阳公园、蓝港；人文环境；综合评价环境状况好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9"/>
      <c r="Q23" s="1899" t="str">
        <f>B23</f>
        <v>自然及人文环境</v>
      </c>
      <c r="R23" s="753" t="s">
        <v>25</v>
      </c>
      <c r="S23" s="754">
        <f>F23</f>
        <v>100</v>
      </c>
      <c r="T23" s="753" t="s">
        <v>25</v>
      </c>
      <c r="U23" s="754">
        <f>H23</f>
        <v>100</v>
      </c>
      <c r="V23" s="753" t="s">
        <v>25</v>
      </c>
      <c r="W23" s="754">
        <f>J23</f>
        <v>100</v>
      </c>
      <c r="X23" s="1900"/>
      <c r="Y23" s="301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29"/>
      <c r="Q24" s="1899"/>
      <c r="R24" s="753"/>
      <c r="S24" s="754"/>
      <c r="T24" s="753"/>
      <c r="U24" s="754"/>
      <c r="V24" s="753"/>
      <c r="W24" s="754"/>
      <c r="X24" s="1900"/>
      <c r="Y24" s="3016"/>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9"/>
      <c r="Q25" s="1899" t="str">
        <f t="shared" ref="Q25:Q46" si="11">B25</f>
        <v>临街状况</v>
      </c>
      <c r="R25" s="753" t="s">
        <v>25</v>
      </c>
      <c r="S25" s="754">
        <f>F25</f>
        <v>100</v>
      </c>
      <c r="T25" s="753" t="s">
        <v>25</v>
      </c>
      <c r="U25" s="754">
        <f>H25</f>
        <v>100</v>
      </c>
      <c r="V25" s="753" t="s">
        <v>25</v>
      </c>
      <c r="W25" s="754">
        <f>J25</f>
        <v>100</v>
      </c>
      <c r="X25" s="1900"/>
      <c r="Y25" s="3016"/>
      <c r="Z25" s="1902" t="str">
        <f>Q25</f>
        <v>临街状况</v>
      </c>
      <c r="AA25" s="1903">
        <f t="shared" si="3"/>
        <v>1</v>
      </c>
      <c r="AB25" s="1903">
        <f t="shared" si="4"/>
        <v>1</v>
      </c>
      <c r="AC25" s="1903">
        <f t="shared" si="5"/>
        <v>1</v>
      </c>
    </row>
    <row r="26" spans="1:29" ht="15">
      <c r="A26" s="408"/>
      <c r="B26" s="2411"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9"/>
      <c r="Q26" s="1899" t="str">
        <f t="shared" si="11"/>
        <v>平面位置/可视性</v>
      </c>
      <c r="R26" s="753" t="s">
        <v>25</v>
      </c>
      <c r="S26" s="754">
        <f>F26</f>
        <v>100</v>
      </c>
      <c r="T26" s="753" t="s">
        <v>25</v>
      </c>
      <c r="U26" s="754">
        <f>H26</f>
        <v>100</v>
      </c>
      <c r="V26" s="753" t="s">
        <v>25</v>
      </c>
      <c r="W26" s="754">
        <f>J26</f>
        <v>100</v>
      </c>
      <c r="X26" s="1900"/>
      <c r="Y26" s="3016"/>
      <c r="Z26" s="1902" t="str">
        <f>Q26</f>
        <v>平面位置/可视性</v>
      </c>
      <c r="AA26" s="1903">
        <f t="shared" si="3"/>
        <v>1</v>
      </c>
      <c r="AB26" s="1903">
        <f t="shared" si="4"/>
        <v>1</v>
      </c>
      <c r="AC26" s="1903">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29"/>
      <c r="Q27" s="1887" t="str">
        <f t="shared" si="11"/>
        <v>人流量</v>
      </c>
      <c r="R27" s="749" t="s">
        <v>25</v>
      </c>
      <c r="S27" s="750">
        <f>F27</f>
        <v>100</v>
      </c>
      <c r="T27" s="749" t="s">
        <v>25</v>
      </c>
      <c r="U27" s="750">
        <f>H27</f>
        <v>100</v>
      </c>
      <c r="V27" s="749" t="s">
        <v>25</v>
      </c>
      <c r="W27" s="750">
        <f>J27</f>
        <v>100</v>
      </c>
      <c r="X27" s="751"/>
      <c r="Y27" s="3016"/>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9"/>
      <c r="Q29" s="1899">
        <f t="shared" si="11"/>
        <v>111</v>
      </c>
      <c r="R29" s="753" t="s">
        <v>25</v>
      </c>
      <c r="S29" s="754">
        <f t="shared" si="12"/>
        <v>100</v>
      </c>
      <c r="T29" s="753" t="s">
        <v>25</v>
      </c>
      <c r="U29" s="754">
        <f t="shared" si="13"/>
        <v>100</v>
      </c>
      <c r="V29" s="753" t="s">
        <v>25</v>
      </c>
      <c r="W29" s="754">
        <f t="shared" si="14"/>
        <v>100</v>
      </c>
      <c r="X29" s="1900"/>
      <c r="Y29" s="301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9"/>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9"/>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
      <c r="A32" s="419" t="s">
        <v>2365</v>
      </c>
      <c r="B32" s="28" t="s">
        <v>2453</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17" t="s">
        <v>2367</v>
      </c>
      <c r="Q32" s="1899" t="str">
        <f t="shared" si="11"/>
        <v>商业类型</v>
      </c>
      <c r="R32" s="753" t="s">
        <v>25</v>
      </c>
      <c r="S32" s="754">
        <f t="shared" si="12"/>
        <v>100</v>
      </c>
      <c r="T32" s="753" t="s">
        <v>25</v>
      </c>
      <c r="U32" s="754">
        <f t="shared" si="13"/>
        <v>100</v>
      </c>
      <c r="V32" s="753" t="s">
        <v>25</v>
      </c>
      <c r="W32" s="754">
        <f t="shared" si="14"/>
        <v>100</v>
      </c>
      <c r="X32" s="1900"/>
      <c r="Y32" s="3020"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8"/>
      <c r="Q33" s="755" t="str">
        <f t="shared" si="11"/>
        <v>项目建筑规模</v>
      </c>
      <c r="R33" s="756" t="s">
        <v>25</v>
      </c>
      <c r="S33" s="757" t="e">
        <f t="shared" si="12"/>
        <v>#N/A</v>
      </c>
      <c r="T33" s="756" t="s">
        <v>25</v>
      </c>
      <c r="U33" s="757" t="e">
        <f t="shared" si="13"/>
        <v>#N/A</v>
      </c>
      <c r="V33" s="756" t="s">
        <v>25</v>
      </c>
      <c r="W33" s="757" t="e">
        <f t="shared" si="14"/>
        <v>#N/A</v>
      </c>
      <c r="X33" s="758"/>
      <c r="Y33" s="3020"/>
      <c r="Z33" s="759" t="str">
        <f t="shared" si="15"/>
        <v>项目建筑规模</v>
      </c>
      <c r="AA33" s="1903" t="e">
        <f t="shared" si="3"/>
        <v>#N/A</v>
      </c>
      <c r="AB33" s="1903" t="e">
        <f t="shared" si="4"/>
        <v>#N/A</v>
      </c>
      <c r="AC33" s="1903"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18"/>
      <c r="Q34" s="1899" t="str">
        <f t="shared" si="11"/>
        <v>建筑结构</v>
      </c>
      <c r="R34" s="753" t="s">
        <v>25</v>
      </c>
      <c r="S34" s="754">
        <f t="shared" si="12"/>
        <v>100</v>
      </c>
      <c r="T34" s="753" t="s">
        <v>25</v>
      </c>
      <c r="U34" s="754">
        <f t="shared" si="13"/>
        <v>100</v>
      </c>
      <c r="V34" s="753" t="s">
        <v>25</v>
      </c>
      <c r="W34" s="754">
        <f t="shared" si="14"/>
        <v>100</v>
      </c>
      <c r="X34" s="1900"/>
      <c r="Y34" s="3020"/>
      <c r="Z34" s="1902" t="str">
        <f t="shared" si="15"/>
        <v>建筑结构</v>
      </c>
      <c r="AA34" s="1903">
        <f t="shared" si="3"/>
        <v>1</v>
      </c>
      <c r="AB34" s="1903">
        <f t="shared" si="4"/>
        <v>1</v>
      </c>
      <c r="AC34" s="1903">
        <f t="shared" si="5"/>
        <v>1</v>
      </c>
    </row>
    <row r="35" spans="1:29" ht="15">
      <c r="A35" s="453"/>
      <c r="B35" s="402" t="s">
        <v>2454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18"/>
      <c r="Q35" s="1899" t="str">
        <f t="shared" si="11"/>
        <v>公共部分装修</v>
      </c>
      <c r="R35" s="753" t="s">
        <v>25</v>
      </c>
      <c r="S35" s="754">
        <f t="shared" si="12"/>
        <v>100</v>
      </c>
      <c r="T35" s="753" t="s">
        <v>25</v>
      </c>
      <c r="U35" s="754">
        <f t="shared" si="13"/>
        <v>100</v>
      </c>
      <c r="V35" s="753" t="s">
        <v>25</v>
      </c>
      <c r="W35" s="754">
        <f t="shared" si="14"/>
        <v>100</v>
      </c>
      <c r="X35" s="1900"/>
      <c r="Y35" s="3020"/>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8"/>
      <c r="Q36" s="1899" t="str">
        <f t="shared" si="11"/>
        <v>成新度</v>
      </c>
      <c r="R36" s="753" t="s">
        <v>25</v>
      </c>
      <c r="S36" s="754" t="e">
        <f t="shared" si="12"/>
        <v>#N/A</v>
      </c>
      <c r="T36" s="753" t="s">
        <v>25</v>
      </c>
      <c r="U36" s="754" t="e">
        <f t="shared" si="13"/>
        <v>#N/A</v>
      </c>
      <c r="V36" s="753" t="s">
        <v>25</v>
      </c>
      <c r="W36" s="754" t="e">
        <f t="shared" si="14"/>
        <v>#N/A</v>
      </c>
      <c r="X36" s="1900"/>
      <c r="Y36" s="3020"/>
      <c r="Z36" s="1902" t="str">
        <f t="shared" si="15"/>
        <v>成新度</v>
      </c>
      <c r="AA36" s="1903" t="e">
        <f t="shared" si="3"/>
        <v>#N/A</v>
      </c>
      <c r="AB36" s="1903" t="e">
        <f t="shared" si="4"/>
        <v>#N/A</v>
      </c>
      <c r="AC36" s="1903" t="e">
        <f t="shared" si="5"/>
        <v>#N/A</v>
      </c>
    </row>
    <row r="37" spans="1:29" s="35" customFormat="1" ht="15">
      <c r="A37" s="454"/>
      <c r="B37" s="402" t="s">
        <v>2456</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18"/>
      <c r="Q37" s="1887"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2457</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18" t="s">
        <v>2367</v>
      </c>
      <c r="Q38" s="1899" t="str">
        <f t="shared" si="11"/>
        <v>业态</v>
      </c>
      <c r="R38" s="753" t="s">
        <v>25</v>
      </c>
      <c r="S38" s="754">
        <f t="shared" si="12"/>
        <v>100</v>
      </c>
      <c r="T38" s="753" t="s">
        <v>25</v>
      </c>
      <c r="U38" s="754">
        <f t="shared" si="13"/>
        <v>100</v>
      </c>
      <c r="V38" s="753" t="s">
        <v>25</v>
      </c>
      <c r="W38" s="754">
        <f t="shared" si="14"/>
        <v>100</v>
      </c>
      <c r="X38" s="1900"/>
      <c r="Y38" s="3020" t="s">
        <v>2367</v>
      </c>
      <c r="Z38" s="1902" t="str">
        <f t="shared" si="15"/>
        <v>业态</v>
      </c>
      <c r="AA38" s="1903">
        <f t="shared" si="3"/>
        <v>1</v>
      </c>
      <c r="AB38" s="1903">
        <f t="shared" si="4"/>
        <v>1</v>
      </c>
      <c r="AC38" s="1903">
        <f t="shared" si="5"/>
        <v>1</v>
      </c>
    </row>
    <row r="39" spans="1:29" ht="15">
      <c r="A39" s="453"/>
      <c r="B39" s="402" t="s">
        <v>2458</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18"/>
      <c r="Q39" s="1899" t="str">
        <f t="shared" si="11"/>
        <v>层高</v>
      </c>
      <c r="R39" s="753" t="s">
        <v>25</v>
      </c>
      <c r="S39" s="754">
        <f t="shared" si="12"/>
        <v>100</v>
      </c>
      <c r="T39" s="753" t="s">
        <v>25</v>
      </c>
      <c r="U39" s="754">
        <f t="shared" si="13"/>
        <v>100</v>
      </c>
      <c r="V39" s="753" t="s">
        <v>25</v>
      </c>
      <c r="W39" s="754">
        <f t="shared" si="14"/>
        <v>100</v>
      </c>
      <c r="X39" s="1900"/>
      <c r="Y39" s="3020"/>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8"/>
      <c r="Q40" s="1899" t="str">
        <f t="shared" si="11"/>
        <v>单套建筑面积</v>
      </c>
      <c r="R40" s="753" t="s">
        <v>25</v>
      </c>
      <c r="S40" s="754">
        <f t="shared" si="12"/>
        <v>100</v>
      </c>
      <c r="T40" s="753" t="s">
        <v>25</v>
      </c>
      <c r="U40" s="754">
        <f t="shared" si="13"/>
        <v>100</v>
      </c>
      <c r="V40" s="753" t="s">
        <v>25</v>
      </c>
      <c r="W40" s="754">
        <f t="shared" si="14"/>
        <v>100</v>
      </c>
      <c r="X40" s="1900"/>
      <c r="Y40" s="3020"/>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8"/>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903">
        <f t="shared" si="3"/>
        <v>1</v>
      </c>
      <c r="AB41" s="1903">
        <f t="shared" si="4"/>
        <v>1</v>
      </c>
      <c r="AC41" s="1903">
        <f t="shared" si="5"/>
        <v>1</v>
      </c>
    </row>
    <row r="42" spans="1:29" ht="15">
      <c r="A42" s="453"/>
      <c r="B42" s="402" t="s">
        <v>2461</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18"/>
      <c r="Q42" s="1899" t="str">
        <f t="shared" si="11"/>
        <v>内部装修</v>
      </c>
      <c r="R42" s="753" t="s">
        <v>25</v>
      </c>
      <c r="S42" s="754">
        <f t="shared" si="12"/>
        <v>100</v>
      </c>
      <c r="T42" s="753" t="s">
        <v>25</v>
      </c>
      <c r="U42" s="754">
        <f t="shared" si="13"/>
        <v>100</v>
      </c>
      <c r="V42" s="753" t="s">
        <v>25</v>
      </c>
      <c r="W42" s="754">
        <f t="shared" si="14"/>
        <v>100</v>
      </c>
      <c r="X42" s="1900"/>
      <c r="Y42" s="3020"/>
      <c r="Z42" s="1902" t="str">
        <f t="shared" si="15"/>
        <v>内部装修</v>
      </c>
      <c r="AA42" s="1903">
        <f t="shared" si="3"/>
        <v>1</v>
      </c>
      <c r="AB42" s="1903">
        <f t="shared" si="4"/>
        <v>1</v>
      </c>
      <c r="AC42" s="1903">
        <f t="shared" si="5"/>
        <v>1</v>
      </c>
    </row>
    <row r="43" spans="1:29" ht="15">
      <c r="A43" s="453"/>
      <c r="B43" s="402" t="s">
        <v>2378</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18"/>
      <c r="Q43" s="1899" t="str">
        <f t="shared" si="11"/>
        <v>内部装修维护情况</v>
      </c>
      <c r="R43" s="753" t="s">
        <v>25</v>
      </c>
      <c r="S43" s="754">
        <f t="shared" si="12"/>
        <v>100</v>
      </c>
      <c r="T43" s="753" t="s">
        <v>25</v>
      </c>
      <c r="U43" s="754">
        <f t="shared" si="13"/>
        <v>100</v>
      </c>
      <c r="V43" s="753" t="s">
        <v>25</v>
      </c>
      <c r="W43" s="754">
        <f t="shared" si="14"/>
        <v>100</v>
      </c>
      <c r="X43" s="1900"/>
      <c r="Y43" s="302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8"/>
      <c r="Q44" s="1887">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8"/>
      <c r="Q45" s="1899">
        <f t="shared" si="11"/>
        <v>111</v>
      </c>
      <c r="R45" s="753" t="s">
        <v>25</v>
      </c>
      <c r="S45" s="754">
        <f t="shared" si="12"/>
        <v>100</v>
      </c>
      <c r="T45" s="753" t="s">
        <v>25</v>
      </c>
      <c r="U45" s="754">
        <f t="shared" si="13"/>
        <v>100</v>
      </c>
      <c r="V45" s="753" t="s">
        <v>25</v>
      </c>
      <c r="W45" s="754">
        <f t="shared" si="14"/>
        <v>100</v>
      </c>
      <c r="X45" s="1900"/>
      <c r="Y45" s="302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9"/>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26" t="str">
        <f>A48</f>
        <v>比较价值（元/平方米）</v>
      </c>
      <c r="Q48" s="3026"/>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32" t="str">
        <f>A49</f>
        <v>估价对象XX用房的比较价值（楼面单价，元/平方米）</v>
      </c>
      <c r="Q49" s="3033"/>
      <c r="R49" s="3034" t="e">
        <f>IF(E1="售价",ROUND(AVERAGE(R48:V48),0),ROUND(AVERAGE(R48:V48),1))</f>
        <v>#DIV/0!</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2474</v>
      </c>
      <c r="C1" s="1726"/>
      <c r="D1" s="1739"/>
      <c r="E1" s="2382"/>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2001</v>
      </c>
      <c r="B2" s="1725" t="e">
        <f ca="1">IF(D2="——",IF(C2="元",ROUND(C50*D3,0),ROUND(C50*D3/10000,0)),IF(C2="元",ROUND(C50*D3,0),ROUND(C50*D3/10000,0))-E2)</f>
        <v>#DIV/0!</v>
      </c>
      <c r="C2" s="163" t="str">
        <f>'数据-取费表'!B3</f>
        <v>万元</v>
      </c>
      <c r="D2" s="2384"/>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227.54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2990" t="s">
        <v>2337</v>
      </c>
      <c r="D4" s="2991"/>
      <c r="E4" s="2992" t="s">
        <v>2338</v>
      </c>
      <c r="F4" s="2993"/>
      <c r="G4" s="2990" t="s">
        <v>2339</v>
      </c>
      <c r="H4" s="2991"/>
      <c r="I4" s="2990" t="s">
        <v>2340</v>
      </c>
      <c r="J4" s="2991"/>
      <c r="K4" s="594" t="s">
        <v>2341</v>
      </c>
      <c r="L4" s="1243"/>
      <c r="M4" s="1244"/>
      <c r="N4" s="1244"/>
      <c r="O4" s="1244"/>
      <c r="P4" s="3065" t="s">
        <v>2342</v>
      </c>
      <c r="Q4" s="2995"/>
      <c r="R4" s="3000" t="s">
        <v>2338</v>
      </c>
      <c r="S4" s="3001"/>
      <c r="T4" s="3000" t="s">
        <v>2339</v>
      </c>
      <c r="U4" s="3001"/>
      <c r="V4" s="3006" t="s">
        <v>2340</v>
      </c>
      <c r="W4" s="3006"/>
      <c r="X4" s="1900"/>
      <c r="Y4" s="3000" t="s">
        <v>2342</v>
      </c>
      <c r="Z4" s="3001"/>
      <c r="AA4" s="2987" t="s">
        <v>2338</v>
      </c>
      <c r="AB4" s="2987" t="s">
        <v>2339</v>
      </c>
      <c r="AC4" s="2987" t="s">
        <v>2340</v>
      </c>
    </row>
    <row r="5" spans="1:29" ht="15">
      <c r="A5" s="383"/>
      <c r="B5" s="384"/>
      <c r="C5" s="3009" t="s">
        <v>2343</v>
      </c>
      <c r="D5" s="3010"/>
      <c r="E5" s="3064" t="s">
        <v>2344</v>
      </c>
      <c r="F5" s="3008"/>
      <c r="G5" s="3009" t="s">
        <v>2345</v>
      </c>
      <c r="H5" s="3010"/>
      <c r="I5" s="3009" t="s">
        <v>2346</v>
      </c>
      <c r="J5" s="3010"/>
      <c r="K5" s="594"/>
      <c r="L5" s="1243"/>
      <c r="M5" s="1244"/>
      <c r="N5" s="1244"/>
      <c r="O5" s="1244"/>
      <c r="P5" s="306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594" t="s">
        <v>2348</v>
      </c>
      <c r="L6" s="1243"/>
      <c r="M6" s="1244"/>
      <c r="N6" s="1244"/>
      <c r="O6" s="1244"/>
      <c r="P6" s="3067"/>
      <c r="Q6" s="2999"/>
      <c r="R6" s="3002"/>
      <c r="S6" s="3003"/>
      <c r="T6" s="3004"/>
      <c r="U6" s="3005"/>
      <c r="V6" s="3006"/>
      <c r="W6" s="3006"/>
      <c r="X6" s="1900"/>
      <c r="Y6" s="3004"/>
      <c r="Z6" s="3005"/>
      <c r="AA6" s="2989"/>
      <c r="AB6" s="2989"/>
      <c r="AC6" s="2989"/>
    </row>
    <row r="7" spans="1:29" s="35" customFormat="1" ht="15.75" thickBot="1">
      <c r="A7" s="387" t="s">
        <v>2349</v>
      </c>
      <c r="B7" s="388"/>
      <c r="C7" s="389">
        <f>'数据-取费表'!B2</f>
        <v>43180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4" t="s">
        <v>2350</v>
      </c>
      <c r="Q7" s="3024"/>
      <c r="R7" s="749" t="s">
        <v>25</v>
      </c>
      <c r="S7" s="750">
        <f t="shared" ref="S7:S15" si="0">F7</f>
        <v>0</v>
      </c>
      <c r="T7" s="749" t="s">
        <v>25</v>
      </c>
      <c r="U7" s="750">
        <f t="shared" ref="U7:U15" si="1">H7</f>
        <v>0</v>
      </c>
      <c r="V7" s="749" t="s">
        <v>25</v>
      </c>
      <c r="W7" s="750">
        <f t="shared" ref="W7:W15" si="2">J7</f>
        <v>0</v>
      </c>
      <c r="X7" s="751"/>
      <c r="Y7" s="3022" t="s">
        <v>2350</v>
      </c>
      <c r="Z7" s="3023"/>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4" t="s">
        <v>2353</v>
      </c>
      <c r="Q8" s="3023"/>
      <c r="R8" s="749" t="s">
        <v>25</v>
      </c>
      <c r="S8" s="750">
        <f t="shared" si="0"/>
        <v>0</v>
      </c>
      <c r="T8" s="749" t="s">
        <v>25</v>
      </c>
      <c r="U8" s="750">
        <f t="shared" si="1"/>
        <v>0</v>
      </c>
      <c r="V8" s="749" t="s">
        <v>25</v>
      </c>
      <c r="W8" s="750">
        <f t="shared" si="2"/>
        <v>0</v>
      </c>
      <c r="X8" s="751"/>
      <c r="Y8" s="3022" t="s">
        <v>2353</v>
      </c>
      <c r="Z8" s="3023"/>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3"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3"/>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3"/>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3"/>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3"/>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3"/>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5" t="s">
        <v>2361</v>
      </c>
      <c r="Q15" s="1899" t="str">
        <f t="shared" si="6"/>
        <v>办公集聚程度</v>
      </c>
      <c r="R15" s="753" t="s">
        <v>25</v>
      </c>
      <c r="S15" s="754">
        <f t="shared" si="0"/>
        <v>100</v>
      </c>
      <c r="T15" s="753" t="s">
        <v>25</v>
      </c>
      <c r="U15" s="754">
        <f t="shared" si="1"/>
        <v>100</v>
      </c>
      <c r="V15" s="753" t="s">
        <v>25</v>
      </c>
      <c r="W15" s="754">
        <f t="shared" si="2"/>
        <v>100</v>
      </c>
      <c r="X15" s="1900"/>
      <c r="Y15" s="3015"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7"/>
      <c r="Q16" s="1899"/>
      <c r="R16" s="753"/>
      <c r="S16" s="754"/>
      <c r="T16" s="753"/>
      <c r="U16" s="754"/>
      <c r="V16" s="753"/>
      <c r="W16" s="754"/>
      <c r="X16" s="1900"/>
      <c r="Y16" s="3016"/>
      <c r="Z16" s="1902"/>
      <c r="AA16" s="1903">
        <v>1</v>
      </c>
      <c r="AB16" s="1903">
        <v>1</v>
      </c>
      <c r="AC16" s="1903">
        <v>1</v>
      </c>
    </row>
    <row r="17" spans="1:29" ht="128.25">
      <c r="A17" s="408"/>
      <c r="B17" s="615" t="s">
        <v>1744</v>
      </c>
      <c r="C17" s="2466" t="str">
        <f>估价对象房地状况!C6</f>
        <v>估价对象周边有430、416、405路，地铁十号线，公共交通通达情况好，周边路网密集，停车便捷程度，综合评价交通便捷度好。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7"/>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2997"/>
      <c r="Q18" s="1899"/>
      <c r="R18" s="753"/>
      <c r="S18" s="754"/>
      <c r="T18" s="753"/>
      <c r="U18" s="754"/>
      <c r="V18" s="753"/>
      <c r="W18" s="754"/>
      <c r="X18" s="1900"/>
      <c r="Y18" s="3016"/>
      <c r="Z18" s="1902"/>
      <c r="AA18" s="1903">
        <v>1</v>
      </c>
      <c r="AB18" s="1903">
        <v>1</v>
      </c>
      <c r="AC18" s="1903">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7"/>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2997"/>
      <c r="Q20" s="1899"/>
      <c r="R20" s="753"/>
      <c r="S20" s="754"/>
      <c r="T20" s="753"/>
      <c r="U20" s="754"/>
      <c r="V20" s="753"/>
      <c r="W20" s="754"/>
      <c r="X20" s="1900"/>
      <c r="Y20" s="3016"/>
      <c r="Z20" s="1902"/>
      <c r="AA20" s="1903">
        <v>1</v>
      </c>
      <c r="AB20" s="1903">
        <v>1</v>
      </c>
      <c r="AC20" s="1903">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7"/>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2997"/>
      <c r="Q22" s="1899"/>
      <c r="R22" s="753"/>
      <c r="S22" s="754"/>
      <c r="T22" s="753"/>
      <c r="U22" s="754"/>
      <c r="V22" s="753"/>
      <c r="W22" s="754"/>
      <c r="X22" s="1900"/>
      <c r="Y22" s="3016"/>
      <c r="Z22" s="1902"/>
      <c r="AA22" s="1903">
        <v>1</v>
      </c>
      <c r="AB22" s="1903">
        <v>1</v>
      </c>
      <c r="AC22" s="1903">
        <v>1</v>
      </c>
    </row>
    <row r="23" spans="1:29" ht="71.25">
      <c r="A23" s="408"/>
      <c r="B23" s="615" t="s">
        <v>2478</v>
      </c>
      <c r="C23" s="2466" t="str">
        <f>估价对象房地状况!C9</f>
        <v>区域自然环境：朝阳公园、蓝港；人文环境；综合评价环境状况好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7"/>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2997"/>
      <c r="Q24" s="1899"/>
      <c r="R24" s="753"/>
      <c r="S24" s="754"/>
      <c r="T24" s="753"/>
      <c r="U24" s="754"/>
      <c r="V24" s="753"/>
      <c r="W24" s="754"/>
      <c r="X24" s="1900"/>
      <c r="Y24" s="3016"/>
      <c r="Z24" s="1902"/>
      <c r="AA24" s="1903">
        <v>1</v>
      </c>
      <c r="AB24" s="1903">
        <v>1</v>
      </c>
      <c r="AC24" s="1903">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2997"/>
      <c r="Q25" s="1899" t="str">
        <f>B25</f>
        <v>毗邻道路的类型与等级</v>
      </c>
      <c r="R25" s="753" t="s">
        <v>25</v>
      </c>
      <c r="S25" s="754">
        <f>F25</f>
        <v>100</v>
      </c>
      <c r="T25" s="753" t="s">
        <v>25</v>
      </c>
      <c r="U25" s="754">
        <f>H25</f>
        <v>100</v>
      </c>
      <c r="V25" s="753" t="s">
        <v>25</v>
      </c>
      <c r="W25" s="754">
        <f>J25</f>
        <v>100</v>
      </c>
      <c r="X25" s="1900"/>
      <c r="Y25" s="301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7"/>
      <c r="Q26" s="1899"/>
      <c r="R26" s="753"/>
      <c r="S26" s="754"/>
      <c r="T26" s="753"/>
      <c r="U26" s="754"/>
      <c r="V26" s="753"/>
      <c r="W26" s="754"/>
      <c r="X26" s="1900"/>
      <c r="Y26" s="3016"/>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7"/>
      <c r="Q27" s="1899" t="str">
        <f t="shared" ref="Q27:Q47" si="11">B27</f>
        <v>楼层</v>
      </c>
      <c r="R27" s="753" t="s">
        <v>25</v>
      </c>
      <c r="S27" s="754">
        <f>F27</f>
        <v>100</v>
      </c>
      <c r="T27" s="753" t="s">
        <v>25</v>
      </c>
      <c r="U27" s="754">
        <f>H27</f>
        <v>100</v>
      </c>
      <c r="V27" s="753" t="s">
        <v>25</v>
      </c>
      <c r="W27" s="754">
        <f>J27</f>
        <v>100</v>
      </c>
      <c r="X27" s="1900"/>
      <c r="Y27" s="3016"/>
      <c r="Z27" s="1902" t="str">
        <f>Q27</f>
        <v>楼层</v>
      </c>
      <c r="AA27" s="1903">
        <f t="shared" si="3"/>
        <v>1</v>
      </c>
      <c r="AB27" s="1903">
        <f t="shared" si="4"/>
        <v>1</v>
      </c>
      <c r="AC27" s="1903">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2997"/>
      <c r="Q28" s="1887" t="str">
        <f t="shared" si="11"/>
        <v>朝向</v>
      </c>
      <c r="R28" s="749" t="s">
        <v>25</v>
      </c>
      <c r="S28" s="750">
        <f>F28</f>
        <v>100</v>
      </c>
      <c r="T28" s="749" t="s">
        <v>25</v>
      </c>
      <c r="U28" s="750">
        <f>H28</f>
        <v>100</v>
      </c>
      <c r="V28" s="749" t="s">
        <v>25</v>
      </c>
      <c r="W28" s="750">
        <f>J28</f>
        <v>100</v>
      </c>
      <c r="X28" s="751"/>
      <c r="Y28" s="3016"/>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7"/>
      <c r="Q29" s="1899">
        <f t="shared" si="11"/>
        <v>111</v>
      </c>
      <c r="R29" s="753" t="s">
        <v>25</v>
      </c>
      <c r="S29" s="754">
        <f t="shared" ref="S29:S47" si="12">F29</f>
        <v>100</v>
      </c>
      <c r="T29" s="753" t="s">
        <v>25</v>
      </c>
      <c r="U29" s="754">
        <f t="shared" ref="U29:U47" si="13">H29</f>
        <v>100</v>
      </c>
      <c r="V29" s="753" t="s">
        <v>25</v>
      </c>
      <c r="W29" s="754">
        <f t="shared" ref="W29:W47" si="14">J29</f>
        <v>100</v>
      </c>
      <c r="X29" s="1900"/>
      <c r="Y29" s="3016"/>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7"/>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7"/>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7"/>
      <c r="Q32" s="1899">
        <f t="shared" si="11"/>
        <v>111</v>
      </c>
      <c r="R32" s="753" t="s">
        <v>25</v>
      </c>
      <c r="S32" s="754">
        <f t="shared" si="12"/>
        <v>100</v>
      </c>
      <c r="T32" s="753" t="s">
        <v>25</v>
      </c>
      <c r="U32" s="754">
        <f t="shared" si="13"/>
        <v>100</v>
      </c>
      <c r="V32" s="753" t="s">
        <v>25</v>
      </c>
      <c r="W32" s="754">
        <f t="shared" si="14"/>
        <v>100</v>
      </c>
      <c r="X32" s="1900"/>
      <c r="Y32" s="3016"/>
      <c r="Z32" s="1902">
        <f t="shared" si="15"/>
        <v>111</v>
      </c>
      <c r="AA32" s="1903">
        <f t="shared" si="3"/>
        <v>1</v>
      </c>
      <c r="AB32" s="1903">
        <f t="shared" si="4"/>
        <v>1</v>
      </c>
      <c r="AC32" s="1903">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8" t="s">
        <v>2367</v>
      </c>
      <c r="Q33" s="1899" t="str">
        <f t="shared" si="11"/>
        <v>建筑类型</v>
      </c>
      <c r="R33" s="753" t="s">
        <v>25</v>
      </c>
      <c r="S33" s="754">
        <f t="shared" si="12"/>
        <v>100</v>
      </c>
      <c r="T33" s="753" t="s">
        <v>25</v>
      </c>
      <c r="U33" s="754">
        <f t="shared" si="13"/>
        <v>100</v>
      </c>
      <c r="V33" s="753" t="s">
        <v>25</v>
      </c>
      <c r="W33" s="754">
        <f t="shared" si="14"/>
        <v>100</v>
      </c>
      <c r="X33" s="1900"/>
      <c r="Y33" s="3020"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20"/>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20"/>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20"/>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20"/>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2367</v>
      </c>
      <c r="Q39" s="1899" t="str">
        <f t="shared" si="11"/>
        <v>物业管理</v>
      </c>
      <c r="R39" s="753" t="s">
        <v>25</v>
      </c>
      <c r="S39" s="754">
        <f t="shared" si="12"/>
        <v>100</v>
      </c>
      <c r="T39" s="753" t="s">
        <v>25</v>
      </c>
      <c r="U39" s="754">
        <f t="shared" si="13"/>
        <v>100</v>
      </c>
      <c r="V39" s="753" t="s">
        <v>25</v>
      </c>
      <c r="W39" s="754">
        <f t="shared" si="14"/>
        <v>100</v>
      </c>
      <c r="X39" s="1900"/>
      <c r="Y39" s="3020"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20"/>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20"/>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20"/>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20"/>
      <c r="Z43" s="1902" t="str">
        <f t="shared" si="15"/>
        <v>内部装修</v>
      </c>
      <c r="AA43" s="1903">
        <f t="shared" si="3"/>
        <v>1</v>
      </c>
      <c r="AB43" s="1903">
        <f t="shared" si="4"/>
        <v>1</v>
      </c>
      <c r="AC43" s="1903">
        <f t="shared" si="5"/>
        <v>1</v>
      </c>
    </row>
    <row r="44" spans="1:29" ht="15">
      <c r="A44" s="453"/>
      <c r="B44" s="402" t="s">
        <v>2378</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2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2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2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21"/>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33" t="str">
        <f>A48</f>
        <v>成交单价（元/平方米）</v>
      </c>
      <c r="Q48" s="3026"/>
      <c r="R48" s="3027">
        <f>E48</f>
        <v>0</v>
      </c>
      <c r="S48" s="3027"/>
      <c r="T48" s="3027">
        <f>G48</f>
        <v>0</v>
      </c>
      <c r="U48" s="3027"/>
      <c r="V48" s="3027">
        <f>I48</f>
        <v>0</v>
      </c>
      <c r="W48" s="3027"/>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33"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33"/>
      <c r="R50" s="3034" t="e">
        <f>IF(E1="售价",ROUND(AVERAGE(R49:V49),0),ROUND(AVERAGE(R49:V49),1))</f>
        <v>#DIV/0!</v>
      </c>
      <c r="S50" s="3034"/>
      <c r="T50" s="3034"/>
      <c r="U50" s="3034"/>
      <c r="V50" s="3034"/>
      <c r="W50" s="303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2491</v>
      </c>
      <c r="C1" s="1726"/>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万元</v>
      </c>
      <c r="D2" s="2384"/>
      <c r="E2" s="2475"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0" t="s">
        <v>2337</v>
      </c>
      <c r="D4" s="2991"/>
      <c r="E4" s="2992" t="s">
        <v>2338</v>
      </c>
      <c r="F4" s="2993"/>
      <c r="G4" s="2990" t="s">
        <v>2339</v>
      </c>
      <c r="H4" s="2991"/>
      <c r="I4" s="2990" t="s">
        <v>2340</v>
      </c>
      <c r="J4" s="2991"/>
      <c r="K4" s="594"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2988" t="s">
        <v>2339</v>
      </c>
      <c r="AC4" s="2987" t="s">
        <v>2340</v>
      </c>
    </row>
    <row r="5" spans="1:29" ht="15">
      <c r="A5" s="383"/>
      <c r="B5" s="384"/>
      <c r="C5" s="3009" t="s">
        <v>2343</v>
      </c>
      <c r="D5" s="3010"/>
      <c r="E5" s="3064" t="s">
        <v>2344</v>
      </c>
      <c r="F5" s="3008"/>
      <c r="G5" s="3009" t="s">
        <v>2345</v>
      </c>
      <c r="H5" s="3010"/>
      <c r="I5" s="3009" t="s">
        <v>2346</v>
      </c>
      <c r="J5" s="301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594" t="s">
        <v>2348</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2349</v>
      </c>
      <c r="B7" s="388"/>
      <c r="C7" s="389">
        <f>'数据-取费表'!B2</f>
        <v>43180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2" t="s">
        <v>2350</v>
      </c>
      <c r="Q7" s="3024"/>
      <c r="R7" s="749" t="s">
        <v>25</v>
      </c>
      <c r="S7" s="750">
        <f t="shared" ref="S7:S15" si="0">F7</f>
        <v>0</v>
      </c>
      <c r="T7" s="749" t="s">
        <v>25</v>
      </c>
      <c r="U7" s="750">
        <f t="shared" ref="U7:U15" si="1">H7</f>
        <v>0</v>
      </c>
      <c r="V7" s="749" t="s">
        <v>25</v>
      </c>
      <c r="W7" s="750">
        <f t="shared" ref="W7:W15" si="2">J7</f>
        <v>0</v>
      </c>
      <c r="X7" s="751"/>
      <c r="Y7" s="3022" t="s">
        <v>2350</v>
      </c>
      <c r="Z7" s="3023"/>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2" t="s">
        <v>2353</v>
      </c>
      <c r="Q8" s="3023"/>
      <c r="R8" s="749" t="s">
        <v>25</v>
      </c>
      <c r="S8" s="750">
        <f t="shared" si="0"/>
        <v>100</v>
      </c>
      <c r="T8" s="749" t="s">
        <v>25</v>
      </c>
      <c r="U8" s="750">
        <f t="shared" si="1"/>
        <v>100</v>
      </c>
      <c r="V8" s="749" t="s">
        <v>25</v>
      </c>
      <c r="W8" s="750">
        <f t="shared" si="2"/>
        <v>100</v>
      </c>
      <c r="X8" s="751"/>
      <c r="Y8" s="3022" t="s">
        <v>2353</v>
      </c>
      <c r="Z8" s="3023"/>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6"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5" t="s">
        <v>2361</v>
      </c>
      <c r="Q15" s="1899" t="str">
        <f t="shared" si="6"/>
        <v>产业集聚程度</v>
      </c>
      <c r="R15" s="753" t="s">
        <v>25</v>
      </c>
      <c r="S15" s="754">
        <f t="shared" si="0"/>
        <v>100</v>
      </c>
      <c r="T15" s="753" t="s">
        <v>25</v>
      </c>
      <c r="U15" s="754">
        <f t="shared" si="1"/>
        <v>100</v>
      </c>
      <c r="V15" s="753" t="s">
        <v>25</v>
      </c>
      <c r="W15" s="754">
        <f t="shared" si="2"/>
        <v>100</v>
      </c>
      <c r="X15" s="1900"/>
      <c r="Y15" s="3015"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6"/>
      <c r="Q16" s="1899"/>
      <c r="R16" s="753"/>
      <c r="S16" s="754"/>
      <c r="T16" s="753"/>
      <c r="U16" s="754"/>
      <c r="V16" s="753"/>
      <c r="W16" s="754"/>
      <c r="X16" s="1900"/>
      <c r="Y16" s="3016"/>
      <c r="Z16" s="1902"/>
      <c r="AA16" s="1903">
        <v>1</v>
      </c>
      <c r="AB16" s="1903">
        <v>1</v>
      </c>
      <c r="AC16" s="1903">
        <v>1</v>
      </c>
    </row>
    <row r="17" spans="1:29" ht="85.5">
      <c r="A17" s="408"/>
      <c r="B17" s="431" t="s">
        <v>1744</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16"/>
      <c r="Q18" s="1899"/>
      <c r="R18" s="753"/>
      <c r="S18" s="754"/>
      <c r="T18" s="753"/>
      <c r="U18" s="754"/>
      <c r="V18" s="753"/>
      <c r="W18" s="754"/>
      <c r="X18" s="1900"/>
      <c r="Y18" s="3016"/>
      <c r="Z18" s="1902"/>
      <c r="AA18" s="1903">
        <v>1</v>
      </c>
      <c r="AB18" s="1903">
        <v>1</v>
      </c>
      <c r="AC18" s="1903">
        <v>1</v>
      </c>
    </row>
    <row r="19" spans="1:29" ht="42.75">
      <c r="A19" s="408"/>
      <c r="B19" s="615" t="s">
        <v>2476</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6"/>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16"/>
      <c r="Q20" s="1899"/>
      <c r="R20" s="753"/>
      <c r="S20" s="754"/>
      <c r="T20" s="753"/>
      <c r="U20" s="754"/>
      <c r="V20" s="753"/>
      <c r="W20" s="754"/>
      <c r="X20" s="1900"/>
      <c r="Y20" s="3016"/>
      <c r="Z20" s="1902"/>
      <c r="AA20" s="1903">
        <v>1</v>
      </c>
      <c r="AB20" s="1903">
        <v>1</v>
      </c>
      <c r="AC20" s="1903">
        <v>1</v>
      </c>
    </row>
    <row r="21" spans="1:29" ht="28.5">
      <c r="A21" s="408"/>
      <c r="B21" s="617" t="s">
        <v>2477</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6"/>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16"/>
      <c r="Q22" s="1899"/>
      <c r="R22" s="753"/>
      <c r="S22" s="754"/>
      <c r="T22" s="753"/>
      <c r="U22" s="754"/>
      <c r="V22" s="753"/>
      <c r="W22" s="754"/>
      <c r="X22" s="1900"/>
      <c r="Y22" s="3016"/>
      <c r="Z22" s="1902"/>
      <c r="AA22" s="1903">
        <v>1</v>
      </c>
      <c r="AB22" s="1903">
        <v>1</v>
      </c>
      <c r="AC22" s="1903">
        <v>1</v>
      </c>
    </row>
    <row r="23" spans="1:29" ht="71.25">
      <c r="A23" s="408"/>
      <c r="B23" s="431" t="s">
        <v>2478</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6"/>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16"/>
      <c r="Q24" s="1899"/>
      <c r="R24" s="753"/>
      <c r="S24" s="754"/>
      <c r="T24" s="753"/>
      <c r="U24" s="754"/>
      <c r="V24" s="753"/>
      <c r="W24" s="754"/>
      <c r="X24" s="1900"/>
      <c r="Y24" s="301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6"/>
      <c r="Q25" s="1899">
        <f>B25</f>
        <v>111</v>
      </c>
      <c r="R25" s="753" t="s">
        <v>25</v>
      </c>
      <c r="S25" s="754">
        <f>F25</f>
        <v>100</v>
      </c>
      <c r="T25" s="753" t="s">
        <v>25</v>
      </c>
      <c r="U25" s="754">
        <f>H25</f>
        <v>100</v>
      </c>
      <c r="V25" s="753" t="s">
        <v>25</v>
      </c>
      <c r="W25" s="754">
        <f>J25</f>
        <v>100</v>
      </c>
      <c r="X25" s="1900"/>
      <c r="Y25" s="301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6"/>
      <c r="Q26" s="1899">
        <f t="shared" ref="Q26:Q40" si="11">B26</f>
        <v>111</v>
      </c>
      <c r="R26" s="753" t="s">
        <v>25</v>
      </c>
      <c r="S26" s="754">
        <f>F26</f>
        <v>100</v>
      </c>
      <c r="T26" s="753" t="s">
        <v>25</v>
      </c>
      <c r="U26" s="754">
        <f>H26</f>
        <v>100</v>
      </c>
      <c r="V26" s="753" t="s">
        <v>25</v>
      </c>
      <c r="W26" s="754">
        <f>J26</f>
        <v>100</v>
      </c>
      <c r="X26" s="1900"/>
      <c r="Y26" s="301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6"/>
      <c r="Q27" s="1887">
        <f t="shared" si="11"/>
        <v>111</v>
      </c>
      <c r="R27" s="749" t="s">
        <v>25</v>
      </c>
      <c r="S27" s="750">
        <f>F27</f>
        <v>100</v>
      </c>
      <c r="T27" s="749" t="s">
        <v>25</v>
      </c>
      <c r="U27" s="750">
        <f>H27</f>
        <v>100</v>
      </c>
      <c r="V27" s="749" t="s">
        <v>25</v>
      </c>
      <c r="W27" s="750">
        <f>J27</f>
        <v>100</v>
      </c>
      <c r="X27" s="751"/>
      <c r="Y27" s="301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6"/>
      <c r="Q28" s="1899">
        <f t="shared" si="11"/>
        <v>111</v>
      </c>
      <c r="R28" s="753" t="s">
        <v>25</v>
      </c>
      <c r="S28" s="754">
        <f t="shared" ref="S28:S40" si="12">F28</f>
        <v>100</v>
      </c>
      <c r="T28" s="753" t="s">
        <v>25</v>
      </c>
      <c r="U28" s="754">
        <f t="shared" ref="U28:U40" si="13">H28</f>
        <v>100</v>
      </c>
      <c r="V28" s="753" t="s">
        <v>25</v>
      </c>
      <c r="W28" s="754">
        <f t="shared" ref="W28:W40" si="14">J28</f>
        <v>100</v>
      </c>
      <c r="X28" s="1900"/>
      <c r="Y28" s="3016"/>
      <c r="Z28" s="1902">
        <f t="shared" ref="Z28:Z40" si="15">Q28</f>
        <v>111</v>
      </c>
      <c r="AA28" s="1903">
        <f t="shared" si="3"/>
        <v>1</v>
      </c>
      <c r="AB28" s="1903">
        <f t="shared" si="4"/>
        <v>1</v>
      </c>
      <c r="AC28" s="1903">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2" t="s">
        <v>2367</v>
      </c>
      <c r="Q29" s="1899" t="str">
        <f t="shared" si="11"/>
        <v>建筑类型</v>
      </c>
      <c r="R29" s="753" t="s">
        <v>25</v>
      </c>
      <c r="S29" s="754">
        <f t="shared" si="12"/>
        <v>100</v>
      </c>
      <c r="T29" s="753" t="s">
        <v>25</v>
      </c>
      <c r="U29" s="754">
        <f t="shared" si="13"/>
        <v>100</v>
      </c>
      <c r="V29" s="753" t="s">
        <v>25</v>
      </c>
      <c r="W29" s="754">
        <f t="shared" si="14"/>
        <v>100</v>
      </c>
      <c r="X29" s="1900"/>
      <c r="Y29" s="3020"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0"/>
      <c r="Q31" s="1899" t="str">
        <f t="shared" si="11"/>
        <v>建筑结构</v>
      </c>
      <c r="R31" s="753" t="s">
        <v>25</v>
      </c>
      <c r="S31" s="754">
        <f t="shared" si="12"/>
        <v>100</v>
      </c>
      <c r="T31" s="753" t="s">
        <v>25</v>
      </c>
      <c r="U31" s="754">
        <f t="shared" si="13"/>
        <v>100</v>
      </c>
      <c r="V31" s="753" t="s">
        <v>25</v>
      </c>
      <c r="W31" s="754">
        <f t="shared" si="14"/>
        <v>100</v>
      </c>
      <c r="X31" s="1900"/>
      <c r="Y31" s="3020"/>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0"/>
      <c r="Q32" s="1899" t="str">
        <f t="shared" si="11"/>
        <v>公共部分装修</v>
      </c>
      <c r="R32" s="753" t="s">
        <v>25</v>
      </c>
      <c r="S32" s="754">
        <f t="shared" si="12"/>
        <v>100</v>
      </c>
      <c r="T32" s="753" t="s">
        <v>25</v>
      </c>
      <c r="U32" s="754">
        <f t="shared" si="13"/>
        <v>100</v>
      </c>
      <c r="V32" s="753" t="s">
        <v>25</v>
      </c>
      <c r="W32" s="754">
        <f t="shared" si="14"/>
        <v>100</v>
      </c>
      <c r="X32" s="1900"/>
      <c r="Y32" s="3020"/>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0"/>
      <c r="Q33" s="1899" t="str">
        <f t="shared" si="11"/>
        <v>成新度</v>
      </c>
      <c r="R33" s="753" t="s">
        <v>25</v>
      </c>
      <c r="S33" s="754" t="e">
        <f t="shared" si="12"/>
        <v>#N/A</v>
      </c>
      <c r="T33" s="753" t="s">
        <v>25</v>
      </c>
      <c r="U33" s="754" t="e">
        <f t="shared" si="13"/>
        <v>#N/A</v>
      </c>
      <c r="V33" s="753" t="s">
        <v>25</v>
      </c>
      <c r="W33" s="754" t="e">
        <f t="shared" si="14"/>
        <v>#N/A</v>
      </c>
      <c r="X33" s="1900"/>
      <c r="Y33" s="3020"/>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0"/>
      <c r="Q34" s="1887"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0" t="s">
        <v>2367</v>
      </c>
      <c r="Q35" s="1899" t="str">
        <f t="shared" si="11"/>
        <v>市政基础设施</v>
      </c>
      <c r="R35" s="753" t="s">
        <v>25</v>
      </c>
      <c r="S35" s="754">
        <f t="shared" si="12"/>
        <v>100</v>
      </c>
      <c r="T35" s="753" t="s">
        <v>25</v>
      </c>
      <c r="U35" s="754">
        <f t="shared" si="13"/>
        <v>100</v>
      </c>
      <c r="V35" s="753" t="s">
        <v>25</v>
      </c>
      <c r="W35" s="754">
        <f t="shared" si="14"/>
        <v>100</v>
      </c>
      <c r="X35" s="1900"/>
      <c r="Y35" s="3020"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0"/>
      <c r="Q36" s="1899" t="str">
        <f t="shared" si="11"/>
        <v>内部装修</v>
      </c>
      <c r="R36" s="753" t="s">
        <v>25</v>
      </c>
      <c r="S36" s="754">
        <f t="shared" si="12"/>
        <v>100</v>
      </c>
      <c r="T36" s="753" t="s">
        <v>25</v>
      </c>
      <c r="U36" s="754">
        <f t="shared" si="13"/>
        <v>100</v>
      </c>
      <c r="V36" s="753" t="s">
        <v>25</v>
      </c>
      <c r="W36" s="754">
        <f t="shared" si="14"/>
        <v>100</v>
      </c>
      <c r="X36" s="1900"/>
      <c r="Y36" s="3020"/>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0"/>
      <c r="Q37" s="1899" t="str">
        <f t="shared" si="11"/>
        <v>内部装修状况</v>
      </c>
      <c r="R37" s="753" t="s">
        <v>25</v>
      </c>
      <c r="S37" s="754">
        <f t="shared" si="12"/>
        <v>0</v>
      </c>
      <c r="T37" s="753" t="s">
        <v>25</v>
      </c>
      <c r="U37" s="754">
        <f t="shared" si="13"/>
        <v>0</v>
      </c>
      <c r="V37" s="753" t="s">
        <v>25</v>
      </c>
      <c r="W37" s="754">
        <f t="shared" si="14"/>
        <v>0</v>
      </c>
      <c r="X37" s="1900"/>
      <c r="Y37" s="302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0"/>
      <c r="Q39" s="1899">
        <f t="shared" si="11"/>
        <v>111</v>
      </c>
      <c r="R39" s="753" t="s">
        <v>25</v>
      </c>
      <c r="S39" s="754">
        <f t="shared" si="12"/>
        <v>100</v>
      </c>
      <c r="T39" s="753" t="s">
        <v>25</v>
      </c>
      <c r="U39" s="754">
        <f t="shared" si="13"/>
        <v>100</v>
      </c>
      <c r="V39" s="753" t="s">
        <v>25</v>
      </c>
      <c r="W39" s="754">
        <f t="shared" si="14"/>
        <v>100</v>
      </c>
      <c r="X39" s="1900"/>
      <c r="Y39" s="302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1"/>
      <c r="Q40" s="1899">
        <f t="shared" si="11"/>
        <v>111</v>
      </c>
      <c r="R40" s="753" t="s">
        <v>25</v>
      </c>
      <c r="S40" s="754">
        <f t="shared" si="12"/>
        <v>100</v>
      </c>
      <c r="T40" s="753" t="s">
        <v>25</v>
      </c>
      <c r="U40" s="754">
        <f t="shared" si="13"/>
        <v>100</v>
      </c>
      <c r="V40" s="753" t="s">
        <v>25</v>
      </c>
      <c r="W40" s="754">
        <f t="shared" si="14"/>
        <v>100</v>
      </c>
      <c r="X40" s="1900"/>
      <c r="Y40" s="3021"/>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32" t="str">
        <f>A43</f>
        <v>估价对象XX用房的比较价值（楼面单价，元/平方米）</v>
      </c>
      <c r="Q43" s="3033"/>
      <c r="R43" s="3034" t="e">
        <f>IF(E1="售价",ROUND(AVERAGE(R42:V42),0),ROUND(AVERAGE(R42:V42),1))</f>
        <v>#DIV/0!</v>
      </c>
      <c r="S43" s="3034"/>
      <c r="T43" s="3034"/>
      <c r="U43" s="3034"/>
      <c r="V43" s="3034"/>
      <c r="W43" s="303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0"/>
      <c r="E1" s="2382"/>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227.54</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2990" t="s">
        <v>2337</v>
      </c>
      <c r="D4" s="2991"/>
      <c r="E4" s="2992" t="s">
        <v>2338</v>
      </c>
      <c r="F4" s="2993"/>
      <c r="G4" s="2990" t="s">
        <v>2339</v>
      </c>
      <c r="H4" s="2991"/>
      <c r="I4" s="2990" t="s">
        <v>2340</v>
      </c>
      <c r="J4" s="2991"/>
      <c r="K4" s="594" t="s">
        <v>2341</v>
      </c>
      <c r="L4" s="1514"/>
      <c r="M4" s="425"/>
      <c r="N4" s="425"/>
      <c r="O4" s="425"/>
      <c r="P4" s="2994" t="s">
        <v>2342</v>
      </c>
      <c r="Q4" s="2995"/>
      <c r="R4" s="3000" t="s">
        <v>2338</v>
      </c>
      <c r="S4" s="3001"/>
      <c r="T4" s="3000" t="s">
        <v>2339</v>
      </c>
      <c r="U4" s="3001"/>
      <c r="V4" s="3006" t="s">
        <v>2340</v>
      </c>
      <c r="W4" s="3006"/>
      <c r="X4" s="1900"/>
      <c r="Y4" s="3000" t="s">
        <v>2342</v>
      </c>
      <c r="Z4" s="3001"/>
      <c r="AA4" s="2987" t="s">
        <v>2338</v>
      </c>
      <c r="AB4" s="2988" t="s">
        <v>2339</v>
      </c>
      <c r="AC4" s="2987" t="s">
        <v>2340</v>
      </c>
    </row>
    <row r="5" spans="1:29" ht="15">
      <c r="A5" s="383"/>
      <c r="B5" s="384"/>
      <c r="C5" s="3009" t="s">
        <v>2343</v>
      </c>
      <c r="D5" s="3010"/>
      <c r="E5" s="3064" t="s">
        <v>2344</v>
      </c>
      <c r="F5" s="3008"/>
      <c r="G5" s="3009" t="s">
        <v>2345</v>
      </c>
      <c r="H5" s="3010"/>
      <c r="I5" s="3009" t="s">
        <v>2346</v>
      </c>
      <c r="J5" s="3010"/>
      <c r="K5" s="594"/>
      <c r="L5" s="1514"/>
      <c r="M5" s="425"/>
      <c r="N5" s="425"/>
      <c r="O5" s="425"/>
      <c r="P5" s="299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594" t="s">
        <v>2348</v>
      </c>
      <c r="L6" s="1514"/>
      <c r="M6" s="425"/>
      <c r="N6" s="425"/>
      <c r="O6" s="425"/>
      <c r="P6" s="2998"/>
      <c r="Q6" s="2999"/>
      <c r="R6" s="3002"/>
      <c r="S6" s="3003"/>
      <c r="T6" s="3004"/>
      <c r="U6" s="3005"/>
      <c r="V6" s="3006"/>
      <c r="W6" s="3006"/>
      <c r="X6" s="1900"/>
      <c r="Y6" s="3004"/>
      <c r="Z6" s="3005"/>
      <c r="AA6" s="2989"/>
      <c r="AB6" s="2989"/>
      <c r="AC6" s="2989"/>
    </row>
    <row r="7" spans="1:29" s="35" customFormat="1" ht="15.75" thickBot="1">
      <c r="A7" s="387" t="s">
        <v>2349</v>
      </c>
      <c r="B7" s="388"/>
      <c r="C7" s="389">
        <f>'数据-取费表'!B2</f>
        <v>43180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2" t="s">
        <v>2350</v>
      </c>
      <c r="Q7" s="3024"/>
      <c r="R7" s="749" t="s">
        <v>25</v>
      </c>
      <c r="S7" s="750">
        <f t="shared" ref="S7:S14" si="0">F7</f>
        <v>0</v>
      </c>
      <c r="T7" s="749" t="s">
        <v>25</v>
      </c>
      <c r="U7" s="750">
        <f t="shared" ref="U7:U14" si="1">H7</f>
        <v>0</v>
      </c>
      <c r="V7" s="749" t="s">
        <v>25</v>
      </c>
      <c r="W7" s="750">
        <f t="shared" ref="W7:W14" si="2">J7</f>
        <v>0</v>
      </c>
      <c r="X7" s="751"/>
      <c r="Y7" s="3022" t="s">
        <v>2350</v>
      </c>
      <c r="Z7" s="3023"/>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2" t="s">
        <v>2353</v>
      </c>
      <c r="Q8" s="3023"/>
      <c r="R8" s="749" t="s">
        <v>25</v>
      </c>
      <c r="S8" s="750">
        <f t="shared" si="0"/>
        <v>0</v>
      </c>
      <c r="T8" s="749" t="s">
        <v>25</v>
      </c>
      <c r="U8" s="750">
        <f t="shared" si="1"/>
        <v>0</v>
      </c>
      <c r="V8" s="749" t="s">
        <v>25</v>
      </c>
      <c r="W8" s="750">
        <f t="shared" si="2"/>
        <v>0</v>
      </c>
      <c r="X8" s="751"/>
      <c r="Y8" s="3022" t="s">
        <v>2353</v>
      </c>
      <c r="Z8" s="3023"/>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6" t="s">
        <v>2356</v>
      </c>
      <c r="Q9" s="1887" t="str">
        <f t="shared" ref="Q9:Q14" si="6">B9</f>
        <v>用途</v>
      </c>
      <c r="R9" s="749" t="s">
        <v>25</v>
      </c>
      <c r="S9" s="750">
        <f t="shared" si="0"/>
        <v>100</v>
      </c>
      <c r="T9" s="749" t="s">
        <v>25</v>
      </c>
      <c r="U9" s="750">
        <f t="shared" si="1"/>
        <v>100</v>
      </c>
      <c r="V9" s="749" t="s">
        <v>25</v>
      </c>
      <c r="W9" s="750">
        <f t="shared" si="2"/>
        <v>100</v>
      </c>
      <c r="X9" s="751"/>
      <c r="Y9" s="2867"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28.25">
      <c r="A14" s="380" t="s">
        <v>2360</v>
      </c>
      <c r="B14" s="613" t="s">
        <v>2504</v>
      </c>
      <c r="C14" s="1480" t="str">
        <f>IF(B1="工业",估价对象房地状况!G4,估价对象房地状况!C6)</f>
        <v>估价对象周边有430、416、405路，地铁十号线，公共交通通达情况好，周边路网密集，停车便捷程度，综合评价交通便捷度好。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5" t="s">
        <v>2361</v>
      </c>
      <c r="Q14" s="1899" t="str">
        <f t="shared" si="6"/>
        <v>交通便捷度</v>
      </c>
      <c r="R14" s="753" t="s">
        <v>25</v>
      </c>
      <c r="S14" s="754">
        <f t="shared" si="0"/>
        <v>100</v>
      </c>
      <c r="T14" s="753" t="s">
        <v>25</v>
      </c>
      <c r="U14" s="754">
        <f t="shared" si="1"/>
        <v>100</v>
      </c>
      <c r="V14" s="753" t="s">
        <v>25</v>
      </c>
      <c r="W14" s="754">
        <f t="shared" si="2"/>
        <v>100</v>
      </c>
      <c r="X14" s="1900"/>
      <c r="Y14" s="3015"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6"/>
      <c r="Q15" s="1899"/>
      <c r="R15" s="753"/>
      <c r="S15" s="754"/>
      <c r="T15" s="753"/>
      <c r="U15" s="754"/>
      <c r="V15" s="753"/>
      <c r="W15" s="754"/>
      <c r="X15" s="1900"/>
      <c r="Y15" s="3016"/>
      <c r="Z15" s="1902"/>
      <c r="AA15" s="1903">
        <v>1</v>
      </c>
      <c r="AB15" s="1903">
        <v>1</v>
      </c>
      <c r="AC15" s="1903">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6"/>
      <c r="Q17" s="1899"/>
      <c r="R17" s="753"/>
      <c r="S17" s="754"/>
      <c r="T17" s="753"/>
      <c r="U17" s="754"/>
      <c r="V17" s="753"/>
      <c r="W17" s="754"/>
      <c r="X17" s="1900"/>
      <c r="Y17" s="3016"/>
      <c r="Z17" s="1902"/>
      <c r="AA17" s="1903">
        <v>1</v>
      </c>
      <c r="AB17" s="1903">
        <v>1</v>
      </c>
      <c r="AC17" s="1903">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6"/>
      <c r="Q19" s="1899"/>
      <c r="R19" s="753"/>
      <c r="S19" s="754"/>
      <c r="T19" s="753"/>
      <c r="U19" s="754"/>
      <c r="V19" s="753"/>
      <c r="W19" s="754"/>
      <c r="X19" s="1900"/>
      <c r="Y19" s="3016"/>
      <c r="Z19" s="1902"/>
      <c r="AA19" s="1903">
        <v>1</v>
      </c>
      <c r="AB19" s="1903">
        <v>1</v>
      </c>
      <c r="AC19" s="1903">
        <v>1</v>
      </c>
    </row>
    <row r="20" spans="1:29" ht="71.25">
      <c r="A20" s="383"/>
      <c r="B20" s="615" t="s">
        <v>2505</v>
      </c>
      <c r="C20" s="1482" t="str">
        <f>IF(B1="工业",估价对象房地状况!G7,估价对象房地状况!C9)</f>
        <v>区域自然环境：朝阳公园、蓝港；人文环境；综合评价环境状况好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6"/>
      <c r="Q21" s="1899"/>
      <c r="R21" s="753"/>
      <c r="S21" s="754"/>
      <c r="T21" s="753"/>
      <c r="U21" s="754"/>
      <c r="V21" s="753"/>
      <c r="W21" s="754"/>
      <c r="X21" s="1900"/>
      <c r="Y21" s="3016"/>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6"/>
      <c r="Q24" s="1899">
        <f t="shared" ref="Q24:Q36"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0"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0"/>
      <c r="Q28" s="1899" t="str">
        <f t="shared" si="11"/>
        <v>公共部分装修</v>
      </c>
      <c r="R28" s="753" t="s">
        <v>25</v>
      </c>
      <c r="S28" s="754">
        <f t="shared" si="12"/>
        <v>100</v>
      </c>
      <c r="T28" s="753" t="s">
        <v>25</v>
      </c>
      <c r="U28" s="754">
        <f t="shared" si="13"/>
        <v>100</v>
      </c>
      <c r="V28" s="753" t="s">
        <v>25</v>
      </c>
      <c r="W28" s="754">
        <f t="shared" si="14"/>
        <v>100</v>
      </c>
      <c r="X28" s="1900"/>
      <c r="Y28" s="3020"/>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0"/>
      <c r="Q29" s="1899" t="str">
        <f t="shared" si="11"/>
        <v>成新率</v>
      </c>
      <c r="R29" s="753" t="s">
        <v>25</v>
      </c>
      <c r="S29" s="754" t="e">
        <f t="shared" si="12"/>
        <v>#N/A</v>
      </c>
      <c r="T29" s="753" t="s">
        <v>25</v>
      </c>
      <c r="U29" s="754" t="e">
        <f t="shared" si="13"/>
        <v>#N/A</v>
      </c>
      <c r="V29" s="753" t="s">
        <v>25</v>
      </c>
      <c r="W29" s="754" t="e">
        <f t="shared" si="14"/>
        <v>#N/A</v>
      </c>
      <c r="X29" s="1900"/>
      <c r="Y29" s="3020"/>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0"/>
      <c r="Q30" s="1899" t="str">
        <f t="shared" si="11"/>
        <v>物业等级</v>
      </c>
      <c r="R30" s="753" t="s">
        <v>25</v>
      </c>
      <c r="S30" s="754">
        <f t="shared" si="12"/>
        <v>100</v>
      </c>
      <c r="T30" s="753" t="s">
        <v>25</v>
      </c>
      <c r="U30" s="754">
        <f t="shared" si="13"/>
        <v>100</v>
      </c>
      <c r="V30" s="753" t="s">
        <v>25</v>
      </c>
      <c r="W30" s="754">
        <f t="shared" si="14"/>
        <v>100</v>
      </c>
      <c r="X30" s="1900"/>
      <c r="Y30" s="3020"/>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0"/>
      <c r="Q31" s="1887"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0" t="s">
        <v>2367</v>
      </c>
      <c r="Q32" s="1899" t="str">
        <f t="shared" si="11"/>
        <v>车位类型</v>
      </c>
      <c r="R32" s="753" t="s">
        <v>25</v>
      </c>
      <c r="S32" s="754">
        <f t="shared" si="12"/>
        <v>100</v>
      </c>
      <c r="T32" s="753" t="s">
        <v>25</v>
      </c>
      <c r="U32" s="754">
        <f t="shared" si="13"/>
        <v>100</v>
      </c>
      <c r="V32" s="753" t="s">
        <v>25</v>
      </c>
      <c r="W32" s="754">
        <f t="shared" si="14"/>
        <v>100</v>
      </c>
      <c r="X32" s="1900"/>
      <c r="Y32" s="3020"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0"/>
      <c r="Q33" s="1899" t="str">
        <f t="shared" si="11"/>
        <v>是否直接入户</v>
      </c>
      <c r="R33" s="753" t="s">
        <v>25</v>
      </c>
      <c r="S33" s="754">
        <f t="shared" si="12"/>
        <v>100</v>
      </c>
      <c r="T33" s="753" t="s">
        <v>25</v>
      </c>
      <c r="U33" s="754">
        <f t="shared" si="13"/>
        <v>100</v>
      </c>
      <c r="V33" s="753" t="s">
        <v>25</v>
      </c>
      <c r="W33" s="754">
        <f t="shared" si="14"/>
        <v>100</v>
      </c>
      <c r="X33" s="1900"/>
      <c r="Y33" s="302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0"/>
      <c r="Q36" s="1899">
        <f t="shared" si="11"/>
        <v>111</v>
      </c>
      <c r="R36" s="753" t="s">
        <v>25</v>
      </c>
      <c r="S36" s="754">
        <f t="shared" si="12"/>
        <v>100</v>
      </c>
      <c r="T36" s="753" t="s">
        <v>25</v>
      </c>
      <c r="U36" s="754">
        <f t="shared" si="13"/>
        <v>100</v>
      </c>
      <c r="V36" s="753" t="s">
        <v>25</v>
      </c>
      <c r="W36" s="754">
        <f t="shared" si="14"/>
        <v>100</v>
      </c>
      <c r="X36" s="1900"/>
      <c r="Y36" s="3020"/>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32" t="str">
        <f>A39</f>
        <v>估价对象XX用房的比较价值（楼面单价，元/平方米）</v>
      </c>
      <c r="Q39" s="3033"/>
      <c r="R39" s="3034" t="e">
        <f>IF(E1="售价",ROUND(AVERAGE(R38:V38),0),ROUND(AVERAGE(R38:V38),1))</f>
        <v>#DIV/0!</v>
      </c>
      <c r="S39" s="3034"/>
      <c r="T39" s="3034"/>
      <c r="U39" s="3034"/>
      <c r="V39" s="3034"/>
      <c r="W39" s="303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0" t="s">
        <v>2337</v>
      </c>
      <c r="D4" s="2991"/>
      <c r="E4" s="2992" t="s">
        <v>2338</v>
      </c>
      <c r="F4" s="2993"/>
      <c r="G4" s="2990" t="s">
        <v>2339</v>
      </c>
      <c r="H4" s="2991"/>
      <c r="I4" s="2990" t="s">
        <v>2340</v>
      </c>
      <c r="J4" s="2991"/>
      <c r="K4" s="594"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2988" t="s">
        <v>2339</v>
      </c>
      <c r="AC4" s="2987" t="s">
        <v>2340</v>
      </c>
    </row>
    <row r="5" spans="1:29" ht="15">
      <c r="A5" s="383"/>
      <c r="B5" s="384"/>
      <c r="C5" s="3009" t="s">
        <v>2343</v>
      </c>
      <c r="D5" s="3010"/>
      <c r="E5" s="3064" t="s">
        <v>2344</v>
      </c>
      <c r="F5" s="3008"/>
      <c r="G5" s="3009" t="s">
        <v>2345</v>
      </c>
      <c r="H5" s="3010"/>
      <c r="I5" s="3009" t="s">
        <v>2346</v>
      </c>
      <c r="J5" s="301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594" t="s">
        <v>2348</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2349</v>
      </c>
      <c r="B7" s="388"/>
      <c r="C7" s="389">
        <f>'数据-取费表'!B2</f>
        <v>43180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2" t="s">
        <v>2350</v>
      </c>
      <c r="Q7" s="3024"/>
      <c r="R7" s="749" t="s">
        <v>25</v>
      </c>
      <c r="S7" s="750">
        <f t="shared" ref="S7:S14" si="0">F7</f>
        <v>0</v>
      </c>
      <c r="T7" s="749" t="s">
        <v>25</v>
      </c>
      <c r="U7" s="750">
        <f t="shared" ref="U7:U14" si="1">H7</f>
        <v>0</v>
      </c>
      <c r="V7" s="749" t="s">
        <v>25</v>
      </c>
      <c r="W7" s="750">
        <f t="shared" ref="W7:W14" si="2">J7</f>
        <v>0</v>
      </c>
      <c r="X7" s="751"/>
      <c r="Y7" s="3022" t="s">
        <v>2350</v>
      </c>
      <c r="Z7" s="3023"/>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2" t="s">
        <v>2353</v>
      </c>
      <c r="Q8" s="3023"/>
      <c r="R8" s="749" t="s">
        <v>25</v>
      </c>
      <c r="S8" s="750">
        <f t="shared" si="0"/>
        <v>0</v>
      </c>
      <c r="T8" s="749" t="s">
        <v>25</v>
      </c>
      <c r="U8" s="750">
        <f t="shared" si="1"/>
        <v>0</v>
      </c>
      <c r="V8" s="749" t="s">
        <v>25</v>
      </c>
      <c r="W8" s="750">
        <f t="shared" si="2"/>
        <v>0</v>
      </c>
      <c r="X8" s="751"/>
      <c r="Y8" s="3022" t="s">
        <v>2353</v>
      </c>
      <c r="Z8" s="3023"/>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6" t="s">
        <v>2356</v>
      </c>
      <c r="Q9" s="1887" t="str">
        <f t="shared" ref="Q9:Q14" si="6">B9</f>
        <v>用途</v>
      </c>
      <c r="R9" s="749" t="s">
        <v>25</v>
      </c>
      <c r="S9" s="750">
        <f t="shared" si="0"/>
        <v>100</v>
      </c>
      <c r="T9" s="749" t="s">
        <v>25</v>
      </c>
      <c r="U9" s="750">
        <f t="shared" si="1"/>
        <v>100</v>
      </c>
      <c r="V9" s="749" t="s">
        <v>25</v>
      </c>
      <c r="W9" s="750">
        <f t="shared" si="2"/>
        <v>100</v>
      </c>
      <c r="X9" s="751"/>
      <c r="Y9" s="2867"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28.25">
      <c r="A14" s="419" t="s">
        <v>2360</v>
      </c>
      <c r="B14" s="26" t="s">
        <v>2504</v>
      </c>
      <c r="C14" s="2477" t="str">
        <f>IF(B1="工业",估价对象房地状况!G4,估价对象房地状况!C6)</f>
        <v>估价对象周边有430、416、405路，地铁十号线，公共交通通达情况好，周边路网密集，停车便捷程度，综合评价交通便捷度好。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5" t="s">
        <v>2361</v>
      </c>
      <c r="Q14" s="1899" t="str">
        <f t="shared" si="6"/>
        <v>交通便捷度</v>
      </c>
      <c r="R14" s="753" t="s">
        <v>25</v>
      </c>
      <c r="S14" s="754">
        <f t="shared" si="0"/>
        <v>100</v>
      </c>
      <c r="T14" s="753" t="s">
        <v>25</v>
      </c>
      <c r="U14" s="754">
        <f t="shared" si="1"/>
        <v>100</v>
      </c>
      <c r="V14" s="753" t="s">
        <v>25</v>
      </c>
      <c r="W14" s="754">
        <f t="shared" si="2"/>
        <v>100</v>
      </c>
      <c r="X14" s="1900"/>
      <c r="Y14" s="3015"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6"/>
      <c r="Q15" s="1899"/>
      <c r="R15" s="753"/>
      <c r="S15" s="754"/>
      <c r="T15" s="753"/>
      <c r="U15" s="754"/>
      <c r="V15" s="753"/>
      <c r="W15" s="754"/>
      <c r="X15" s="1900"/>
      <c r="Y15" s="3016"/>
      <c r="Z15" s="1902"/>
      <c r="AA15" s="1903">
        <v>1</v>
      </c>
      <c r="AB15" s="1903">
        <v>1</v>
      </c>
      <c r="AC15" s="1903">
        <v>1</v>
      </c>
    </row>
    <row r="16" spans="1:29" ht="42.75">
      <c r="A16" s="408"/>
      <c r="B16" s="615" t="s">
        <v>2476</v>
      </c>
      <c r="C16" s="2405"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6"/>
      <c r="Q17" s="1899"/>
      <c r="R17" s="753"/>
      <c r="S17" s="754"/>
      <c r="T17" s="753"/>
      <c r="U17" s="754"/>
      <c r="V17" s="753"/>
      <c r="W17" s="754"/>
      <c r="X17" s="1900"/>
      <c r="Y17" s="3016"/>
      <c r="Z17" s="1902"/>
      <c r="AA17" s="1903">
        <v>1</v>
      </c>
      <c r="AB17" s="1903">
        <v>1</v>
      </c>
      <c r="AC17" s="1903">
        <v>1</v>
      </c>
    </row>
    <row r="18" spans="1:29" ht="15">
      <c r="A18" s="408"/>
      <c r="B18" s="617" t="s">
        <v>2477</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6"/>
      <c r="Q19" s="1899"/>
      <c r="R19" s="753"/>
      <c r="S19" s="754"/>
      <c r="T19" s="753"/>
      <c r="U19" s="754"/>
      <c r="V19" s="753"/>
      <c r="W19" s="754"/>
      <c r="X19" s="1900"/>
      <c r="Y19" s="3016"/>
      <c r="Z19" s="1902"/>
      <c r="AA19" s="1903">
        <v>1</v>
      </c>
      <c r="AB19" s="1903">
        <v>1</v>
      </c>
      <c r="AC19" s="1903">
        <v>1</v>
      </c>
    </row>
    <row r="20" spans="1:29" ht="71.25">
      <c r="A20" s="408"/>
      <c r="B20" s="431" t="s">
        <v>2505</v>
      </c>
      <c r="C20" s="2405" t="str">
        <f>IF(B1="工业",估价对象房地状况!G7,估价对象房地状况!C9)</f>
        <v>区域自然环境：朝阳公园、蓝港；人文环境；综合评价环境状况好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6"/>
      <c r="Q21" s="1899"/>
      <c r="R21" s="753"/>
      <c r="S21" s="754"/>
      <c r="T21" s="753"/>
      <c r="U21" s="754"/>
      <c r="V21" s="753"/>
      <c r="W21" s="754"/>
      <c r="X21" s="1900"/>
      <c r="Y21" s="3016"/>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6"/>
      <c r="Q24" s="1899">
        <f t="shared" ref="Q24:Q34"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2"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0"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0"/>
      <c r="Q28" s="1899" t="str">
        <f t="shared" si="11"/>
        <v>物业等级</v>
      </c>
      <c r="R28" s="753" t="s">
        <v>25</v>
      </c>
      <c r="S28" s="754">
        <f t="shared" si="12"/>
        <v>100</v>
      </c>
      <c r="T28" s="753" t="s">
        <v>25</v>
      </c>
      <c r="U28" s="754">
        <f t="shared" si="13"/>
        <v>100</v>
      </c>
      <c r="V28" s="753" t="s">
        <v>25</v>
      </c>
      <c r="W28" s="754">
        <f t="shared" si="14"/>
        <v>100</v>
      </c>
      <c r="X28" s="1900"/>
      <c r="Y28" s="3020"/>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0"/>
      <c r="Q29" s="1899" t="str">
        <f t="shared" si="11"/>
        <v>有无电梯</v>
      </c>
      <c r="R29" s="753" t="s">
        <v>25</v>
      </c>
      <c r="S29" s="754">
        <f t="shared" si="12"/>
        <v>100</v>
      </c>
      <c r="T29" s="753" t="s">
        <v>25</v>
      </c>
      <c r="U29" s="754">
        <f t="shared" si="13"/>
        <v>100</v>
      </c>
      <c r="V29" s="753" t="s">
        <v>25</v>
      </c>
      <c r="W29" s="754">
        <f t="shared" si="14"/>
        <v>100</v>
      </c>
      <c r="X29" s="1900"/>
      <c r="Y29" s="3020"/>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0"/>
      <c r="Q30" s="1899" t="str">
        <f t="shared" si="11"/>
        <v>建筑面积</v>
      </c>
      <c r="R30" s="753" t="s">
        <v>25</v>
      </c>
      <c r="S30" s="754" t="e">
        <f t="shared" si="12"/>
        <v>#N/A</v>
      </c>
      <c r="T30" s="753" t="s">
        <v>25</v>
      </c>
      <c r="U30" s="754" t="e">
        <f t="shared" si="13"/>
        <v>#N/A</v>
      </c>
      <c r="V30" s="753" t="s">
        <v>25</v>
      </c>
      <c r="W30" s="754" t="e">
        <f t="shared" si="14"/>
        <v>#N/A</v>
      </c>
      <c r="X30" s="1900"/>
      <c r="Y30" s="3020"/>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0"/>
      <c r="Q31" s="1887"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0" t="s">
        <v>2367</v>
      </c>
      <c r="Q32" s="1899">
        <f t="shared" si="11"/>
        <v>111</v>
      </c>
      <c r="R32" s="753" t="s">
        <v>25</v>
      </c>
      <c r="S32" s="754">
        <f t="shared" si="12"/>
        <v>100</v>
      </c>
      <c r="T32" s="753" t="s">
        <v>25</v>
      </c>
      <c r="U32" s="754">
        <f t="shared" si="13"/>
        <v>100</v>
      </c>
      <c r="V32" s="753" t="s">
        <v>25</v>
      </c>
      <c r="W32" s="754">
        <f t="shared" si="14"/>
        <v>100</v>
      </c>
      <c r="X32" s="1900"/>
      <c r="Y32" s="3020" t="s">
        <v>2367</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0"/>
      <c r="Q33" s="1899">
        <f t="shared" si="11"/>
        <v>111</v>
      </c>
      <c r="R33" s="753" t="s">
        <v>25</v>
      </c>
      <c r="S33" s="754">
        <f t="shared" si="12"/>
        <v>100</v>
      </c>
      <c r="T33" s="753" t="s">
        <v>25</v>
      </c>
      <c r="U33" s="754">
        <f t="shared" si="13"/>
        <v>100</v>
      </c>
      <c r="V33" s="753" t="s">
        <v>25</v>
      </c>
      <c r="W33" s="754">
        <f t="shared" si="14"/>
        <v>100</v>
      </c>
      <c r="X33" s="1900"/>
      <c r="Y33" s="3020"/>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32" t="str">
        <f>A37</f>
        <v>估价对象XX用房的比较价值（楼面单价，元/平方米）</v>
      </c>
      <c r="Q37" s="3033"/>
      <c r="R37" s="3034" t="e">
        <f>IF(E1="售价",ROUND(AVERAGE(R36:V36),0),ROUND(AVERAGE(R36:V36),1))</f>
        <v>#DIV/0!</v>
      </c>
      <c r="S37" s="3034"/>
      <c r="T37" s="3034"/>
      <c r="U37" s="3034"/>
      <c r="V37" s="3034"/>
      <c r="W37" s="303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2990" t="s">
        <v>2337</v>
      </c>
      <c r="D4" s="2991"/>
      <c r="E4" s="2992" t="s">
        <v>2338</v>
      </c>
      <c r="F4" s="2993"/>
      <c r="G4" s="2990" t="s">
        <v>2339</v>
      </c>
      <c r="H4" s="2991"/>
      <c r="I4" s="2990" t="s">
        <v>2340</v>
      </c>
      <c r="J4" s="2991"/>
      <c r="K4" s="594"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2988" t="s">
        <v>2339</v>
      </c>
      <c r="AC4" s="2987" t="s">
        <v>2340</v>
      </c>
    </row>
    <row r="5" spans="1:30" ht="15">
      <c r="A5" s="383"/>
      <c r="B5" s="384"/>
      <c r="C5" s="3009" t="s">
        <v>2343</v>
      </c>
      <c r="D5" s="3010"/>
      <c r="E5" s="3064" t="s">
        <v>2344</v>
      </c>
      <c r="F5" s="3008"/>
      <c r="G5" s="3009" t="s">
        <v>2345</v>
      </c>
      <c r="H5" s="3010"/>
      <c r="I5" s="3009" t="s">
        <v>2346</v>
      </c>
      <c r="J5" s="3010"/>
      <c r="K5" s="594"/>
      <c r="L5" s="1243"/>
      <c r="M5" s="1244"/>
      <c r="N5" s="1244"/>
      <c r="O5" s="1244"/>
      <c r="P5" s="2996"/>
      <c r="Q5" s="2997"/>
      <c r="R5" s="3002"/>
      <c r="S5" s="3003"/>
      <c r="T5" s="3002"/>
      <c r="U5" s="3003"/>
      <c r="V5" s="3006"/>
      <c r="W5" s="3006"/>
      <c r="X5" s="1900"/>
      <c r="Y5" s="3002"/>
      <c r="Z5" s="3003"/>
      <c r="AA5" s="2988"/>
      <c r="AB5" s="2988"/>
      <c r="AC5" s="2988"/>
    </row>
    <row r="6" spans="1:30" ht="15.75" thickBot="1">
      <c r="A6" s="385"/>
      <c r="B6" s="386"/>
      <c r="C6" s="3011" t="s">
        <v>2347</v>
      </c>
      <c r="D6" s="3012"/>
      <c r="E6" s="3013" t="s">
        <v>2347</v>
      </c>
      <c r="F6" s="3014"/>
      <c r="G6" s="3011" t="s">
        <v>2347</v>
      </c>
      <c r="H6" s="3012"/>
      <c r="I6" s="3011" t="s">
        <v>2347</v>
      </c>
      <c r="J6" s="3012"/>
      <c r="K6" s="594" t="s">
        <v>2348</v>
      </c>
      <c r="L6" s="1243"/>
      <c r="M6" s="1244"/>
      <c r="N6" s="1244"/>
      <c r="O6" s="1244"/>
      <c r="P6" s="2998"/>
      <c r="Q6" s="2999"/>
      <c r="R6" s="3002"/>
      <c r="S6" s="3003"/>
      <c r="T6" s="3004"/>
      <c r="U6" s="3005"/>
      <c r="V6" s="3006"/>
      <c r="W6" s="3006"/>
      <c r="X6" s="1900"/>
      <c r="Y6" s="3004"/>
      <c r="Z6" s="3005"/>
      <c r="AA6" s="2989"/>
      <c r="AB6" s="2989"/>
      <c r="AC6" s="2989"/>
    </row>
    <row r="7" spans="1:30" s="35" customFormat="1" ht="15.75" thickBot="1">
      <c r="A7" s="387" t="s">
        <v>2349</v>
      </c>
      <c r="B7" s="388"/>
      <c r="C7" s="389">
        <f>'数据-取费表'!B2</f>
        <v>43180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2" t="s">
        <v>2350</v>
      </c>
      <c r="Q7" s="3024"/>
      <c r="R7" s="749" t="s">
        <v>25</v>
      </c>
      <c r="S7" s="750">
        <f t="shared" ref="S7:S15" si="0">F7</f>
        <v>0</v>
      </c>
      <c r="T7" s="749" t="s">
        <v>25</v>
      </c>
      <c r="U7" s="750">
        <f t="shared" ref="U7:U15" si="1">H7</f>
        <v>0</v>
      </c>
      <c r="V7" s="749" t="s">
        <v>25</v>
      </c>
      <c r="W7" s="750">
        <f t="shared" ref="W7:W15" si="2">J7</f>
        <v>0</v>
      </c>
      <c r="X7" s="751"/>
      <c r="Y7" s="3022" t="s">
        <v>2350</v>
      </c>
      <c r="Z7" s="3023"/>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2" t="s">
        <v>2353</v>
      </c>
      <c r="Q8" s="3023"/>
      <c r="R8" s="749" t="s">
        <v>25</v>
      </c>
      <c r="S8" s="750">
        <f t="shared" si="0"/>
        <v>0</v>
      </c>
      <c r="T8" s="749" t="s">
        <v>25</v>
      </c>
      <c r="U8" s="750">
        <f t="shared" si="1"/>
        <v>0</v>
      </c>
      <c r="V8" s="749" t="s">
        <v>25</v>
      </c>
      <c r="W8" s="750">
        <f t="shared" si="2"/>
        <v>0</v>
      </c>
      <c r="X8" s="751"/>
      <c r="Y8" s="3022" t="s">
        <v>2353</v>
      </c>
      <c r="Z8" s="3023"/>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26"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26"/>
      <c r="Q10" s="1887" t="str">
        <f t="shared" si="6"/>
        <v>土地使用年限（年）</v>
      </c>
      <c r="R10" s="749" t="s">
        <v>25</v>
      </c>
      <c r="S10" s="750">
        <f t="shared" si="0"/>
        <v>104</v>
      </c>
      <c r="T10" s="749" t="s">
        <v>25</v>
      </c>
      <c r="U10" s="750">
        <f t="shared" si="1"/>
        <v>104</v>
      </c>
      <c r="V10" s="749" t="s">
        <v>25</v>
      </c>
      <c r="W10" s="750">
        <f t="shared" si="2"/>
        <v>104</v>
      </c>
      <c r="X10" s="751"/>
      <c r="Y10" s="2867"/>
      <c r="Z10" s="23" t="str">
        <f t="shared" si="7"/>
        <v>土地使用年限（年）</v>
      </c>
      <c r="AA10" s="752">
        <f t="shared" si="3"/>
        <v>0.96153846153846156</v>
      </c>
      <c r="AB10" s="752">
        <f t="shared" si="4"/>
        <v>0.96153846153846156</v>
      </c>
      <c r="AC10" s="752">
        <f t="shared" si="5"/>
        <v>0.96153846153846156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8"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6"/>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128.25">
      <c r="A15" s="380" t="s">
        <v>2360</v>
      </c>
      <c r="B15" s="1487" t="s">
        <v>1735</v>
      </c>
      <c r="C15" s="2465" t="str">
        <f>估价对象房地状况!C15</f>
        <v>估价对象周边居住用地比例高、居住小区规模大和社区发展完善，有亮马桥外交公寓、嘉和丽园公寓等，综合评价居住社区成熟度好。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5" t="s">
        <v>2361</v>
      </c>
      <c r="Q15" s="1899" t="str">
        <f t="shared" si="6"/>
        <v>居住社区成熟度</v>
      </c>
      <c r="R15" s="753" t="s">
        <v>25</v>
      </c>
      <c r="S15" s="754">
        <f t="shared" si="0"/>
        <v>100</v>
      </c>
      <c r="T15" s="753" t="s">
        <v>25</v>
      </c>
      <c r="U15" s="754">
        <f t="shared" si="1"/>
        <v>100</v>
      </c>
      <c r="V15" s="753" t="s">
        <v>25</v>
      </c>
      <c r="W15" s="754">
        <f t="shared" si="2"/>
        <v>100</v>
      </c>
      <c r="X15" s="1900"/>
      <c r="Y15" s="3015"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6"/>
      <c r="Q17" s="1899" t="str">
        <f>B17</f>
        <v>商业繁华度</v>
      </c>
      <c r="R17" s="753" t="s">
        <v>25</v>
      </c>
      <c r="S17" s="754">
        <f>F17</f>
        <v>100</v>
      </c>
      <c r="T17" s="753" t="s">
        <v>25</v>
      </c>
      <c r="U17" s="754">
        <f>H17</f>
        <v>100</v>
      </c>
      <c r="V17" s="753" t="s">
        <v>25</v>
      </c>
      <c r="W17" s="754">
        <f>J17</f>
        <v>100</v>
      </c>
      <c r="X17" s="1900"/>
      <c r="Y17" s="3016"/>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6"/>
      <c r="Q19" s="1899" t="str">
        <f>B19</f>
        <v>办公集聚程度</v>
      </c>
      <c r="R19" s="753" t="s">
        <v>25</v>
      </c>
      <c r="S19" s="754">
        <f>F19</f>
        <v>100</v>
      </c>
      <c r="T19" s="753" t="s">
        <v>25</v>
      </c>
      <c r="U19" s="754">
        <f>H19</f>
        <v>100</v>
      </c>
      <c r="V19" s="753" t="s">
        <v>25</v>
      </c>
      <c r="W19" s="754">
        <f>J19</f>
        <v>100</v>
      </c>
      <c r="X19" s="1900"/>
      <c r="Y19" s="301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16"/>
      <c r="Q20" s="1899"/>
      <c r="R20" s="753"/>
      <c r="S20" s="754"/>
      <c r="T20" s="753"/>
      <c r="U20" s="754"/>
      <c r="V20" s="753"/>
      <c r="W20" s="754"/>
      <c r="X20" s="1900"/>
      <c r="Y20" s="3016"/>
      <c r="Z20" s="1902"/>
      <c r="AA20" s="1903">
        <v>1</v>
      </c>
      <c r="AB20" s="1903">
        <v>1</v>
      </c>
      <c r="AC20" s="1903">
        <v>1</v>
      </c>
    </row>
    <row r="21" spans="1:29" ht="128.25">
      <c r="A21" s="383"/>
      <c r="B21" s="1489" t="s">
        <v>2504</v>
      </c>
      <c r="C21" s="2466" t="str">
        <f>估价对象房地状况!C18</f>
        <v>估价对象周边有430、416、405路，地铁十号线，公共交通通达情况好，周边路网密集，停车便捷程度，综合评价交通便捷度好。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6"/>
      <c r="Q21" s="1899" t="str">
        <f>B21</f>
        <v>交通便捷度</v>
      </c>
      <c r="R21" s="753" t="s">
        <v>25</v>
      </c>
      <c r="S21" s="754">
        <f>F21</f>
        <v>100</v>
      </c>
      <c r="T21" s="753" t="s">
        <v>25</v>
      </c>
      <c r="U21" s="754">
        <f>H21</f>
        <v>100</v>
      </c>
      <c r="V21" s="753" t="s">
        <v>25</v>
      </c>
      <c r="W21" s="754">
        <f>J21</f>
        <v>100</v>
      </c>
      <c r="X21" s="1900"/>
      <c r="Y21" s="301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6"/>
      <c r="Q23" s="1899" t="str">
        <f t="shared" ref="Q23:Q37" si="8">B23</f>
        <v>区域土地利用方向</v>
      </c>
      <c r="R23" s="753" t="s">
        <v>25</v>
      </c>
      <c r="S23" s="754">
        <f>F23</f>
        <v>100</v>
      </c>
      <c r="T23" s="753" t="s">
        <v>25</v>
      </c>
      <c r="U23" s="754">
        <f>H23</f>
        <v>100</v>
      </c>
      <c r="V23" s="753" t="s">
        <v>25</v>
      </c>
      <c r="W23" s="754">
        <f>J23</f>
        <v>100</v>
      </c>
      <c r="X23" s="1900"/>
      <c r="Y23" s="301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16"/>
      <c r="Q24" s="1899"/>
      <c r="R24" s="753"/>
      <c r="S24" s="754"/>
      <c r="T24" s="753"/>
      <c r="U24" s="754"/>
      <c r="V24" s="753"/>
      <c r="W24" s="754"/>
      <c r="X24" s="1900"/>
      <c r="Y24" s="3016"/>
      <c r="Z24" s="1902"/>
      <c r="AA24" s="1903"/>
      <c r="AB24" s="1903"/>
      <c r="AC24" s="1903"/>
    </row>
    <row r="25" spans="1:29" ht="71.25">
      <c r="A25" s="383"/>
      <c r="B25" s="1491" t="s">
        <v>2545</v>
      </c>
      <c r="C25" s="2483" t="str">
        <f>估价对象房地状况!C20</f>
        <v>区域自然环境：朝阳公园、蓝港；人文环境；综合评价环境状况好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6"/>
      <c r="Q25" s="1899" t="str">
        <f t="shared" si="8"/>
        <v>自然及人文环境状况</v>
      </c>
      <c r="R25" s="753" t="s">
        <v>25</v>
      </c>
      <c r="S25" s="754">
        <f>F25</f>
        <v>100</v>
      </c>
      <c r="T25" s="753" t="s">
        <v>25</v>
      </c>
      <c r="U25" s="754">
        <f>H25</f>
        <v>100</v>
      </c>
      <c r="V25" s="753" t="s">
        <v>25</v>
      </c>
      <c r="W25" s="754">
        <f>J25</f>
        <v>100</v>
      </c>
      <c r="X25" s="1900"/>
      <c r="Y25" s="301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6"/>
      <c r="Q26" s="1899"/>
      <c r="R26" s="753"/>
      <c r="S26" s="754"/>
      <c r="T26" s="753"/>
      <c r="U26" s="754"/>
      <c r="V26" s="753"/>
      <c r="W26" s="754"/>
      <c r="X26" s="1900"/>
      <c r="Y26" s="3016"/>
      <c r="Z26" s="1902"/>
      <c r="AA26" s="1903">
        <v>1</v>
      </c>
      <c r="AB26" s="1903">
        <v>1</v>
      </c>
      <c r="AC26" s="1903">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6"/>
      <c r="Q27" s="1887" t="str">
        <f t="shared" ref="Q27" si="9">B27</f>
        <v>公共配套设施</v>
      </c>
      <c r="R27" s="749" t="s">
        <v>25</v>
      </c>
      <c r="S27" s="750">
        <f>F27</f>
        <v>100</v>
      </c>
      <c r="T27" s="749" t="s">
        <v>25</v>
      </c>
      <c r="U27" s="750">
        <f>H27</f>
        <v>100</v>
      </c>
      <c r="V27" s="749" t="s">
        <v>25</v>
      </c>
      <c r="W27" s="750">
        <f>J27</f>
        <v>100</v>
      </c>
      <c r="X27" s="1900"/>
      <c r="Y27" s="3016"/>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16"/>
      <c r="Q28" s="1899"/>
      <c r="R28" s="753"/>
      <c r="S28" s="754"/>
      <c r="T28" s="753"/>
      <c r="U28" s="754"/>
      <c r="V28" s="753"/>
      <c r="W28" s="754"/>
      <c r="X28" s="1900"/>
      <c r="Y28" s="3016"/>
      <c r="Z28" s="23"/>
      <c r="AA28" s="1903">
        <v>1</v>
      </c>
      <c r="AB28" s="1903">
        <v>1</v>
      </c>
      <c r="AC28" s="1903">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6"/>
      <c r="Q29" s="1887" t="str">
        <f t="shared" si="8"/>
        <v>基础设施水平</v>
      </c>
      <c r="R29" s="749" t="s">
        <v>25</v>
      </c>
      <c r="S29" s="750">
        <f>F29</f>
        <v>100</v>
      </c>
      <c r="T29" s="749" t="s">
        <v>25</v>
      </c>
      <c r="U29" s="750">
        <f>H29</f>
        <v>100</v>
      </c>
      <c r="V29" s="749" t="s">
        <v>25</v>
      </c>
      <c r="W29" s="750">
        <f>J29</f>
        <v>100</v>
      </c>
      <c r="X29" s="751"/>
      <c r="Y29" s="3016"/>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16"/>
      <c r="Q30" s="1887"/>
      <c r="R30" s="749"/>
      <c r="S30" s="750"/>
      <c r="T30" s="749"/>
      <c r="U30" s="750"/>
      <c r="V30" s="749"/>
      <c r="W30" s="750"/>
      <c r="X30" s="751"/>
      <c r="Y30" s="3016"/>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6"/>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6"/>
      <c r="Q32" s="1899" t="str">
        <f t="shared" si="8"/>
        <v>毗邻道路的类型与等级</v>
      </c>
      <c r="R32" s="753" t="s">
        <v>25</v>
      </c>
      <c r="S32" s="754">
        <f t="shared" si="10"/>
        <v>100</v>
      </c>
      <c r="T32" s="753" t="s">
        <v>25</v>
      </c>
      <c r="U32" s="754">
        <f t="shared" si="11"/>
        <v>100</v>
      </c>
      <c r="V32" s="753" t="s">
        <v>25</v>
      </c>
      <c r="W32" s="754">
        <f t="shared" si="12"/>
        <v>100</v>
      </c>
      <c r="X32" s="1900"/>
      <c r="Y32" s="301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6"/>
      <c r="Q33" s="1899"/>
      <c r="R33" s="753"/>
      <c r="S33" s="754"/>
      <c r="T33" s="753"/>
      <c r="U33" s="754"/>
      <c r="V33" s="753"/>
      <c r="W33" s="754"/>
      <c r="X33" s="1900"/>
      <c r="Y33" s="3016"/>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6"/>
      <c r="Q34" s="1899" t="str">
        <f t="shared" si="8"/>
        <v>土地级别</v>
      </c>
      <c r="R34" s="753" t="s">
        <v>25</v>
      </c>
      <c r="S34" s="754">
        <f t="shared" si="10"/>
        <v>100</v>
      </c>
      <c r="T34" s="753" t="s">
        <v>25</v>
      </c>
      <c r="U34" s="754">
        <f t="shared" si="11"/>
        <v>100</v>
      </c>
      <c r="V34" s="753" t="s">
        <v>25</v>
      </c>
      <c r="W34" s="754">
        <f t="shared" si="12"/>
        <v>100</v>
      </c>
      <c r="X34" s="1900"/>
      <c r="Y34" s="301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6"/>
      <c r="Q35" s="1899">
        <f t="shared" si="8"/>
        <v>111</v>
      </c>
      <c r="R35" s="753" t="s">
        <v>25</v>
      </c>
      <c r="S35" s="754">
        <f t="shared" si="10"/>
        <v>100</v>
      </c>
      <c r="T35" s="753" t="s">
        <v>25</v>
      </c>
      <c r="U35" s="754">
        <f t="shared" si="11"/>
        <v>100</v>
      </c>
      <c r="V35" s="753" t="s">
        <v>25</v>
      </c>
      <c r="W35" s="754">
        <f t="shared" si="12"/>
        <v>100</v>
      </c>
      <c r="X35" s="1900"/>
      <c r="Y35" s="301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2367</v>
      </c>
      <c r="Q36" s="1899">
        <f t="shared" si="8"/>
        <v>111</v>
      </c>
      <c r="R36" s="753" t="s">
        <v>25</v>
      </c>
      <c r="S36" s="754">
        <f t="shared" si="10"/>
        <v>100</v>
      </c>
      <c r="T36" s="753" t="s">
        <v>25</v>
      </c>
      <c r="U36" s="754">
        <f t="shared" si="11"/>
        <v>100</v>
      </c>
      <c r="V36" s="753" t="s">
        <v>25</v>
      </c>
      <c r="W36" s="754">
        <f t="shared" si="12"/>
        <v>100</v>
      </c>
      <c r="X36" s="1900"/>
      <c r="Y36" s="3020"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0"/>
      <c r="Q37" s="1899">
        <f t="shared" si="8"/>
        <v>111</v>
      </c>
      <c r="R37" s="756" t="s">
        <v>25</v>
      </c>
      <c r="S37" s="757">
        <f t="shared" si="10"/>
        <v>100</v>
      </c>
      <c r="T37" s="756" t="s">
        <v>25</v>
      </c>
      <c r="U37" s="757">
        <f t="shared" si="11"/>
        <v>100</v>
      </c>
      <c r="V37" s="756" t="s">
        <v>25</v>
      </c>
      <c r="W37" s="757">
        <f t="shared" si="12"/>
        <v>100</v>
      </c>
      <c r="X37" s="758"/>
      <c r="Y37" s="3020"/>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0"/>
      <c r="Q38" s="1899" t="str">
        <f>B38</f>
        <v>宗地面积</v>
      </c>
      <c r="R38" s="753" t="s">
        <v>25</v>
      </c>
      <c r="S38" s="754" t="e">
        <f t="shared" si="10"/>
        <v>#N/A</v>
      </c>
      <c r="T38" s="753" t="s">
        <v>25</v>
      </c>
      <c r="U38" s="754" t="e">
        <f t="shared" si="11"/>
        <v>#N/A</v>
      </c>
      <c r="V38" s="753" t="s">
        <v>25</v>
      </c>
      <c r="W38" s="754" t="e">
        <f t="shared" si="12"/>
        <v>#N/A</v>
      </c>
      <c r="X38" s="1900"/>
      <c r="Y38" s="3020"/>
      <c r="Z38" s="1902" t="str">
        <f t="shared" si="13"/>
        <v>宗地面积</v>
      </c>
      <c r="AA38" s="1903" t="e">
        <f t="shared" si="3"/>
        <v>#N/A</v>
      </c>
      <c r="AB38" s="1903" t="e">
        <f t="shared" si="4"/>
        <v>#N/A</v>
      </c>
      <c r="AC38" s="1903" t="e">
        <f t="shared" si="5"/>
        <v>#N/A</v>
      </c>
    </row>
    <row r="39" spans="1:29" ht="15">
      <c r="A39" s="453"/>
      <c r="B39" s="402" t="s">
        <v>2548</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0"/>
      <c r="Q39" s="1899" t="str">
        <f t="shared" ref="Q39:Q45" si="14">B39</f>
        <v>宗地形状</v>
      </c>
      <c r="R39" s="753" t="s">
        <v>25</v>
      </c>
      <c r="S39" s="754">
        <f t="shared" si="10"/>
        <v>100</v>
      </c>
      <c r="T39" s="753" t="s">
        <v>25</v>
      </c>
      <c r="U39" s="754">
        <f t="shared" si="11"/>
        <v>100</v>
      </c>
      <c r="V39" s="753" t="s">
        <v>25</v>
      </c>
      <c r="W39" s="754">
        <f t="shared" si="12"/>
        <v>100</v>
      </c>
      <c r="X39" s="1900"/>
      <c r="Y39" s="3020"/>
      <c r="Z39" s="1902" t="str">
        <f t="shared" si="13"/>
        <v>宗地形状</v>
      </c>
      <c r="AA39" s="1903">
        <f t="shared" si="3"/>
        <v>1</v>
      </c>
      <c r="AB39" s="1903">
        <f t="shared" si="4"/>
        <v>1</v>
      </c>
      <c r="AC39" s="1903">
        <f t="shared" si="5"/>
        <v>1</v>
      </c>
    </row>
    <row r="40" spans="1:29" ht="15">
      <c r="A40" s="453"/>
      <c r="B40" s="402" t="s">
        <v>2549</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0"/>
      <c r="Q40" s="1899" t="str">
        <f t="shared" si="14"/>
        <v>临街宽度及深度</v>
      </c>
      <c r="R40" s="753" t="s">
        <v>25</v>
      </c>
      <c r="S40" s="754">
        <f t="shared" si="10"/>
        <v>100</v>
      </c>
      <c r="T40" s="753" t="s">
        <v>25</v>
      </c>
      <c r="U40" s="754">
        <f t="shared" si="11"/>
        <v>100</v>
      </c>
      <c r="V40" s="753" t="s">
        <v>25</v>
      </c>
      <c r="W40" s="754">
        <f t="shared" si="12"/>
        <v>100</v>
      </c>
      <c r="X40" s="1900"/>
      <c r="Y40" s="3020"/>
      <c r="Z40" s="1902" t="str">
        <f t="shared" si="13"/>
        <v>临街宽度及深度</v>
      </c>
      <c r="AA40" s="1903">
        <f t="shared" si="3"/>
        <v>1</v>
      </c>
      <c r="AB40" s="1903">
        <f t="shared" si="4"/>
        <v>1</v>
      </c>
      <c r="AC40" s="1903">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0"/>
      <c r="Q41" s="1899"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2551</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0" t="s">
        <v>2367</v>
      </c>
      <c r="Q42" s="1899" t="str">
        <f t="shared" si="14"/>
        <v>工程地质条件</v>
      </c>
      <c r="R42" s="753" t="s">
        <v>25</v>
      </c>
      <c r="S42" s="754">
        <f t="shared" si="10"/>
        <v>100</v>
      </c>
      <c r="T42" s="753" t="s">
        <v>25</v>
      </c>
      <c r="U42" s="754">
        <f t="shared" si="11"/>
        <v>100</v>
      </c>
      <c r="V42" s="753" t="s">
        <v>25</v>
      </c>
      <c r="W42" s="754">
        <f t="shared" si="12"/>
        <v>100</v>
      </c>
      <c r="X42" s="1900"/>
      <c r="Y42" s="3020" t="s">
        <v>2367</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0"/>
      <c r="Q43" s="1899">
        <f t="shared" si="14"/>
        <v>111</v>
      </c>
      <c r="R43" s="753" t="s">
        <v>25</v>
      </c>
      <c r="S43" s="754">
        <f t="shared" si="10"/>
        <v>100</v>
      </c>
      <c r="T43" s="753" t="s">
        <v>25</v>
      </c>
      <c r="U43" s="754">
        <f t="shared" si="11"/>
        <v>100</v>
      </c>
      <c r="V43" s="753" t="s">
        <v>25</v>
      </c>
      <c r="W43" s="754">
        <f t="shared" si="12"/>
        <v>100</v>
      </c>
      <c r="X43" s="1900"/>
      <c r="Y43" s="3020"/>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0"/>
      <c r="Q44" s="1899">
        <f t="shared" si="14"/>
        <v>111</v>
      </c>
      <c r="R44" s="753" t="s">
        <v>25</v>
      </c>
      <c r="S44" s="754">
        <f t="shared" si="10"/>
        <v>100</v>
      </c>
      <c r="T44" s="753" t="s">
        <v>25</v>
      </c>
      <c r="U44" s="754">
        <f t="shared" si="11"/>
        <v>100</v>
      </c>
      <c r="V44" s="753" t="s">
        <v>25</v>
      </c>
      <c r="W44" s="754">
        <f t="shared" si="12"/>
        <v>100</v>
      </c>
      <c r="X44" s="1900"/>
      <c r="Y44" s="3020"/>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0"/>
      <c r="Q45" s="1899">
        <f t="shared" si="14"/>
        <v>111</v>
      </c>
      <c r="R45" s="756" t="s">
        <v>25</v>
      </c>
      <c r="S45" s="757">
        <f t="shared" si="10"/>
        <v>100</v>
      </c>
      <c r="T45" s="756" t="s">
        <v>25</v>
      </c>
      <c r="U45" s="757">
        <f t="shared" si="11"/>
        <v>100</v>
      </c>
      <c r="V45" s="756" t="s">
        <v>25</v>
      </c>
      <c r="W45" s="757">
        <f t="shared" si="12"/>
        <v>100</v>
      </c>
      <c r="X45" s="758"/>
      <c r="Y45" s="3020"/>
      <c r="Z45" s="759">
        <f t="shared" si="13"/>
        <v>111</v>
      </c>
      <c r="AA45" s="1903">
        <f t="shared" si="3"/>
        <v>1</v>
      </c>
      <c r="AB45" s="1903">
        <f t="shared" si="4"/>
        <v>1</v>
      </c>
      <c r="AC45" s="1903">
        <f t="shared" si="5"/>
        <v>1</v>
      </c>
    </row>
    <row r="46" spans="1:29" ht="15">
      <c r="A46" s="460" t="s">
        <v>2515</v>
      </c>
      <c r="B46" s="2490" t="s">
        <v>2552</v>
      </c>
      <c r="C46" s="665" t="s">
        <v>1</v>
      </c>
      <c r="D46" s="462"/>
      <c r="E46" s="463"/>
      <c r="F46" s="464"/>
      <c r="G46" s="465"/>
      <c r="H46" s="466"/>
      <c r="I46" s="463"/>
      <c r="J46" s="466"/>
      <c r="K46" s="762"/>
      <c r="L46" s="1256"/>
      <c r="M46" s="1257"/>
      <c r="N46" s="1244"/>
      <c r="O46" s="1257"/>
      <c r="P46" s="3026" t="str">
        <f>A46</f>
        <v>成交单价</v>
      </c>
      <c r="Q46" s="3026"/>
      <c r="R46" s="3006">
        <f>E46</f>
        <v>0</v>
      </c>
      <c r="S46" s="3006"/>
      <c r="T46" s="3006">
        <f>G46</f>
        <v>0</v>
      </c>
      <c r="U46" s="3006"/>
      <c r="V46" s="3006">
        <f>I46</f>
        <v>0</v>
      </c>
      <c r="W46" s="3006"/>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26" t="str">
        <f>A47</f>
        <v>比较价值（元/平方米）</v>
      </c>
      <c r="Q47" s="3026"/>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32" t="str">
        <f>A48</f>
        <v>估价对象XX用房的比较价值（楼面单价，元/平方米）</v>
      </c>
      <c r="Q48" s="3033"/>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4" t="s">
        <v>2572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0" t="s">
        <v>2337</v>
      </c>
      <c r="D4" s="2991"/>
      <c r="E4" s="2992" t="s">
        <v>2338</v>
      </c>
      <c r="F4" s="2993"/>
      <c r="G4" s="2990" t="s">
        <v>2339</v>
      </c>
      <c r="H4" s="2991"/>
      <c r="I4" s="2990" t="s">
        <v>2340</v>
      </c>
      <c r="J4" s="2991"/>
      <c r="K4" s="594" t="s">
        <v>2341</v>
      </c>
      <c r="L4" s="1243"/>
      <c r="M4" s="1244"/>
      <c r="N4" s="1244"/>
      <c r="O4" s="1244"/>
      <c r="P4" s="2994" t="s">
        <v>2342</v>
      </c>
      <c r="Q4" s="2995"/>
      <c r="R4" s="3000" t="s">
        <v>2338</v>
      </c>
      <c r="S4" s="3001"/>
      <c r="T4" s="3000" t="s">
        <v>2339</v>
      </c>
      <c r="U4" s="3001"/>
      <c r="V4" s="3006" t="s">
        <v>2340</v>
      </c>
      <c r="W4" s="3006"/>
      <c r="X4" s="1900"/>
      <c r="Y4" s="3000" t="s">
        <v>2342</v>
      </c>
      <c r="Z4" s="3001"/>
      <c r="AA4" s="2987" t="s">
        <v>2338</v>
      </c>
      <c r="AB4" s="2988" t="s">
        <v>2339</v>
      </c>
      <c r="AC4" s="2987" t="s">
        <v>2340</v>
      </c>
    </row>
    <row r="5" spans="1:29" ht="15">
      <c r="A5" s="383"/>
      <c r="B5" s="384"/>
      <c r="C5" s="3009" t="s">
        <v>2343</v>
      </c>
      <c r="D5" s="3010"/>
      <c r="E5" s="3064" t="s">
        <v>2344</v>
      </c>
      <c r="F5" s="3008"/>
      <c r="G5" s="3009" t="s">
        <v>2345</v>
      </c>
      <c r="H5" s="3010"/>
      <c r="I5" s="3009" t="s">
        <v>2346</v>
      </c>
      <c r="J5" s="301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2347</v>
      </c>
      <c r="D6" s="3012"/>
      <c r="E6" s="3013" t="s">
        <v>2347</v>
      </c>
      <c r="F6" s="3014"/>
      <c r="G6" s="3011" t="s">
        <v>2347</v>
      </c>
      <c r="H6" s="3012"/>
      <c r="I6" s="3011" t="s">
        <v>2347</v>
      </c>
      <c r="J6" s="3012"/>
      <c r="K6" s="594" t="s">
        <v>2348</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2349</v>
      </c>
      <c r="B7" s="388"/>
      <c r="C7" s="389">
        <f>'数据-取费表'!B2</f>
        <v>43180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2" t="s">
        <v>2350</v>
      </c>
      <c r="Q7" s="3024"/>
      <c r="R7" s="749" t="s">
        <v>25</v>
      </c>
      <c r="S7" s="750">
        <f t="shared" ref="S7:S15" si="0">F7</f>
        <v>0</v>
      </c>
      <c r="T7" s="749" t="s">
        <v>25</v>
      </c>
      <c r="U7" s="750">
        <f t="shared" ref="U7:U15" si="1">H7</f>
        <v>0</v>
      </c>
      <c r="V7" s="749" t="s">
        <v>25</v>
      </c>
      <c r="W7" s="750">
        <f t="shared" ref="W7:W15" si="2">J7</f>
        <v>0</v>
      </c>
      <c r="X7" s="751"/>
      <c r="Y7" s="3022" t="s">
        <v>2350</v>
      </c>
      <c r="Z7" s="3023"/>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2" t="s">
        <v>2353</v>
      </c>
      <c r="Q8" s="3023"/>
      <c r="R8" s="749" t="s">
        <v>25</v>
      </c>
      <c r="S8" s="750">
        <f t="shared" si="0"/>
        <v>0</v>
      </c>
      <c r="T8" s="749" t="s">
        <v>25</v>
      </c>
      <c r="U8" s="750">
        <f t="shared" si="1"/>
        <v>0</v>
      </c>
      <c r="V8" s="749" t="s">
        <v>25</v>
      </c>
      <c r="W8" s="750">
        <f t="shared" si="2"/>
        <v>0</v>
      </c>
      <c r="X8" s="751"/>
      <c r="Y8" s="3022" t="s">
        <v>2353</v>
      </c>
      <c r="Z8" s="3023"/>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26" t="s">
        <v>2356</v>
      </c>
      <c r="Q9" s="1887"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26"/>
      <c r="Q10" s="1887" t="str">
        <f t="shared" si="6"/>
        <v>土地使用年限（年）</v>
      </c>
      <c r="R10" s="749" t="s">
        <v>25</v>
      </c>
      <c r="S10" s="750">
        <f t="shared" si="0"/>
        <v>104</v>
      </c>
      <c r="T10" s="749" t="s">
        <v>25</v>
      </c>
      <c r="U10" s="750">
        <f t="shared" si="1"/>
        <v>104</v>
      </c>
      <c r="V10" s="749" t="s">
        <v>25</v>
      </c>
      <c r="W10" s="750">
        <f t="shared" si="2"/>
        <v>104</v>
      </c>
      <c r="X10" s="751"/>
      <c r="Y10" s="2867"/>
      <c r="Z10" s="23" t="str">
        <f t="shared" si="7"/>
        <v>土地使用年限（年）</v>
      </c>
      <c r="AA10" s="752">
        <f t="shared" si="3"/>
        <v>0.96153846153846156</v>
      </c>
      <c r="AB10" s="752">
        <f t="shared" si="4"/>
        <v>0.96153846153846156</v>
      </c>
      <c r="AC10" s="752">
        <f t="shared" si="5"/>
        <v>0.96153846153846156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5" t="s">
        <v>2361</v>
      </c>
      <c r="Q15" s="1899" t="str">
        <f t="shared" si="6"/>
        <v>产业集聚程度</v>
      </c>
      <c r="R15" s="753" t="s">
        <v>25</v>
      </c>
      <c r="S15" s="754">
        <f t="shared" si="0"/>
        <v>100</v>
      </c>
      <c r="T15" s="753" t="s">
        <v>25</v>
      </c>
      <c r="U15" s="754">
        <f t="shared" si="1"/>
        <v>100</v>
      </c>
      <c r="V15" s="753" t="s">
        <v>25</v>
      </c>
      <c r="W15" s="754">
        <f t="shared" si="2"/>
        <v>100</v>
      </c>
      <c r="X15" s="1900"/>
      <c r="Y15" s="3015"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85.5">
      <c r="A17" s="408"/>
      <c r="B17" s="615" t="s">
        <v>2504</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2544</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6"/>
      <c r="Q19" s="1899" t="str">
        <f t="shared" ref="Q19:Q33" si="8">B19</f>
        <v>区域土地利用方向</v>
      </c>
      <c r="R19" s="753" t="s">
        <v>25</v>
      </c>
      <c r="S19" s="754">
        <f>F19</f>
        <v>100</v>
      </c>
      <c r="T19" s="753" t="s">
        <v>25</v>
      </c>
      <c r="U19" s="754">
        <f>H19</f>
        <v>100</v>
      </c>
      <c r="V19" s="753" t="s">
        <v>25</v>
      </c>
      <c r="W19" s="754">
        <f>J19</f>
        <v>100</v>
      </c>
      <c r="X19" s="1900"/>
      <c r="Y19" s="301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6"/>
      <c r="Q20" s="1899"/>
      <c r="R20" s="753"/>
      <c r="S20" s="754"/>
      <c r="T20" s="753"/>
      <c r="U20" s="754"/>
      <c r="V20" s="753"/>
      <c r="W20" s="754"/>
      <c r="X20" s="1900"/>
      <c r="Y20" s="3016"/>
      <c r="Z20" s="1902"/>
      <c r="AA20" s="1903"/>
      <c r="AB20" s="1903"/>
      <c r="AC20" s="1903"/>
    </row>
    <row r="21" spans="1:29" ht="71.25">
      <c r="A21" s="383"/>
      <c r="B21" s="615" t="s">
        <v>2589</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6"/>
      <c r="Q21" s="1899" t="str">
        <f t="shared" si="8"/>
        <v>环境状况</v>
      </c>
      <c r="R21" s="753" t="s">
        <v>25</v>
      </c>
      <c r="S21" s="754">
        <f>F21</f>
        <v>100</v>
      </c>
      <c r="T21" s="753" t="s">
        <v>25</v>
      </c>
      <c r="U21" s="754">
        <f>H21</f>
        <v>100</v>
      </c>
      <c r="V21" s="753" t="s">
        <v>25</v>
      </c>
      <c r="W21" s="754">
        <f>J21</f>
        <v>100</v>
      </c>
      <c r="X21" s="1900"/>
      <c r="Y21" s="301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s="35" customFormat="1" ht="42.75">
      <c r="A23" s="633"/>
      <c r="B23" s="615" t="s">
        <v>2447</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6"/>
      <c r="Q23" s="1887" t="str">
        <f t="shared" si="8"/>
        <v>公共配套设施</v>
      </c>
      <c r="R23" s="749" t="s">
        <v>25</v>
      </c>
      <c r="S23" s="750">
        <f>F23</f>
        <v>100</v>
      </c>
      <c r="T23" s="749" t="s">
        <v>25</v>
      </c>
      <c r="U23" s="750">
        <f>H23</f>
        <v>100</v>
      </c>
      <c r="V23" s="749" t="s">
        <v>25</v>
      </c>
      <c r="W23" s="750">
        <f>J23</f>
        <v>100</v>
      </c>
      <c r="X23" s="751"/>
      <c r="Y23" s="3016"/>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16"/>
      <c r="Q24" s="1887"/>
      <c r="R24" s="749"/>
      <c r="S24" s="750"/>
      <c r="T24" s="749"/>
      <c r="U24" s="750"/>
      <c r="V24" s="749"/>
      <c r="W24" s="750"/>
      <c r="X24" s="751"/>
      <c r="Y24" s="3016"/>
      <c r="Z24" s="23"/>
      <c r="AA24" s="752">
        <v>1</v>
      </c>
      <c r="AB24" s="752">
        <v>1</v>
      </c>
      <c r="AC24" s="752">
        <v>1</v>
      </c>
    </row>
    <row r="25" spans="1:29" s="35" customFormat="1" ht="28.5">
      <c r="A25" s="633"/>
      <c r="B25" s="617" t="s">
        <v>2448</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6"/>
      <c r="Q25" s="1887" t="str">
        <f t="shared" ref="Q25" si="9">B25</f>
        <v>基础设施水平</v>
      </c>
      <c r="R25" s="749" t="s">
        <v>25</v>
      </c>
      <c r="S25" s="750">
        <f>F25</f>
        <v>100</v>
      </c>
      <c r="T25" s="749" t="s">
        <v>25</v>
      </c>
      <c r="U25" s="750">
        <f>H25</f>
        <v>100</v>
      </c>
      <c r="V25" s="749" t="s">
        <v>25</v>
      </c>
      <c r="W25" s="750">
        <f>J25</f>
        <v>100</v>
      </c>
      <c r="X25" s="751"/>
      <c r="Y25" s="3016"/>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16"/>
      <c r="Q26" s="1887"/>
      <c r="R26" s="749"/>
      <c r="S26" s="750"/>
      <c r="T26" s="749"/>
      <c r="U26" s="750"/>
      <c r="V26" s="749"/>
      <c r="W26" s="750"/>
      <c r="X26" s="751"/>
      <c r="Y26" s="3016"/>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6"/>
      <c r="Z27" s="1902" t="str">
        <f t="shared" ref="Z27:Z40" si="13">Q27</f>
        <v>临街状况</v>
      </c>
      <c r="AA27" s="1903">
        <f t="shared" si="3"/>
        <v>1</v>
      </c>
      <c r="AB27" s="1903">
        <f t="shared" si="4"/>
        <v>1</v>
      </c>
      <c r="AC27" s="1903">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6"/>
      <c r="Q28" s="1899" t="str">
        <f t="shared" si="8"/>
        <v>毗邻道路的类型与等级</v>
      </c>
      <c r="R28" s="753" t="s">
        <v>25</v>
      </c>
      <c r="S28" s="754">
        <f t="shared" si="10"/>
        <v>100</v>
      </c>
      <c r="T28" s="753" t="s">
        <v>25</v>
      </c>
      <c r="U28" s="754">
        <f t="shared" si="11"/>
        <v>100</v>
      </c>
      <c r="V28" s="753" t="s">
        <v>25</v>
      </c>
      <c r="W28" s="754">
        <f t="shared" si="12"/>
        <v>100</v>
      </c>
      <c r="X28" s="1900"/>
      <c r="Y28" s="301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6"/>
      <c r="Q29" s="1899"/>
      <c r="R29" s="753"/>
      <c r="S29" s="754"/>
      <c r="T29" s="753"/>
      <c r="U29" s="754"/>
      <c r="V29" s="753"/>
      <c r="W29" s="754"/>
      <c r="X29" s="1900"/>
      <c r="Y29" s="3016"/>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6"/>
      <c r="Q30" s="1899" t="str">
        <f t="shared" si="8"/>
        <v>土地级别</v>
      </c>
      <c r="R30" s="753" t="s">
        <v>25</v>
      </c>
      <c r="S30" s="754">
        <f t="shared" si="10"/>
        <v>100</v>
      </c>
      <c r="T30" s="753" t="s">
        <v>25</v>
      </c>
      <c r="U30" s="754">
        <f t="shared" si="11"/>
        <v>100</v>
      </c>
      <c r="V30" s="753" t="s">
        <v>25</v>
      </c>
      <c r="W30" s="754">
        <f t="shared" si="12"/>
        <v>100</v>
      </c>
      <c r="X30" s="1900"/>
      <c r="Y30" s="3016"/>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6"/>
      <c r="Q31" s="1899">
        <f t="shared" si="8"/>
        <v>111</v>
      </c>
      <c r="R31" s="753" t="s">
        <v>25</v>
      </c>
      <c r="S31" s="754">
        <f t="shared" si="10"/>
        <v>100</v>
      </c>
      <c r="T31" s="753" t="s">
        <v>25</v>
      </c>
      <c r="U31" s="754">
        <f t="shared" si="11"/>
        <v>100</v>
      </c>
      <c r="V31" s="753" t="s">
        <v>25</v>
      </c>
      <c r="W31" s="754">
        <f t="shared" si="12"/>
        <v>100</v>
      </c>
      <c r="X31" s="1900"/>
      <c r="Y31" s="3016"/>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2367</v>
      </c>
      <c r="Q32" s="1899">
        <f t="shared" si="8"/>
        <v>111</v>
      </c>
      <c r="R32" s="753" t="s">
        <v>25</v>
      </c>
      <c r="S32" s="754">
        <f t="shared" si="10"/>
        <v>100</v>
      </c>
      <c r="T32" s="753" t="s">
        <v>25</v>
      </c>
      <c r="U32" s="754">
        <f t="shared" si="11"/>
        <v>100</v>
      </c>
      <c r="V32" s="753" t="s">
        <v>25</v>
      </c>
      <c r="W32" s="754">
        <f t="shared" si="12"/>
        <v>100</v>
      </c>
      <c r="X32" s="1900"/>
      <c r="Y32" s="3020" t="s">
        <v>2367</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0"/>
      <c r="Q33" s="1899">
        <f t="shared" si="8"/>
        <v>111</v>
      </c>
      <c r="R33" s="756" t="s">
        <v>25</v>
      </c>
      <c r="S33" s="757">
        <f t="shared" si="10"/>
        <v>100</v>
      </c>
      <c r="T33" s="756" t="s">
        <v>25</v>
      </c>
      <c r="U33" s="757">
        <f t="shared" si="11"/>
        <v>100</v>
      </c>
      <c r="V33" s="756" t="s">
        <v>25</v>
      </c>
      <c r="W33" s="757">
        <f t="shared" si="12"/>
        <v>100</v>
      </c>
      <c r="X33" s="758"/>
      <c r="Y33" s="3020"/>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0"/>
      <c r="Q34" s="1899" t="str">
        <f>B34</f>
        <v>宗地面积</v>
      </c>
      <c r="R34" s="753" t="s">
        <v>25</v>
      </c>
      <c r="S34" s="754" t="e">
        <f t="shared" si="10"/>
        <v>#N/A</v>
      </c>
      <c r="T34" s="753" t="s">
        <v>25</v>
      </c>
      <c r="U34" s="754" t="e">
        <f t="shared" si="11"/>
        <v>#N/A</v>
      </c>
      <c r="V34" s="753" t="s">
        <v>25</v>
      </c>
      <c r="W34" s="754" t="e">
        <f t="shared" si="12"/>
        <v>#N/A</v>
      </c>
      <c r="X34" s="1900"/>
      <c r="Y34" s="3020"/>
      <c r="Z34" s="1902" t="str">
        <f t="shared" si="13"/>
        <v>宗地面积</v>
      </c>
      <c r="AA34" s="1903" t="e">
        <f t="shared" si="3"/>
        <v>#N/A</v>
      </c>
      <c r="AB34" s="1903" t="e">
        <f t="shared" si="4"/>
        <v>#N/A</v>
      </c>
      <c r="AC34" s="1903" t="e">
        <f t="shared" si="5"/>
        <v>#N/A</v>
      </c>
    </row>
    <row r="35" spans="1:29" ht="15">
      <c r="A35" s="453"/>
      <c r="B35" s="402" t="s">
        <v>2548</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0"/>
      <c r="Q35" s="1899" t="str">
        <f t="shared" ref="Q35:Q40" si="14">B35</f>
        <v>宗地形状</v>
      </c>
      <c r="R35" s="753" t="s">
        <v>25</v>
      </c>
      <c r="S35" s="754">
        <f t="shared" si="10"/>
        <v>100</v>
      </c>
      <c r="T35" s="753" t="s">
        <v>25</v>
      </c>
      <c r="U35" s="754">
        <f t="shared" si="11"/>
        <v>100</v>
      </c>
      <c r="V35" s="753" t="s">
        <v>25</v>
      </c>
      <c r="W35" s="754">
        <f t="shared" si="12"/>
        <v>100</v>
      </c>
      <c r="X35" s="1900"/>
      <c r="Y35" s="3020"/>
      <c r="Z35" s="1902" t="str">
        <f t="shared" si="13"/>
        <v>宗地形状</v>
      </c>
      <c r="AA35" s="1903">
        <f t="shared" si="3"/>
        <v>1</v>
      </c>
      <c r="AB35" s="1903">
        <f t="shared" si="4"/>
        <v>1</v>
      </c>
      <c r="AC35" s="1903">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0"/>
      <c r="Q36" s="1899"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2551</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0" t="s">
        <v>2367</v>
      </c>
      <c r="Q37" s="1899" t="str">
        <f t="shared" si="14"/>
        <v>工程地质条件</v>
      </c>
      <c r="R37" s="753" t="s">
        <v>25</v>
      </c>
      <c r="S37" s="754">
        <f t="shared" si="10"/>
        <v>100</v>
      </c>
      <c r="T37" s="753" t="s">
        <v>25</v>
      </c>
      <c r="U37" s="754">
        <f t="shared" si="11"/>
        <v>100</v>
      </c>
      <c r="V37" s="753" t="s">
        <v>25</v>
      </c>
      <c r="W37" s="754">
        <f t="shared" si="12"/>
        <v>100</v>
      </c>
      <c r="X37" s="1900"/>
      <c r="Y37" s="3020" t="s">
        <v>2367</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0"/>
      <c r="Q38" s="1899">
        <f t="shared" si="14"/>
        <v>111</v>
      </c>
      <c r="R38" s="753" t="s">
        <v>25</v>
      </c>
      <c r="S38" s="754">
        <f t="shared" si="10"/>
        <v>100</v>
      </c>
      <c r="T38" s="753" t="s">
        <v>25</v>
      </c>
      <c r="U38" s="754">
        <f t="shared" si="11"/>
        <v>100</v>
      </c>
      <c r="V38" s="753" t="s">
        <v>25</v>
      </c>
      <c r="W38" s="754">
        <f t="shared" si="12"/>
        <v>100</v>
      </c>
      <c r="X38" s="1900"/>
      <c r="Y38" s="3020"/>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0"/>
      <c r="Q39" s="1899">
        <f t="shared" si="14"/>
        <v>111</v>
      </c>
      <c r="R39" s="753" t="s">
        <v>25</v>
      </c>
      <c r="S39" s="754">
        <f t="shared" si="10"/>
        <v>100</v>
      </c>
      <c r="T39" s="753" t="s">
        <v>25</v>
      </c>
      <c r="U39" s="754">
        <f t="shared" si="11"/>
        <v>100</v>
      </c>
      <c r="V39" s="753" t="s">
        <v>25</v>
      </c>
      <c r="W39" s="754">
        <f t="shared" si="12"/>
        <v>100</v>
      </c>
      <c r="X39" s="1900"/>
      <c r="Y39" s="3020"/>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0"/>
      <c r="Q40" s="1899">
        <f t="shared" si="14"/>
        <v>111</v>
      </c>
      <c r="R40" s="756" t="s">
        <v>25</v>
      </c>
      <c r="S40" s="757">
        <f t="shared" si="10"/>
        <v>100</v>
      </c>
      <c r="T40" s="756" t="s">
        <v>25</v>
      </c>
      <c r="U40" s="757">
        <f t="shared" si="11"/>
        <v>100</v>
      </c>
      <c r="V40" s="756" t="s">
        <v>25</v>
      </c>
      <c r="W40" s="757">
        <f t="shared" si="12"/>
        <v>100</v>
      </c>
      <c r="X40" s="758"/>
      <c r="Y40" s="3020"/>
      <c r="Z40" s="759">
        <f t="shared" si="13"/>
        <v>111</v>
      </c>
      <c r="AA40" s="1903">
        <f t="shared" si="3"/>
        <v>1</v>
      </c>
      <c r="AB40" s="1903">
        <f t="shared" si="4"/>
        <v>1</v>
      </c>
      <c r="AC40" s="1903">
        <f t="shared" si="5"/>
        <v>1</v>
      </c>
    </row>
    <row r="41" spans="1:29" ht="15">
      <c r="A41" s="460" t="s">
        <v>2515</v>
      </c>
      <c r="B41" s="2490" t="s">
        <v>2590</v>
      </c>
      <c r="C41" s="665" t="s">
        <v>1</v>
      </c>
      <c r="D41" s="462"/>
      <c r="E41" s="463"/>
      <c r="F41" s="464"/>
      <c r="G41" s="465"/>
      <c r="H41" s="466"/>
      <c r="I41" s="463"/>
      <c r="J41" s="466"/>
      <c r="K41" s="762"/>
      <c r="L41" s="1256"/>
      <c r="M41" s="1244"/>
      <c r="N41" s="1244"/>
      <c r="O41" s="1257"/>
      <c r="P41" s="3026" t="str">
        <f>A41</f>
        <v>成交单价</v>
      </c>
      <c r="Q41" s="3026"/>
      <c r="R41" s="3006">
        <f>E41</f>
        <v>0</v>
      </c>
      <c r="S41" s="3006"/>
      <c r="T41" s="3006">
        <f>G41</f>
        <v>0</v>
      </c>
      <c r="U41" s="3006"/>
      <c r="V41" s="3006">
        <f>I41</f>
        <v>0</v>
      </c>
      <c r="W41" s="3006"/>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26" t="str">
        <f>A42</f>
        <v>比较价值（元/平方米）</v>
      </c>
      <c r="Q42" s="3026"/>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32" t="str">
        <f>A43</f>
        <v>估价对象XX用房的比较价值（楼面单价，元/平方米）</v>
      </c>
      <c r="Q43" s="3033"/>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估价对象为北京市房地产，为所有。根据《房屋所有权证》[]，估价对象建筑面积为227.54平方米。估价对象用途为公寓。</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2018年3月21日（评估专业人员实地查勘之日）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c r="B13" s="1917"/>
      <c r="C13" s="1917"/>
      <c r="D13" s="1917"/>
      <c r="E13" s="1917"/>
      <c r="F13" s="1917"/>
      <c r="G13" s="1917"/>
    </row>
    <row r="14" spans="1:7" ht="54">
      <c r="A14" s="192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2"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2615</v>
      </c>
      <c r="B5" s="2516" t="s">
        <v>2616</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5"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f>G2</f>
        <v>0</v>
      </c>
      <c r="Y7" s="1711" t="s">
        <v>2625</v>
      </c>
      <c r="Z7" s="1712">
        <f>G3</f>
        <v>0</v>
      </c>
      <c r="AA7" s="1713"/>
      <c r="AB7" s="1713"/>
      <c r="AC7" s="1714"/>
      <c r="AD7" s="1715"/>
      <c r="AE7" s="1715"/>
      <c r="AF7" s="1715"/>
      <c r="AG7" s="1715"/>
      <c r="AH7" s="1715"/>
      <c r="AI7" s="1715"/>
      <c r="AJ7" s="1716"/>
    </row>
    <row r="8" spans="1:36" ht="15">
      <c r="A8" s="3076"/>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2629</v>
      </c>
      <c r="X8" s="3089"/>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76"/>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6"/>
      <c r="C14" s="2557" t="s">
        <v>2665</v>
      </c>
      <c r="D14" s="2558" t="s">
        <v>2666</v>
      </c>
      <c r="E14" s="2558" t="s">
        <v>2666</v>
      </c>
      <c r="F14" s="2559" t="s">
        <v>2667</v>
      </c>
      <c r="G14" s="2560" t="s">
        <v>2668</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2" t="s">
        <v>2675</v>
      </c>
      <c r="C16" s="1885" t="e">
        <f>ROUND(SUM(G17:J17)/C17,0)</f>
        <v>#DIV/0!</v>
      </c>
      <c r="D16" s="2567" t="s">
        <v>2676</v>
      </c>
      <c r="E16" s="2568"/>
      <c r="F16" s="2569"/>
      <c r="G16" s="2570"/>
      <c r="H16" s="2570"/>
      <c r="I16" s="2570"/>
      <c r="J16" s="2571"/>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43180</v>
      </c>
      <c r="H19" s="2584" t="s">
        <v>2688</v>
      </c>
      <c r="I19" s="955" t="str">
        <f>IF(H19="季度增幅（自定义）",SUMIF(N21:N24,E2,O21:O24),"")</f>
        <v/>
      </c>
      <c r="J19" s="2580"/>
      <c r="K19" s="2581"/>
      <c r="L19" s="2585" t="s">
        <v>2689</v>
      </c>
      <c r="M19" s="1826">
        <f>ROUND(SUMIF(地价!B2:F2,E2,地价!B21:F21),0)</f>
        <v>0</v>
      </c>
      <c r="N19" s="1466" t="s">
        <v>2690</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6">
        <f ca="1">存贷款利率!D4/100</f>
        <v>4.3499999999999997E-2</v>
      </c>
      <c r="F20" s="2591" t="s">
        <v>2681</v>
      </c>
      <c r="G20" s="963">
        <f>SUMIF(M15:P15,E2,M17:P17)</f>
        <v>0</v>
      </c>
      <c r="H20" s="2591" t="s">
        <v>2694</v>
      </c>
      <c r="I20" s="964">
        <f>'数据-取费表'!B13</f>
        <v>57.5</v>
      </c>
      <c r="J20" s="965">
        <f>IF(E2="住宅",70,IF(E2="商业",40,50))</f>
        <v>50</v>
      </c>
      <c r="K20" s="2581"/>
      <c r="L20" s="2592" t="s">
        <v>2695</v>
      </c>
      <c r="M20" s="1827">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5"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2754</v>
      </c>
      <c r="B49" s="2672" t="str">
        <f>估价对象房地状况!C18</f>
        <v>估价对象周边有430、416、405路，地铁十号线，公共交通通达情况好，周边路网密集，停车便捷程度，综合评价交通便捷度好。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城市支路——东方东路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2763</v>
      </c>
      <c r="B56" s="2678" t="str">
        <f>估价对象房地状况!C20</f>
        <v>区域自然环境：朝阳公园、蓝港；人文环境；综合评价环境状况好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2754</v>
      </c>
      <c r="B60" s="2672" t="str">
        <f>估价对象房地状况!C18</f>
        <v>估价对象周边有430、416、405路，地铁十号线，公共交通通达情况好，周边路网密集，停车便捷程度，综合评价交通便捷度好。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城市支路——东方东路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2763</v>
      </c>
      <c r="B67" s="2680" t="str">
        <f>估价对象房地状况!C20</f>
        <v>区域自然环境：朝阳公园、蓝港；人文环境；综合评价环境状况好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2770</v>
      </c>
      <c r="B70" s="2671" t="str">
        <f>估价对象房地状况!C15</f>
        <v>估价对象周边居住用地比例高、居住小区规模大和社区发展完善，有亮马桥外交公寓、嘉和丽园公寓等，综合评价居住社区成熟度好。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2754</v>
      </c>
      <c r="B71" s="2672" t="str">
        <f>估价对象房地状况!C18</f>
        <v>估价对象周边有430、416、405路，地铁十号线，公共交通通达情况好，周边路网密集，停车便捷程度，综合评价交通便捷度好。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城市支路——东方东路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2763</v>
      </c>
      <c r="B77" s="2671" t="str">
        <f>估价对象房地状况!C20</f>
        <v>区域自然环境：朝阳公园、蓝港；人文环境；综合评价环境状况好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7" t="s">
        <v>2776</v>
      </c>
      <c r="B90" s="3077"/>
      <c r="C90" s="3077"/>
      <c r="D90" s="3077"/>
      <c r="E90" s="3077"/>
      <c r="F90" s="3077"/>
      <c r="G90" s="3077"/>
      <c r="H90" s="3077"/>
      <c r="I90" s="3077"/>
      <c r="J90" s="3077"/>
      <c r="K90" s="2685"/>
      <c r="L90" s="2685"/>
      <c r="M90" s="2685"/>
      <c r="N90" s="2685"/>
    </row>
    <row r="91" spans="1:37">
      <c r="A91" s="3079" t="s">
        <v>2777</v>
      </c>
      <c r="B91" s="3079" t="s">
        <v>2778</v>
      </c>
      <c r="C91" s="2633" t="s">
        <v>2779</v>
      </c>
      <c r="D91" s="2634"/>
      <c r="E91" s="2634"/>
      <c r="F91" s="2634"/>
      <c r="G91" s="2634"/>
      <c r="H91" s="2634"/>
      <c r="I91" s="2634"/>
      <c r="J91" s="2686"/>
      <c r="K91" s="2687"/>
      <c r="L91" s="2687"/>
      <c r="M91" s="2687"/>
      <c r="N91" s="2687"/>
    </row>
    <row r="92" spans="1:37">
      <c r="A92" s="3079"/>
      <c r="B92" s="3079"/>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0"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1"/>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1"/>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1"/>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1"/>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1"/>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1"/>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2"/>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0"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1"/>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1"/>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1"/>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1"/>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1"/>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1"/>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1"/>
      <c r="B108" s="3083"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2"/>
      <c r="B109" s="3084"/>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8" t="s">
        <v>2784</v>
      </c>
      <c r="B110" s="3078"/>
      <c r="C110" s="3078"/>
      <c r="D110" s="3078"/>
      <c r="E110" s="3078"/>
      <c r="F110" s="3078"/>
      <c r="G110" s="3078"/>
      <c r="H110" s="3078"/>
      <c r="I110" s="3078"/>
      <c r="J110" s="3078"/>
      <c r="K110" s="2694"/>
      <c r="L110" s="2694"/>
      <c r="M110" s="2694"/>
      <c r="N110" s="2694"/>
    </row>
    <row r="112" spans="1:14" ht="13.5" thickBot="1"/>
    <row r="113" spans="1:13" ht="25.5" thickBot="1">
      <c r="A113" s="928" t="s">
        <v>2785</v>
      </c>
      <c r="B113" s="1379">
        <f>G3</f>
        <v>0</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估价对象周边有430、416、405路，地铁十号线，公共交通通达情况好，周边路网密集，停车便捷程度，综合评价交通便捷度好。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城市支路——东方东路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区域自然环境：朝阳公园、蓝港；人文环境；综合评价环境状况好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估价对象周边有430、416、405路，地铁十号线，公共交通通达情况好，周边路网密集，停车便捷程度，综合评价交通便捷度好。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城市支路——东方东路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区域自然环境：朝阳公园、蓝港；人文环境；综合评价环境状况好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估价对象周边居住用地比例高、居住小区规模大和社区发展完善，有亮马桥外交公寓、嘉和丽园公寓等，综合评价居住社区成熟度好。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估价对象周边有430、416、405路，地铁十号线，公共交通通达情况好，周边路网密集，停车便捷程度，综合评价交通便捷度好。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城市支路——东方东路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区域自然环境：朝阳公园、蓝港；人文环境；综合评价环境状况好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2804</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43180</v>
      </c>
      <c r="D1" s="1802" t="s">
        <v>1187</v>
      </c>
      <c r="E1" s="1808">
        <f>'数据-取费表'!B23</f>
        <v>2.5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6" zoomScale="90" zoomScaleNormal="90" workbookViewId="0">
      <selection activeCell="G17" sqref="G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1304</v>
      </c>
      <c r="B2" s="1725">
        <f>IF(D2="——",IF(C2="元",ROUND(C49*D3,0),ROUND(C49*D3/10000,0)),IF(C2="元",ROUND(C49*D3,0),ROUND(C49*D3/10000,0))-E2)</f>
        <v>575</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1305</v>
      </c>
      <c r="B3" s="378">
        <f>ROUND(IF(D2="——",C49,IF(C2="万元",B2*10000/D3,B2/D3)),0)</f>
        <v>25261</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2990" t="s">
        <v>2337</v>
      </c>
      <c r="D4" s="2991"/>
      <c r="E4" s="2992" t="s">
        <v>2338</v>
      </c>
      <c r="F4" s="2993"/>
      <c r="G4" s="2990" t="s">
        <v>2339</v>
      </c>
      <c r="H4" s="2991"/>
      <c r="I4" s="2990" t="s">
        <v>2340</v>
      </c>
      <c r="J4" s="2991"/>
      <c r="K4" s="2395" t="s">
        <v>2341</v>
      </c>
      <c r="L4" s="1243"/>
      <c r="M4" s="1244"/>
      <c r="N4" s="1244"/>
      <c r="O4" s="1244"/>
      <c r="P4" s="2994" t="s">
        <v>2342</v>
      </c>
      <c r="Q4" s="2995"/>
      <c r="R4" s="3000" t="s">
        <v>2338</v>
      </c>
      <c r="S4" s="3001"/>
      <c r="T4" s="3000" t="s">
        <v>2339</v>
      </c>
      <c r="U4" s="3001"/>
      <c r="V4" s="3006" t="s">
        <v>2340</v>
      </c>
      <c r="W4" s="3006"/>
      <c r="X4" s="2732"/>
      <c r="Y4" s="3000" t="s">
        <v>2342</v>
      </c>
      <c r="Z4" s="3001"/>
      <c r="AA4" s="2987" t="s">
        <v>2338</v>
      </c>
      <c r="AB4" s="2987" t="s">
        <v>2339</v>
      </c>
      <c r="AC4" s="2987" t="s">
        <v>2340</v>
      </c>
    </row>
    <row r="5" spans="1:29" ht="15">
      <c r="A5" s="383"/>
      <c r="B5" s="384"/>
      <c r="C5" s="3009" t="s">
        <v>2343</v>
      </c>
      <c r="D5" s="3010"/>
      <c r="E5" s="3007" t="s">
        <v>2834</v>
      </c>
      <c r="F5" s="3008"/>
      <c r="G5" s="3007" t="s">
        <v>2834</v>
      </c>
      <c r="H5" s="3008"/>
      <c r="I5" s="3007" t="s">
        <v>2834</v>
      </c>
      <c r="J5" s="3008"/>
      <c r="K5" s="2396"/>
      <c r="L5" s="1243"/>
      <c r="M5" s="1244"/>
      <c r="N5" s="1244"/>
      <c r="O5" s="1244"/>
      <c r="P5" s="2996"/>
      <c r="Q5" s="2997"/>
      <c r="R5" s="3002"/>
      <c r="S5" s="3003"/>
      <c r="T5" s="3002"/>
      <c r="U5" s="3003"/>
      <c r="V5" s="3006"/>
      <c r="W5" s="3006"/>
      <c r="X5" s="2732"/>
      <c r="Y5" s="3002"/>
      <c r="Z5" s="3003"/>
      <c r="AA5" s="2988"/>
      <c r="AB5" s="2988"/>
      <c r="AC5" s="2988"/>
    </row>
    <row r="6" spans="1:29" ht="15.75" thickBot="1">
      <c r="A6" s="385"/>
      <c r="B6" s="386"/>
      <c r="C6" s="3011" t="s">
        <v>2347</v>
      </c>
      <c r="D6" s="3012"/>
      <c r="E6" s="3013" t="s">
        <v>2347</v>
      </c>
      <c r="F6" s="3014"/>
      <c r="G6" s="3011" t="s">
        <v>2347</v>
      </c>
      <c r="H6" s="3012"/>
      <c r="I6" s="3011" t="s">
        <v>2347</v>
      </c>
      <c r="J6" s="3012"/>
      <c r="K6" s="2396" t="s">
        <v>2348</v>
      </c>
      <c r="L6" s="1243"/>
      <c r="M6" s="1244"/>
      <c r="N6" s="1244"/>
      <c r="O6" s="1244"/>
      <c r="P6" s="2998"/>
      <c r="Q6" s="2999"/>
      <c r="R6" s="3002"/>
      <c r="S6" s="3003"/>
      <c r="T6" s="3004"/>
      <c r="U6" s="3005"/>
      <c r="V6" s="3006"/>
      <c r="W6" s="3006"/>
      <c r="X6" s="2732"/>
      <c r="Y6" s="3004"/>
      <c r="Z6" s="3005"/>
      <c r="AA6" s="2989"/>
      <c r="AB6" s="2989"/>
      <c r="AC6" s="2989"/>
    </row>
    <row r="7" spans="1:29" s="35" customFormat="1" ht="15.75" thickBot="1">
      <c r="A7" s="387" t="s">
        <v>2349</v>
      </c>
      <c r="B7" s="388"/>
      <c r="C7" s="389">
        <f>'数据-取费表'!B2</f>
        <v>43180</v>
      </c>
      <c r="D7" s="390">
        <v>100</v>
      </c>
      <c r="E7" s="391">
        <v>43160</v>
      </c>
      <c r="F7" s="392">
        <f>SUMIF(58:58,YEAR(E7)&amp;"-"&amp;MONTH(E7),59:59)</f>
        <v>100</v>
      </c>
      <c r="G7" s="391">
        <v>43160</v>
      </c>
      <c r="H7" s="390">
        <f>SUMIF(58:58,YEAR(G7)&amp;"-"&amp;MONTH(G7),59:59)</f>
        <v>100</v>
      </c>
      <c r="I7" s="391">
        <v>43160</v>
      </c>
      <c r="J7" s="390">
        <f>SUMIF(58:58,YEAR(I7)&amp;"-"&amp;MONTH(I7),59:59)</f>
        <v>100</v>
      </c>
      <c r="K7" s="2397"/>
      <c r="L7" s="1245"/>
      <c r="M7" s="1246"/>
      <c r="N7" s="1246"/>
      <c r="O7" s="1246"/>
      <c r="P7" s="3022" t="s">
        <v>2350</v>
      </c>
      <c r="Q7" s="3024"/>
      <c r="R7" s="749" t="s">
        <v>34</v>
      </c>
      <c r="S7" s="750">
        <f t="shared" ref="S7:S15" si="0">F7</f>
        <v>100</v>
      </c>
      <c r="T7" s="749" t="s">
        <v>34</v>
      </c>
      <c r="U7" s="750">
        <f t="shared" ref="U7:U15" si="1">H7</f>
        <v>100</v>
      </c>
      <c r="V7" s="749" t="s">
        <v>34</v>
      </c>
      <c r="W7" s="750">
        <f t="shared" ref="W7:W15" si="2">J7</f>
        <v>100</v>
      </c>
      <c r="X7" s="751"/>
      <c r="Y7" s="3022" t="s">
        <v>2350</v>
      </c>
      <c r="Z7" s="3023"/>
      <c r="AA7" s="752">
        <f>D7/F7</f>
        <v>1</v>
      </c>
      <c r="AB7" s="752">
        <f>D7/H7</f>
        <v>1</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22" t="s">
        <v>2353</v>
      </c>
      <c r="Q8" s="3023"/>
      <c r="R8" s="749" t="s">
        <v>34</v>
      </c>
      <c r="S8" s="750">
        <f t="shared" si="0"/>
        <v>100</v>
      </c>
      <c r="T8" s="749" t="s">
        <v>34</v>
      </c>
      <c r="U8" s="750">
        <f t="shared" si="1"/>
        <v>100</v>
      </c>
      <c r="V8" s="749" t="s">
        <v>34</v>
      </c>
      <c r="W8" s="750">
        <f t="shared" si="2"/>
        <v>100</v>
      </c>
      <c r="X8" s="751"/>
      <c r="Y8" s="3022" t="s">
        <v>2353</v>
      </c>
      <c r="Z8" s="3023"/>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25" t="s">
        <v>2356</v>
      </c>
      <c r="Q9" s="2730"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2731"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25"/>
      <c r="Q10" s="2730"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5"/>
      <c r="Q11" s="2730"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5"/>
      <c r="Q12" s="2730">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5"/>
      <c r="Q13" s="2730">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5"/>
      <c r="Q14" s="2730">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2873</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3028" t="s">
        <v>2361</v>
      </c>
      <c r="Q15" s="2734" t="str">
        <f t="shared" si="6"/>
        <v>居住社区成熟度</v>
      </c>
      <c r="R15" s="753" t="s">
        <v>28</v>
      </c>
      <c r="S15" s="754">
        <f t="shared" si="0"/>
        <v>100</v>
      </c>
      <c r="T15" s="753" t="s">
        <v>28</v>
      </c>
      <c r="U15" s="754">
        <f t="shared" si="1"/>
        <v>100</v>
      </c>
      <c r="V15" s="753" t="s">
        <v>28</v>
      </c>
      <c r="W15" s="754">
        <f t="shared" si="2"/>
        <v>100</v>
      </c>
      <c r="X15" s="2732"/>
      <c r="Y15" s="3015"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4"/>
      <c r="L16" s="1253"/>
      <c r="M16" s="1244"/>
      <c r="N16" s="1244"/>
      <c r="O16" s="1244"/>
      <c r="P16" s="3029"/>
      <c r="Q16" s="2734"/>
      <c r="R16" s="753"/>
      <c r="S16" s="754"/>
      <c r="T16" s="753"/>
      <c r="U16" s="754"/>
      <c r="V16" s="753"/>
      <c r="W16" s="754"/>
      <c r="X16" s="2732"/>
      <c r="Y16" s="3016"/>
      <c r="Z16" s="2733"/>
      <c r="AA16" s="2735">
        <v>1</v>
      </c>
      <c r="AB16" s="2735">
        <v>1</v>
      </c>
      <c r="AC16" s="2735">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2874</v>
      </c>
      <c r="H17" s="435">
        <f>SUMIF(78:78,G18,79:79)-SUMIF(78:78,C18,79:79)+100</f>
        <v>100</v>
      </c>
      <c r="I17" s="432" t="s">
        <v>2867</v>
      </c>
      <c r="J17" s="435">
        <f>SUMIF(78:78,I18,79:79)-SUMIF(78:78,C18,79:79)+100</f>
        <v>100</v>
      </c>
      <c r="K17" s="424"/>
      <c r="L17" s="1253"/>
      <c r="M17" s="1244"/>
      <c r="N17" s="1244"/>
      <c r="O17" s="1244"/>
      <c r="P17" s="3029"/>
      <c r="Q17" s="2734" t="str">
        <f>B17</f>
        <v>交通便捷度</v>
      </c>
      <c r="R17" s="753" t="s">
        <v>28</v>
      </c>
      <c r="S17" s="754">
        <f>F17</f>
        <v>100</v>
      </c>
      <c r="T17" s="753" t="s">
        <v>28</v>
      </c>
      <c r="U17" s="754">
        <f>H17</f>
        <v>100</v>
      </c>
      <c r="V17" s="753" t="s">
        <v>28</v>
      </c>
      <c r="W17" s="754">
        <f>J17</f>
        <v>100</v>
      </c>
      <c r="X17" s="2732"/>
      <c r="Y17" s="3016"/>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4"/>
      <c r="L18" s="1253"/>
      <c r="M18" s="1244"/>
      <c r="N18" s="1244"/>
      <c r="O18" s="1244"/>
      <c r="P18" s="3029"/>
      <c r="Q18" s="2734"/>
      <c r="R18" s="753"/>
      <c r="S18" s="754"/>
      <c r="T18" s="753"/>
      <c r="U18" s="754"/>
      <c r="V18" s="753"/>
      <c r="W18" s="754"/>
      <c r="X18" s="2732"/>
      <c r="Y18" s="3016"/>
      <c r="Z18" s="2733"/>
      <c r="AA18" s="2735">
        <v>1</v>
      </c>
      <c r="AB18" s="2735">
        <v>1</v>
      </c>
      <c r="AC18" s="2735">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3029"/>
      <c r="Q19" s="2734" t="str">
        <f>B19</f>
        <v>公共配套设施</v>
      </c>
      <c r="R19" s="753" t="s">
        <v>28</v>
      </c>
      <c r="S19" s="754">
        <f>F19</f>
        <v>100</v>
      </c>
      <c r="T19" s="753" t="s">
        <v>28</v>
      </c>
      <c r="U19" s="754">
        <f>H19</f>
        <v>100</v>
      </c>
      <c r="V19" s="753" t="s">
        <v>28</v>
      </c>
      <c r="W19" s="754">
        <f>J19</f>
        <v>100</v>
      </c>
      <c r="X19" s="2732"/>
      <c r="Y19" s="3016"/>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4"/>
      <c r="L20" s="1253"/>
      <c r="M20" s="1244"/>
      <c r="N20" s="1244"/>
      <c r="O20" s="1244"/>
      <c r="P20" s="3029"/>
      <c r="Q20" s="2734"/>
      <c r="R20" s="753"/>
      <c r="S20" s="754"/>
      <c r="T20" s="753"/>
      <c r="U20" s="754"/>
      <c r="V20" s="753"/>
      <c r="W20" s="754"/>
      <c r="X20" s="2732"/>
      <c r="Y20" s="3016"/>
      <c r="Z20" s="2733"/>
      <c r="AA20" s="2735">
        <v>1</v>
      </c>
      <c r="AB20" s="2735">
        <v>1</v>
      </c>
      <c r="AC20" s="2735">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3029"/>
      <c r="Q21" s="2734" t="str">
        <f>B21</f>
        <v>基础设施水平</v>
      </c>
      <c r="R21" s="753" t="s">
        <v>28</v>
      </c>
      <c r="S21" s="754">
        <f>F21</f>
        <v>100</v>
      </c>
      <c r="T21" s="753" t="s">
        <v>28</v>
      </c>
      <c r="U21" s="754">
        <f>H21</f>
        <v>100</v>
      </c>
      <c r="V21" s="753" t="s">
        <v>28</v>
      </c>
      <c r="W21" s="754">
        <f>J21</f>
        <v>100</v>
      </c>
      <c r="X21" s="2732"/>
      <c r="Y21" s="3016"/>
      <c r="Z21" s="2733" t="str">
        <f>Q21</f>
        <v>基础设施水平</v>
      </c>
      <c r="AA21" s="2735">
        <f t="shared" ref="AA21" si="8">D21/F21</f>
        <v>1</v>
      </c>
      <c r="AB21" s="2735">
        <f t="shared" ref="AB21" si="9">D21/H21</f>
        <v>1</v>
      </c>
      <c r="AC21" s="2735">
        <f t="shared" ref="AC21" si="10">D21/J21</f>
        <v>1</v>
      </c>
    </row>
    <row r="22" spans="1:29" ht="15">
      <c r="A22" s="408"/>
      <c r="B22" s="2407"/>
      <c r="C22" s="437" t="s">
        <v>2836</v>
      </c>
      <c r="D22" s="427"/>
      <c r="E22" s="437" t="s">
        <v>2836</v>
      </c>
      <c r="F22" s="429"/>
      <c r="G22" s="437" t="s">
        <v>2836</v>
      </c>
      <c r="H22" s="427"/>
      <c r="I22" s="437" t="s">
        <v>2836</v>
      </c>
      <c r="J22" s="427"/>
      <c r="K22" s="2408"/>
      <c r="L22" s="1253"/>
      <c r="M22" s="1244"/>
      <c r="N22" s="1244"/>
      <c r="O22" s="1244"/>
      <c r="P22" s="3029"/>
      <c r="Q22" s="2734"/>
      <c r="R22" s="753"/>
      <c r="S22" s="754"/>
      <c r="T22" s="753"/>
      <c r="U22" s="754"/>
      <c r="V22" s="753"/>
      <c r="W22" s="754"/>
      <c r="X22" s="2732"/>
      <c r="Y22" s="3016"/>
      <c r="Z22" s="2733"/>
      <c r="AA22" s="2735">
        <v>1</v>
      </c>
      <c r="AB22" s="2735">
        <v>1</v>
      </c>
      <c r="AC22" s="2735">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3029"/>
      <c r="Q23" s="2734" t="str">
        <f>B23</f>
        <v>自然及人文环境</v>
      </c>
      <c r="R23" s="753" t="s">
        <v>28</v>
      </c>
      <c r="S23" s="754">
        <f>F23</f>
        <v>100</v>
      </c>
      <c r="T23" s="753" t="s">
        <v>28</v>
      </c>
      <c r="U23" s="754">
        <f>H23</f>
        <v>100</v>
      </c>
      <c r="V23" s="753" t="s">
        <v>28</v>
      </c>
      <c r="W23" s="754">
        <f>J23</f>
        <v>100</v>
      </c>
      <c r="X23" s="2732"/>
      <c r="Y23" s="3016"/>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4"/>
      <c r="L24" s="1253"/>
      <c r="M24" s="1244"/>
      <c r="N24" s="1244"/>
      <c r="O24" s="1244"/>
      <c r="P24" s="3029"/>
      <c r="Q24" s="2734"/>
      <c r="R24" s="753"/>
      <c r="S24" s="754"/>
      <c r="T24" s="753"/>
      <c r="U24" s="754"/>
      <c r="V24" s="753"/>
      <c r="W24" s="754"/>
      <c r="X24" s="2732"/>
      <c r="Y24" s="3016"/>
      <c r="Z24" s="2733"/>
      <c r="AA24" s="2735">
        <v>1</v>
      </c>
      <c r="AB24" s="2735">
        <v>1</v>
      </c>
      <c r="AC24" s="2735">
        <v>1</v>
      </c>
    </row>
    <row r="25" spans="1:29" ht="15">
      <c r="A25" s="408"/>
      <c r="B25" s="2731" t="s">
        <v>2362</v>
      </c>
      <c r="C25" s="441">
        <v>11</v>
      </c>
      <c r="D25" s="415">
        <v>100</v>
      </c>
      <c r="E25" s="2409">
        <v>7</v>
      </c>
      <c r="F25" s="442">
        <f>SUMIF(86:86,E25,87:87)-SUMIF(86:86,C25,87:87)+100</f>
        <v>98</v>
      </c>
      <c r="G25" s="2410">
        <v>12</v>
      </c>
      <c r="H25" s="415">
        <f>SUMIF(86:86,G25,87:87)-SUMIF(86:86,C25,87:87)+100</f>
        <v>100.5</v>
      </c>
      <c r="I25" s="2409">
        <v>15</v>
      </c>
      <c r="J25" s="415">
        <f>SUMIF(86:86,I25,87:87)-SUMIF(86:86,C25,87:87)+100</f>
        <v>102</v>
      </c>
      <c r="K25" s="406">
        <f>'比较法-住宅'!K25</f>
        <v>0.5</v>
      </c>
      <c r="L25" s="1253"/>
      <c r="M25" s="1244"/>
      <c r="N25" s="1244"/>
      <c r="O25" s="1244"/>
      <c r="P25" s="3029"/>
      <c r="Q25" s="2734" t="str">
        <f t="shared" ref="Q25:Q46" si="11">B25</f>
        <v>楼层-1</v>
      </c>
      <c r="R25" s="753" t="s">
        <v>28</v>
      </c>
      <c r="S25" s="754">
        <f>F25</f>
        <v>98</v>
      </c>
      <c r="T25" s="753" t="s">
        <v>28</v>
      </c>
      <c r="U25" s="754">
        <f>H25</f>
        <v>100.5</v>
      </c>
      <c r="V25" s="753" t="s">
        <v>28</v>
      </c>
      <c r="W25" s="754">
        <f>J25</f>
        <v>102</v>
      </c>
      <c r="X25" s="2732"/>
      <c r="Y25" s="3016"/>
      <c r="Z25" s="2733" t="str">
        <f>Q25</f>
        <v>楼层-1</v>
      </c>
      <c r="AA25" s="2735">
        <f t="shared" si="3"/>
        <v>1.0204081632653061</v>
      </c>
      <c r="AB25" s="2735">
        <f t="shared" si="4"/>
        <v>0.99502487562189057</v>
      </c>
      <c r="AC25" s="2735">
        <f t="shared" si="5"/>
        <v>0.98039215686274506</v>
      </c>
    </row>
    <row r="26" spans="1:29" ht="15">
      <c r="A26" s="408"/>
      <c r="B26" s="2731" t="s">
        <v>2363</v>
      </c>
      <c r="C26" s="441" t="s">
        <v>2856</v>
      </c>
      <c r="D26" s="415">
        <v>100</v>
      </c>
      <c r="E26" s="2409" t="s">
        <v>2841</v>
      </c>
      <c r="F26" s="442">
        <f>SUMIF(88:88,E26,89:89)-SUMIF(88:88,C26,89:89)+100</f>
        <v>103</v>
      </c>
      <c r="G26" s="2410" t="s">
        <v>2839</v>
      </c>
      <c r="H26" s="415">
        <f>SUMIF(88:88,G26,89:89)-SUMIF(88:88,C26,89:89)+100</f>
        <v>104</v>
      </c>
      <c r="I26" s="2410" t="s">
        <v>2839</v>
      </c>
      <c r="J26" s="415">
        <f>SUMIF(88:88,I26,89:89)-SUMIF(88:88,C26,89:89)+100</f>
        <v>104</v>
      </c>
      <c r="K26" s="406">
        <f>'比较法-住宅'!K26</f>
        <v>1</v>
      </c>
      <c r="L26" s="1253"/>
      <c r="M26" s="1244"/>
      <c r="N26" s="1244"/>
      <c r="O26" s="1244"/>
      <c r="P26" s="3029"/>
      <c r="Q26" s="2734" t="str">
        <f t="shared" si="11"/>
        <v>朝向</v>
      </c>
      <c r="R26" s="753" t="s">
        <v>28</v>
      </c>
      <c r="S26" s="754">
        <f>F26</f>
        <v>103</v>
      </c>
      <c r="T26" s="753" t="s">
        <v>28</v>
      </c>
      <c r="U26" s="754">
        <f>H26</f>
        <v>104</v>
      </c>
      <c r="V26" s="753" t="s">
        <v>28</v>
      </c>
      <c r="W26" s="754">
        <f>J26</f>
        <v>104</v>
      </c>
      <c r="X26" s="2732"/>
      <c r="Y26" s="3016"/>
      <c r="Z26" s="2733" t="str">
        <f>Q26</f>
        <v>朝向</v>
      </c>
      <c r="AA26" s="2735">
        <f t="shared" si="3"/>
        <v>0.970873786407767</v>
      </c>
      <c r="AB26" s="2735">
        <f t="shared" si="4"/>
        <v>0.96153846153846156</v>
      </c>
      <c r="AC26" s="2735">
        <f t="shared" si="5"/>
        <v>0.96153846153846156</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9"/>
      <c r="Q27" s="2730" t="str">
        <f t="shared" si="11"/>
        <v>道路级别</v>
      </c>
      <c r="R27" s="749" t="s">
        <v>28</v>
      </c>
      <c r="S27" s="750">
        <f>F27</f>
        <v>100</v>
      </c>
      <c r="T27" s="749" t="s">
        <v>28</v>
      </c>
      <c r="U27" s="750">
        <f>H27</f>
        <v>100</v>
      </c>
      <c r="V27" s="749" t="s">
        <v>28</v>
      </c>
      <c r="W27" s="750">
        <f>J27</f>
        <v>100</v>
      </c>
      <c r="X27" s="751"/>
      <c r="Y27" s="3016"/>
      <c r="Z27" s="23" t="str">
        <f>Q27</f>
        <v>道路级别</v>
      </c>
      <c r="AA27" s="2735">
        <f>D27/F27</f>
        <v>1</v>
      </c>
      <c r="AB27" s="2735">
        <f>D27/H27</f>
        <v>1</v>
      </c>
      <c r="AC27" s="2735">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9"/>
      <c r="Q28" s="2734">
        <f t="shared" si="11"/>
        <v>111</v>
      </c>
      <c r="R28" s="753" t="s">
        <v>28</v>
      </c>
      <c r="S28" s="754">
        <f t="shared" ref="S28:S46" si="12">F28</f>
        <v>100</v>
      </c>
      <c r="T28" s="753" t="s">
        <v>28</v>
      </c>
      <c r="U28" s="754">
        <f t="shared" ref="U28:U46" si="13">H28</f>
        <v>100</v>
      </c>
      <c r="V28" s="753" t="s">
        <v>28</v>
      </c>
      <c r="W28" s="754">
        <f t="shared" ref="W28:W46" si="14">J28</f>
        <v>100</v>
      </c>
      <c r="X28" s="2732"/>
      <c r="Y28" s="3016"/>
      <c r="Z28" s="2733">
        <f t="shared" ref="Z28:Z46" si="15">Q28</f>
        <v>111</v>
      </c>
      <c r="AA28" s="2735">
        <f t="shared" si="3"/>
        <v>1</v>
      </c>
      <c r="AB28" s="2735">
        <f t="shared" si="4"/>
        <v>1</v>
      </c>
      <c r="AC28" s="2735">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9"/>
      <c r="Q29" s="2734">
        <f t="shared" si="11"/>
        <v>111</v>
      </c>
      <c r="R29" s="753" t="s">
        <v>28</v>
      </c>
      <c r="S29" s="754">
        <f t="shared" si="12"/>
        <v>100</v>
      </c>
      <c r="T29" s="753" t="s">
        <v>28</v>
      </c>
      <c r="U29" s="754">
        <f t="shared" si="13"/>
        <v>100</v>
      </c>
      <c r="V29" s="753" t="s">
        <v>28</v>
      </c>
      <c r="W29" s="754">
        <f t="shared" si="14"/>
        <v>100</v>
      </c>
      <c r="X29" s="2732"/>
      <c r="Y29" s="3016"/>
      <c r="Z29" s="2733">
        <f t="shared" si="15"/>
        <v>111</v>
      </c>
      <c r="AA29" s="2735">
        <f t="shared" si="3"/>
        <v>1</v>
      </c>
      <c r="AB29" s="2735">
        <f t="shared" si="4"/>
        <v>1</v>
      </c>
      <c r="AC29" s="2735">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9"/>
      <c r="Q30" s="2734">
        <f t="shared" si="11"/>
        <v>111</v>
      </c>
      <c r="R30" s="753" t="s">
        <v>28</v>
      </c>
      <c r="S30" s="754">
        <f t="shared" si="12"/>
        <v>100</v>
      </c>
      <c r="T30" s="753" t="s">
        <v>28</v>
      </c>
      <c r="U30" s="754">
        <f t="shared" si="13"/>
        <v>100</v>
      </c>
      <c r="V30" s="753" t="s">
        <v>28</v>
      </c>
      <c r="W30" s="754">
        <f t="shared" si="14"/>
        <v>100</v>
      </c>
      <c r="X30" s="2732"/>
      <c r="Y30" s="3016"/>
      <c r="Z30" s="2733">
        <f t="shared" si="15"/>
        <v>111</v>
      </c>
      <c r="AA30" s="2735">
        <f t="shared" si="3"/>
        <v>1</v>
      </c>
      <c r="AB30" s="2735">
        <f t="shared" si="4"/>
        <v>1</v>
      </c>
      <c r="AC30" s="2735">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9"/>
      <c r="Q31" s="2734">
        <f t="shared" si="11"/>
        <v>111</v>
      </c>
      <c r="R31" s="753" t="s">
        <v>28</v>
      </c>
      <c r="S31" s="754">
        <f t="shared" si="12"/>
        <v>100</v>
      </c>
      <c r="T31" s="753" t="s">
        <v>28</v>
      </c>
      <c r="U31" s="754">
        <f t="shared" si="13"/>
        <v>100</v>
      </c>
      <c r="V31" s="753" t="s">
        <v>28</v>
      </c>
      <c r="W31" s="754">
        <f t="shared" si="14"/>
        <v>100</v>
      </c>
      <c r="X31" s="2732"/>
      <c r="Y31" s="3016"/>
      <c r="Z31" s="2733">
        <f t="shared" si="15"/>
        <v>111</v>
      </c>
      <c r="AA31" s="2735">
        <f t="shared" si="3"/>
        <v>1</v>
      </c>
      <c r="AB31" s="2735">
        <f t="shared" si="4"/>
        <v>1</v>
      </c>
      <c r="AC31" s="2735">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3017" t="s">
        <v>2367</v>
      </c>
      <c r="Q32" s="2734" t="str">
        <f t="shared" si="11"/>
        <v>建筑类型</v>
      </c>
      <c r="R32" s="753" t="s">
        <v>28</v>
      </c>
      <c r="S32" s="754">
        <f t="shared" si="12"/>
        <v>100</v>
      </c>
      <c r="T32" s="753" t="s">
        <v>28</v>
      </c>
      <c r="U32" s="754">
        <f t="shared" si="13"/>
        <v>100</v>
      </c>
      <c r="V32" s="753" t="s">
        <v>28</v>
      </c>
      <c r="W32" s="754">
        <f t="shared" si="14"/>
        <v>100</v>
      </c>
      <c r="X32" s="2732"/>
      <c r="Y32" s="3020" t="s">
        <v>2367</v>
      </c>
      <c r="Z32" s="2733" t="str">
        <f t="shared" si="15"/>
        <v>建筑类型</v>
      </c>
      <c r="AA32" s="2735">
        <f t="shared" si="3"/>
        <v>1</v>
      </c>
      <c r="AB32" s="2735">
        <f t="shared" si="4"/>
        <v>1</v>
      </c>
      <c r="AC32" s="2735">
        <f t="shared" si="5"/>
        <v>1</v>
      </c>
    </row>
    <row r="33" spans="1:29" s="452" customFormat="1" ht="15">
      <c r="A33" s="449"/>
      <c r="B33" s="2731" t="s">
        <v>2368</v>
      </c>
      <c r="C33" s="450">
        <f>项目基本情况!C12</f>
        <v>227.54</v>
      </c>
      <c r="D33" s="52">
        <v>100</v>
      </c>
      <c r="E33" s="410">
        <v>187</v>
      </c>
      <c r="F33" s="405">
        <f>LOOKUP(E33,103:103,104:104)-LOOKUP(C33,103:103,104:104)+100</f>
        <v>101</v>
      </c>
      <c r="G33" s="409">
        <v>208</v>
      </c>
      <c r="H33" s="52">
        <f>LOOKUP(G33,103:103,104:104)-LOOKUP(C33,103:103,104:104)+100</f>
        <v>100</v>
      </c>
      <c r="I33" s="410">
        <v>207</v>
      </c>
      <c r="J33" s="52">
        <f>LOOKUP(I33,103:103,104:104)-LOOKUP(C33,103:103,104:104)+100</f>
        <v>100</v>
      </c>
      <c r="K33" s="2399"/>
      <c r="L33" s="1251"/>
      <c r="M33" s="1254"/>
      <c r="N33" s="1254"/>
      <c r="O33" s="1254"/>
      <c r="P33" s="3018"/>
      <c r="Q33" s="755" t="str">
        <f t="shared" si="11"/>
        <v>项目建筑规模</v>
      </c>
      <c r="R33" s="756" t="s">
        <v>28</v>
      </c>
      <c r="S33" s="757">
        <f t="shared" si="12"/>
        <v>101</v>
      </c>
      <c r="T33" s="756" t="s">
        <v>28</v>
      </c>
      <c r="U33" s="757">
        <f t="shared" si="13"/>
        <v>100</v>
      </c>
      <c r="V33" s="756" t="s">
        <v>28</v>
      </c>
      <c r="W33" s="757">
        <f t="shared" si="14"/>
        <v>100</v>
      </c>
      <c r="X33" s="758"/>
      <c r="Y33" s="3020"/>
      <c r="Z33" s="759" t="str">
        <f t="shared" si="15"/>
        <v>项目建筑规模</v>
      </c>
      <c r="AA33" s="2735">
        <f t="shared" si="3"/>
        <v>0.99009900990099009</v>
      </c>
      <c r="AB33" s="2735">
        <f t="shared" si="4"/>
        <v>1</v>
      </c>
      <c r="AC33" s="2735">
        <f t="shared" si="5"/>
        <v>1</v>
      </c>
    </row>
    <row r="34" spans="1:29" ht="15">
      <c r="A34" s="453"/>
      <c r="B34" s="2731"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3018"/>
      <c r="Q34" s="2734" t="str">
        <f t="shared" si="11"/>
        <v>建筑结构</v>
      </c>
      <c r="R34" s="753" t="s">
        <v>28</v>
      </c>
      <c r="S34" s="754">
        <f t="shared" si="12"/>
        <v>100</v>
      </c>
      <c r="T34" s="753" t="s">
        <v>28</v>
      </c>
      <c r="U34" s="754">
        <f t="shared" si="13"/>
        <v>100</v>
      </c>
      <c r="V34" s="753" t="s">
        <v>28</v>
      </c>
      <c r="W34" s="754">
        <f t="shared" si="14"/>
        <v>100</v>
      </c>
      <c r="X34" s="2732"/>
      <c r="Y34" s="3020"/>
      <c r="Z34" s="2733" t="str">
        <f t="shared" si="15"/>
        <v>建筑结构</v>
      </c>
      <c r="AA34" s="2735">
        <f t="shared" si="3"/>
        <v>1</v>
      </c>
      <c r="AB34" s="2735">
        <f t="shared" si="4"/>
        <v>1</v>
      </c>
      <c r="AC34" s="2735">
        <f t="shared" si="5"/>
        <v>1</v>
      </c>
    </row>
    <row r="35" spans="1:29" ht="15">
      <c r="A35" s="453"/>
      <c r="B35" s="2731"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3018"/>
      <c r="Q35" s="2734" t="str">
        <f t="shared" si="11"/>
        <v>建筑品质</v>
      </c>
      <c r="R35" s="753" t="s">
        <v>28</v>
      </c>
      <c r="S35" s="754">
        <f t="shared" si="12"/>
        <v>100</v>
      </c>
      <c r="T35" s="753" t="s">
        <v>28</v>
      </c>
      <c r="U35" s="754">
        <f t="shared" si="13"/>
        <v>100</v>
      </c>
      <c r="V35" s="753" t="s">
        <v>28</v>
      </c>
      <c r="W35" s="754">
        <f t="shared" si="14"/>
        <v>100</v>
      </c>
      <c r="X35" s="2732"/>
      <c r="Y35" s="3020"/>
      <c r="Z35" s="2733" t="str">
        <f t="shared" si="15"/>
        <v>建筑品质</v>
      </c>
      <c r="AA35" s="2735">
        <f t="shared" si="3"/>
        <v>1</v>
      </c>
      <c r="AB35" s="2735">
        <f t="shared" si="4"/>
        <v>1</v>
      </c>
      <c r="AC35" s="2735">
        <f t="shared" si="5"/>
        <v>1</v>
      </c>
    </row>
    <row r="36" spans="1:29" ht="15">
      <c r="A36" s="453"/>
      <c r="B36" s="2731"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3018"/>
      <c r="Q36" s="2734" t="str">
        <f t="shared" si="11"/>
        <v>公共部分装修</v>
      </c>
      <c r="R36" s="753" t="s">
        <v>28</v>
      </c>
      <c r="S36" s="754">
        <f t="shared" si="12"/>
        <v>100</v>
      </c>
      <c r="T36" s="753" t="s">
        <v>28</v>
      </c>
      <c r="U36" s="754">
        <f t="shared" si="13"/>
        <v>100</v>
      </c>
      <c r="V36" s="753" t="s">
        <v>28</v>
      </c>
      <c r="W36" s="754">
        <f t="shared" si="14"/>
        <v>100</v>
      </c>
      <c r="X36" s="2732"/>
      <c r="Y36" s="3020"/>
      <c r="Z36" s="2733" t="str">
        <f t="shared" si="15"/>
        <v>公共部分装修</v>
      </c>
      <c r="AA36" s="2735">
        <f t="shared" si="3"/>
        <v>1</v>
      </c>
      <c r="AB36" s="2735">
        <f t="shared" si="4"/>
        <v>1</v>
      </c>
      <c r="AC36" s="2735">
        <f t="shared" si="5"/>
        <v>1</v>
      </c>
    </row>
    <row r="37" spans="1:29" s="35" customFormat="1" ht="15">
      <c r="A37" s="454"/>
      <c r="B37" s="2731"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3018"/>
      <c r="Q37" s="2730" t="str">
        <f t="shared" si="11"/>
        <v>成新度</v>
      </c>
      <c r="R37" s="749" t="s">
        <v>28</v>
      </c>
      <c r="S37" s="750">
        <f t="shared" si="12"/>
        <v>100</v>
      </c>
      <c r="T37" s="749" t="s">
        <v>28</v>
      </c>
      <c r="U37" s="750">
        <f t="shared" si="13"/>
        <v>100</v>
      </c>
      <c r="V37" s="749" t="s">
        <v>28</v>
      </c>
      <c r="W37" s="750">
        <f t="shared" si="14"/>
        <v>100</v>
      </c>
      <c r="X37" s="751"/>
      <c r="Y37" s="3020"/>
      <c r="Z37" s="23" t="str">
        <f t="shared" si="15"/>
        <v>成新度</v>
      </c>
      <c r="AA37" s="752">
        <f t="shared" si="3"/>
        <v>1</v>
      </c>
      <c r="AB37" s="752">
        <f t="shared" si="4"/>
        <v>1</v>
      </c>
      <c r="AC37" s="752">
        <f t="shared" si="5"/>
        <v>1</v>
      </c>
    </row>
    <row r="38" spans="1:29" ht="15">
      <c r="A38" s="453"/>
      <c r="B38" s="2731"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3018" t="s">
        <v>2367</v>
      </c>
      <c r="Q38" s="2734" t="str">
        <f t="shared" si="11"/>
        <v>物业管理</v>
      </c>
      <c r="R38" s="753" t="s">
        <v>28</v>
      </c>
      <c r="S38" s="754">
        <f t="shared" si="12"/>
        <v>100</v>
      </c>
      <c r="T38" s="753" t="s">
        <v>28</v>
      </c>
      <c r="U38" s="754">
        <f t="shared" si="13"/>
        <v>100</v>
      </c>
      <c r="V38" s="753" t="s">
        <v>28</v>
      </c>
      <c r="W38" s="754">
        <f t="shared" si="14"/>
        <v>100</v>
      </c>
      <c r="X38" s="2732"/>
      <c r="Y38" s="3020" t="s">
        <v>2367</v>
      </c>
      <c r="Z38" s="2733" t="str">
        <f t="shared" si="15"/>
        <v>物业管理</v>
      </c>
      <c r="AA38" s="2735">
        <f t="shared" si="3"/>
        <v>1</v>
      </c>
      <c r="AB38" s="2735">
        <f t="shared" si="4"/>
        <v>1</v>
      </c>
      <c r="AC38" s="2735">
        <f t="shared" si="5"/>
        <v>1</v>
      </c>
    </row>
    <row r="39" spans="1:29" ht="15">
      <c r="A39" s="453"/>
      <c r="B39" s="2731"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3018"/>
      <c r="Q39" s="2734" t="str">
        <f t="shared" si="11"/>
        <v>市政基础设施</v>
      </c>
      <c r="R39" s="753" t="s">
        <v>28</v>
      </c>
      <c r="S39" s="754">
        <f t="shared" si="12"/>
        <v>100</v>
      </c>
      <c r="T39" s="753" t="s">
        <v>28</v>
      </c>
      <c r="U39" s="754">
        <f t="shared" si="13"/>
        <v>100</v>
      </c>
      <c r="V39" s="753" t="s">
        <v>28</v>
      </c>
      <c r="W39" s="754">
        <f t="shared" si="14"/>
        <v>100</v>
      </c>
      <c r="X39" s="2732"/>
      <c r="Y39" s="3020"/>
      <c r="Z39" s="2733" t="str">
        <f t="shared" si="15"/>
        <v>市政基础设施</v>
      </c>
      <c r="AA39" s="2735">
        <f t="shared" si="3"/>
        <v>1</v>
      </c>
      <c r="AB39" s="2735">
        <f t="shared" si="4"/>
        <v>1</v>
      </c>
      <c r="AC39" s="2735">
        <f t="shared" si="5"/>
        <v>1</v>
      </c>
    </row>
    <row r="40" spans="1:29" ht="15">
      <c r="A40" s="453"/>
      <c r="B40" s="2731"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18"/>
      <c r="Q40" s="2734" t="str">
        <f t="shared" si="11"/>
        <v>房型</v>
      </c>
      <c r="R40" s="753" t="s">
        <v>28</v>
      </c>
      <c r="S40" s="754">
        <f t="shared" si="12"/>
        <v>100</v>
      </c>
      <c r="T40" s="753" t="s">
        <v>28</v>
      </c>
      <c r="U40" s="754">
        <f t="shared" si="13"/>
        <v>100</v>
      </c>
      <c r="V40" s="753" t="s">
        <v>28</v>
      </c>
      <c r="W40" s="754">
        <f t="shared" si="14"/>
        <v>100</v>
      </c>
      <c r="X40" s="2732"/>
      <c r="Y40" s="3020"/>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2735">
        <f t="shared" si="3"/>
        <v>1</v>
      </c>
      <c r="AB41" s="2735">
        <f t="shared" si="4"/>
        <v>1</v>
      </c>
      <c r="AC41" s="2735">
        <f t="shared" si="5"/>
        <v>1</v>
      </c>
    </row>
    <row r="42" spans="1:29" ht="15">
      <c r="A42" s="453"/>
      <c r="B42" s="2731"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3018"/>
      <c r="Q42" s="2734" t="str">
        <f t="shared" si="11"/>
        <v>内部装修</v>
      </c>
      <c r="R42" s="753" t="s">
        <v>28</v>
      </c>
      <c r="S42" s="754">
        <f t="shared" si="12"/>
        <v>100</v>
      </c>
      <c r="T42" s="753" t="s">
        <v>28</v>
      </c>
      <c r="U42" s="754">
        <f t="shared" si="13"/>
        <v>100</v>
      </c>
      <c r="V42" s="753" t="s">
        <v>28</v>
      </c>
      <c r="W42" s="754">
        <f t="shared" si="14"/>
        <v>100</v>
      </c>
      <c r="X42" s="2732"/>
      <c r="Y42" s="3020"/>
      <c r="Z42" s="2733" t="str">
        <f t="shared" si="15"/>
        <v>内部装修</v>
      </c>
      <c r="AA42" s="2735">
        <f t="shared" si="3"/>
        <v>1</v>
      </c>
      <c r="AB42" s="2735">
        <f t="shared" si="4"/>
        <v>1</v>
      </c>
      <c r="AC42" s="2735">
        <f t="shared" si="5"/>
        <v>1</v>
      </c>
    </row>
    <row r="43" spans="1:29" ht="15">
      <c r="A43" s="453"/>
      <c r="B43" s="2731"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3018"/>
      <c r="Q43" s="2734" t="str">
        <f t="shared" si="11"/>
        <v>内部装修维护情况</v>
      </c>
      <c r="R43" s="753" t="s">
        <v>28</v>
      </c>
      <c r="S43" s="754">
        <f t="shared" si="12"/>
        <v>100</v>
      </c>
      <c r="T43" s="753" t="s">
        <v>28</v>
      </c>
      <c r="U43" s="754">
        <f t="shared" si="13"/>
        <v>100</v>
      </c>
      <c r="V43" s="753" t="s">
        <v>28</v>
      </c>
      <c r="W43" s="754">
        <f t="shared" si="14"/>
        <v>100</v>
      </c>
      <c r="X43" s="2732"/>
      <c r="Y43" s="3020"/>
      <c r="Z43" s="2733" t="str">
        <f t="shared" si="15"/>
        <v>内部装修维护情况</v>
      </c>
      <c r="AA43" s="2735">
        <f t="shared" si="3"/>
        <v>1</v>
      </c>
      <c r="AB43" s="2735">
        <f t="shared" si="4"/>
        <v>1</v>
      </c>
      <c r="AC43" s="2735">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18"/>
      <c r="Q44" s="2730">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18"/>
      <c r="Q45" s="2734">
        <f t="shared" si="11"/>
        <v>111</v>
      </c>
      <c r="R45" s="753" t="s">
        <v>28</v>
      </c>
      <c r="S45" s="754">
        <f t="shared" si="12"/>
        <v>100</v>
      </c>
      <c r="T45" s="753" t="s">
        <v>28</v>
      </c>
      <c r="U45" s="754">
        <f t="shared" si="13"/>
        <v>100</v>
      </c>
      <c r="V45" s="753" t="s">
        <v>28</v>
      </c>
      <c r="W45" s="754">
        <f t="shared" si="14"/>
        <v>100</v>
      </c>
      <c r="X45" s="2732"/>
      <c r="Y45" s="3020"/>
      <c r="Z45" s="2733">
        <f t="shared" si="15"/>
        <v>111</v>
      </c>
      <c r="AA45" s="2735">
        <f t="shared" si="3"/>
        <v>1</v>
      </c>
      <c r="AB45" s="2735">
        <f t="shared" si="4"/>
        <v>1</v>
      </c>
      <c r="AC45" s="2735">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19"/>
      <c r="Q46" s="2734">
        <f t="shared" si="11"/>
        <v>111</v>
      </c>
      <c r="R46" s="753" t="s">
        <v>27</v>
      </c>
      <c r="S46" s="754">
        <f t="shared" si="12"/>
        <v>100</v>
      </c>
      <c r="T46" s="753" t="s">
        <v>27</v>
      </c>
      <c r="U46" s="754">
        <f t="shared" si="13"/>
        <v>100</v>
      </c>
      <c r="V46" s="753" t="s">
        <v>27</v>
      </c>
      <c r="W46" s="754">
        <f t="shared" si="14"/>
        <v>100</v>
      </c>
      <c r="X46" s="2732"/>
      <c r="Y46" s="3021"/>
      <c r="Z46" s="2733">
        <f t="shared" si="15"/>
        <v>111</v>
      </c>
      <c r="AA46" s="2735">
        <f t="shared" si="3"/>
        <v>1</v>
      </c>
      <c r="AB46" s="2735">
        <f t="shared" si="4"/>
        <v>1</v>
      </c>
      <c r="AC46" s="2735">
        <f t="shared" si="5"/>
        <v>1</v>
      </c>
    </row>
    <row r="47" spans="1:29" ht="15">
      <c r="A47" s="460" t="s">
        <v>2379</v>
      </c>
      <c r="B47" s="461"/>
      <c r="C47" s="1502" t="s">
        <v>26</v>
      </c>
      <c r="D47" s="1503"/>
      <c r="E47" s="1504">
        <v>24000</v>
      </c>
      <c r="F47" s="1505"/>
      <c r="G47" s="1506">
        <v>28000</v>
      </c>
      <c r="H47" s="1507"/>
      <c r="I47" s="1504">
        <v>27000</v>
      </c>
      <c r="J47" s="1507"/>
      <c r="K47" s="2415"/>
      <c r="L47" s="1256"/>
      <c r="M47" s="1257"/>
      <c r="N47" s="1244"/>
      <c r="O47" s="1257"/>
      <c r="P47" s="3026" t="str">
        <f>A47</f>
        <v>成交单价（元/平方米）</v>
      </c>
      <c r="Q47" s="3026"/>
      <c r="R47" s="3027">
        <f>E47</f>
        <v>24000</v>
      </c>
      <c r="S47" s="3027"/>
      <c r="T47" s="3027">
        <f>G47</f>
        <v>28000</v>
      </c>
      <c r="U47" s="3027"/>
      <c r="V47" s="3027">
        <f>I47</f>
        <v>27000</v>
      </c>
      <c r="W47" s="3027"/>
      <c r="X47" s="738"/>
      <c r="Y47" s="760"/>
      <c r="Z47" s="738"/>
      <c r="AA47" s="738"/>
      <c r="AB47" s="738"/>
      <c r="AC47" s="738"/>
    </row>
    <row r="48" spans="1:29" ht="15.75" thickBot="1">
      <c r="A48" s="467" t="s">
        <v>2380</v>
      </c>
      <c r="B48" s="468"/>
      <c r="C48" s="2750">
        <f>R49</f>
        <v>25261</v>
      </c>
      <c r="D48" s="1509"/>
      <c r="E48" s="2749">
        <f>R48</f>
        <v>23541</v>
      </c>
      <c r="F48" s="1510"/>
      <c r="G48" s="2750">
        <f>T48</f>
        <v>26789</v>
      </c>
      <c r="H48" s="1509"/>
      <c r="I48" s="2749">
        <f>V48</f>
        <v>25452</v>
      </c>
      <c r="J48" s="1509"/>
      <c r="K48" s="2416"/>
      <c r="L48" s="1256"/>
      <c r="M48" s="1257"/>
      <c r="N48" s="1257"/>
      <c r="O48" s="1257"/>
      <c r="P48" s="3026" t="str">
        <f>A48</f>
        <v>比较价值（元/平方米）</v>
      </c>
      <c r="Q48" s="3026"/>
      <c r="R48" s="3027">
        <f>IF(E1="售价",ROUND(PRODUCT(R47,AA7:AA46),0),ROUND(PRODUCT(R47,AA7:AA46),1))</f>
        <v>23541</v>
      </c>
      <c r="S48" s="3027"/>
      <c r="T48" s="3030">
        <f>IF(E1="售价",ROUND(PRODUCT(T47,AB7:AB46),0),ROUND(PRODUCT(T47,AB7:AB46),1))</f>
        <v>26789</v>
      </c>
      <c r="U48" s="3031"/>
      <c r="V48" s="3027">
        <f>IF(E1="售价",ROUND(PRODUCT(V47,AC7:AC46),0),ROUND(PRODUCT(V47,AC7:AC46),1))</f>
        <v>25452</v>
      </c>
      <c r="W48" s="3027"/>
      <c r="X48" s="738"/>
      <c r="Y48" s="738"/>
      <c r="Z48" s="738"/>
      <c r="AA48" s="738"/>
      <c r="AB48" s="738"/>
      <c r="AC48" s="738"/>
    </row>
    <row r="49" spans="1:29" ht="15.75" thickBot="1">
      <c r="A49" s="473" t="s">
        <v>2381</v>
      </c>
      <c r="B49" s="474"/>
      <c r="C49" s="2751">
        <f>R49</f>
        <v>25261</v>
      </c>
      <c r="D49" s="1512"/>
      <c r="E49" s="1512"/>
      <c r="F49" s="1512"/>
      <c r="G49" s="1512"/>
      <c r="H49" s="1512"/>
      <c r="I49" s="1512"/>
      <c r="J49" s="1512"/>
      <c r="K49" s="2417"/>
      <c r="L49" s="1256"/>
      <c r="M49" s="1257"/>
      <c r="N49" s="1257"/>
      <c r="O49" s="1257"/>
      <c r="P49" s="3032" t="str">
        <f>A49</f>
        <v>估价对象XX用房的比较价值（楼面单价，元/平方米）</v>
      </c>
      <c r="Q49" s="3033"/>
      <c r="R49" s="3034">
        <f>IF(E1="售价",ROUND(AVERAGE(R48:V48),0),ROUND(AVERAGE(R48:V48),1))</f>
        <v>25261</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1.9497897285586818E-2</v>
      </c>
      <c r="F52" s="481" t="str">
        <f>IF(OR(E52&gt;=0.3,E52&lt;=-0.3),"超过30%","")</f>
        <v/>
      </c>
      <c r="G52" s="480">
        <f>IF(G47&lt;G48,G48/G47-1,G47/G48-1)</f>
        <v>4.520512150509548E-2</v>
      </c>
      <c r="H52" s="481" t="str">
        <f>IF(OR(G52&gt;=0.3,G52&lt;=-0.3),"超过30%","")</f>
        <v/>
      </c>
      <c r="I52" s="480">
        <f>IF(I47&lt;I48,I48/I47-1,I47/I48-1)</f>
        <v>6.0820367751060811E-2</v>
      </c>
      <c r="J52" s="481" t="str">
        <f>IF(OR(I52&gt;=0.3,I52&lt;=-0.3),"超过30%","")</f>
        <v/>
      </c>
      <c r="K52" s="1262"/>
      <c r="L52" s="1258"/>
      <c r="M52" s="1257"/>
      <c r="N52" s="1257"/>
      <c r="O52" s="1257"/>
    </row>
    <row r="53" spans="1:29" ht="13.5" customHeight="1">
      <c r="A53" s="1257"/>
      <c r="B53" s="1257"/>
      <c r="C53" s="478" t="s">
        <v>2383</v>
      </c>
      <c r="D53" s="482"/>
      <c r="E53" s="480">
        <f>IF(E48&lt;G48,G48/E48-1,E48/G48-1)</f>
        <v>0.13797204876598279</v>
      </c>
      <c r="F53" s="481" t="str">
        <f>IF(OR(E53&gt;=0.2,E53&lt;=-0.2),"超过20%","")</f>
        <v/>
      </c>
      <c r="G53" s="480">
        <f>IF(G48&lt;I48,I48/G48-1,G48/I48-1)</f>
        <v>5.2530253025302454E-2</v>
      </c>
      <c r="H53" s="481" t="str">
        <f>IF(OR(G53&gt;=0.2,G53&lt;=-0.2),"超过20%","")</f>
        <v/>
      </c>
      <c r="I53" s="480">
        <f>IF(I48&lt;E48,E48/I48-1,I48/E48-1)</f>
        <v>8.1177520071364917E-2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0.16666666666666674</v>
      </c>
      <c r="F54" s="481" t="str">
        <f>IF(OR(E54&gt;=0.3,E54&lt;=-0.3),"超过30%","")</f>
        <v/>
      </c>
      <c r="G54" s="480">
        <f>IF(G47&lt;I47,I47/G47-1,G47/I47-1)</f>
        <v>3.7037037037036979E-2</v>
      </c>
      <c r="H54" s="481" t="str">
        <f>IF(OR(G54&gt;=0.3,G54&lt;=-0.3),"超过30%","")</f>
        <v/>
      </c>
      <c r="I54" s="480">
        <f>IF(I47&lt;E47,E47/I47-1,I47/E47-1)</f>
        <v>0.125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O46" sqref="O4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7"/>
      <c r="B5" s="1931" t="s">
        <v>742</v>
      </c>
      <c r="C5" s="2761" t="s">
        <v>784</v>
      </c>
      <c r="D5" s="2762"/>
      <c r="E5" s="1927"/>
    </row>
    <row r="6" spans="1:5" ht="14.25">
      <c r="A6" s="1927"/>
      <c r="B6" s="1932" t="str">
        <f>项目基本情况!I1</f>
        <v>北京市房地产</v>
      </c>
      <c r="C6" s="2763">
        <f>项目基本情况!C12</f>
        <v>227.54</v>
      </c>
      <c r="D6" s="2763"/>
      <c r="E6" s="1927"/>
    </row>
    <row r="7" spans="1:5" ht="14.25">
      <c r="A7" s="1927"/>
      <c r="B7" s="2757" t="s">
        <v>785</v>
      </c>
      <c r="C7" s="1933" t="str">
        <f>IF('数据-取费表'!B3="万元","总价（万元）","总价（元）")</f>
        <v>总价（万元）</v>
      </c>
      <c r="D7" s="1934">
        <f ca="1">IF('数据-取费表'!E3="否",结果表!I102,'结果表 (1修多)'!I103)</f>
        <v>1367</v>
      </c>
      <c r="E7" s="1927"/>
    </row>
    <row r="8" spans="1:5" ht="14.25">
      <c r="A8" s="1927"/>
      <c r="B8" s="2757"/>
      <c r="C8" s="1935" t="s">
        <v>1176</v>
      </c>
      <c r="D8" s="1936" t="str">
        <f ca="1">IF('数据-取费表'!B3="万元",NUMBERSTRING(INT(D7*10000),2)&amp;"元整",NUMBERSTRING(INT(D7),2)&amp;"元整")</f>
        <v>壹仟叁佰陆拾柒万元整</v>
      </c>
      <c r="E8" s="1927"/>
    </row>
    <row r="9" spans="1:5" ht="14.25">
      <c r="A9" s="1927"/>
      <c r="B9" s="2757"/>
      <c r="C9" s="1937" t="s">
        <v>1274</v>
      </c>
      <c r="D9" s="1934">
        <f ca="1">IF('数据-取费表'!E3="否",结果表!I103,'结果表 (1修多)'!I104)</f>
        <v>60077</v>
      </c>
      <c r="E9" s="1927"/>
    </row>
    <row r="10" spans="1:5" ht="14.25">
      <c r="A10" s="1927"/>
      <c r="B10" s="2764"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4"/>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4" t="str">
        <f>IF('数据-取费表'!E3="否",结果表!F110,'结果表 (1修多)'!F111)</f>
        <v>——</v>
      </c>
      <c r="C15" s="1928" t="str">
        <f>C7</f>
        <v>总价（万元）</v>
      </c>
      <c r="D15" s="1934" t="str">
        <f>IF('数据-取费表'!E3="否",结果表!I110,'结果表 (1修多)'!I111)</f>
        <v>——</v>
      </c>
      <c r="E15" s="1927"/>
    </row>
    <row r="16" spans="1:5" ht="14.25">
      <c r="A16" s="1927"/>
      <c r="B16" s="2764"/>
      <c r="C16" s="1935" t="s">
        <v>1176</v>
      </c>
      <c r="D16" s="1934" t="e">
        <f>IF('数据-取费表'!B3="万元",NUMBERSTRING(INT(D15*10000),2)&amp;"元整",NUMBERSTRING(INT(D15),2)&amp;"元整")</f>
        <v>#VALUE!</v>
      </c>
      <c r="E16" s="1927"/>
    </row>
    <row r="17" spans="1:5" ht="14.25">
      <c r="A17" s="1927"/>
      <c r="B17" s="2764"/>
      <c r="C17" s="1937" t="s">
        <v>1274</v>
      </c>
      <c r="D17" s="1934" t="e">
        <f ca="1">IF('数据-取费表'!E3="否",结果表!I111,'结果表 (1修多)'!I112)</f>
        <v>#VALUE!</v>
      </c>
      <c r="E17" s="1927"/>
    </row>
    <row r="18" spans="1:5" ht="14.25">
      <c r="A18" s="1927"/>
      <c r="B18" s="2764" t="str">
        <f>IF('数据-取费表'!E3="否",结果表!F112,'结果表 (1修多)'!F113)</f>
        <v>3.抵押担保权已注销时的房地产抵押价值</v>
      </c>
      <c r="C18" s="1928" t="str">
        <f>C7</f>
        <v>总价（万元）</v>
      </c>
      <c r="D18" s="1934">
        <f ca="1">IF('数据-取费表'!E3="否",结果表!I112,'结果表 (1修多)'!I113)</f>
        <v>1367</v>
      </c>
      <c r="E18" s="1927"/>
    </row>
    <row r="19" spans="1:5" ht="14.25">
      <c r="A19" s="1927"/>
      <c r="B19" s="2764"/>
      <c r="C19" s="1935" t="s">
        <v>1176</v>
      </c>
      <c r="D19" s="1934" t="str">
        <f ca="1">IF('数据-取费表'!B3="万元",NUMBERSTRING(INT(D18*10000),2)&amp;"元整",NUMBERSTRING(INT(D18),2)&amp;"元整")</f>
        <v>壹仟叁佰陆拾柒万元整</v>
      </c>
      <c r="E19" s="1927"/>
    </row>
    <row r="20" spans="1:5" ht="14.25">
      <c r="A20" s="1927"/>
      <c r="B20" s="2764"/>
      <c r="C20" s="1937" t="s">
        <v>1274</v>
      </c>
      <c r="D20" s="1934">
        <f ca="1">IF('数据-取费表'!E3="否",结果表!I113,'结果表 (1修多)'!I114)</f>
        <v>60077</v>
      </c>
      <c r="E20" s="1927"/>
    </row>
    <row r="21" spans="1:5" ht="14.25">
      <c r="A21" s="1927"/>
      <c r="B21" s="2757" t="str">
        <f>IF('数据-取费表'!E3="否",结果表!F114,'结果表 (1修多)'!F115)</f>
        <v>——</v>
      </c>
      <c r="C21" s="1933" t="str">
        <f>C7</f>
        <v>总价（万元）</v>
      </c>
      <c r="D21" s="1934" t="str">
        <f>IF('数据-取费表'!E3="否",结果表!I114,'结果表 (1修多)'!I115)</f>
        <v>——</v>
      </c>
      <c r="E21" s="1927"/>
    </row>
    <row r="22" spans="1:5" ht="14.25">
      <c r="A22" s="1927"/>
      <c r="B22" s="2757"/>
      <c r="C22" s="1935" t="s">
        <v>1176</v>
      </c>
      <c r="D22" s="1936" t="e">
        <f>IF('数据-取费表'!B3="万元",NUMBERSTRING(INT(D21*10000),2)&amp;"元整",NUMBERSTRING(INT(D21),2)&amp;"元整")</f>
        <v>#VALUE!</v>
      </c>
      <c r="E22" s="1927"/>
    </row>
    <row r="23" spans="1:5" ht="15" thickBot="1">
      <c r="A23" s="1927"/>
      <c r="B23" s="2758"/>
      <c r="C23" s="1942" t="s">
        <v>1274</v>
      </c>
      <c r="D23" s="1943" t="e">
        <f ca="1">IF('数据-取费表'!E3="否",结果表!I115,'结果表 (1修多)'!I116)</f>
        <v>#VALUE!</v>
      </c>
      <c r="E23" s="1927"/>
    </row>
    <row r="24" spans="1:5" ht="14.25" thickTop="1">
      <c r="A24" s="1927"/>
      <c r="B24" s="1927"/>
      <c r="C24" s="1927"/>
      <c r="D24" s="1927"/>
      <c r="E24" s="1927"/>
    </row>
    <row r="25" spans="1:5" ht="18.75" customHeight="1" thickBot="1">
      <c r="A25" s="1927"/>
      <c r="B25" s="2772" t="s">
        <v>1275</v>
      </c>
      <c r="C25" s="2772"/>
      <c r="D25" s="2772"/>
      <c r="E25" s="1927"/>
    </row>
    <row r="26" spans="1:5" ht="18.75" customHeight="1" thickTop="1">
      <c r="A26" s="1927"/>
      <c r="B26" s="2775" t="s">
        <v>1175</v>
      </c>
      <c r="C26" s="2776"/>
      <c r="D26" s="2773" t="s">
        <v>1174</v>
      </c>
      <c r="E26" s="1927"/>
    </row>
    <row r="27" spans="1:5" ht="18.75" customHeight="1">
      <c r="A27" s="1927"/>
      <c r="B27" s="2777"/>
      <c r="C27" s="2778"/>
      <c r="D27" s="2774"/>
      <c r="E27" s="1927"/>
    </row>
    <row r="28" spans="1:5" ht="14.25">
      <c r="A28" s="1927"/>
      <c r="B28" s="2765" t="s">
        <v>785</v>
      </c>
      <c r="C28" s="1944" t="s">
        <v>1177</v>
      </c>
      <c r="D28" s="1945">
        <f ca="1">IF('数据-取费表'!E3="否",结果表!I102,'结果表 (1修多)'!I103)</f>
        <v>1367</v>
      </c>
      <c r="E28" s="1927"/>
    </row>
    <row r="29" spans="1:5" ht="14.25">
      <c r="A29" s="1927"/>
      <c r="B29" s="2766"/>
      <c r="C29" s="1946" t="s">
        <v>1176</v>
      </c>
      <c r="D29" s="1947" t="str">
        <f ca="1">IF('数据-取费表'!B3="万元",NUMBERSTRING(INT(D28*10000),2)&amp;"元整",NUMBERSTRING(INT(D28),2)&amp;"元整")</f>
        <v>壹仟叁佰陆拾柒万元整</v>
      </c>
      <c r="E29" s="1927"/>
    </row>
    <row r="30" spans="1:5" ht="14.25">
      <c r="A30" s="1927"/>
      <c r="B30" s="2767"/>
      <c r="C30" s="1937" t="s">
        <v>1179</v>
      </c>
      <c r="D30" s="1948">
        <f ca="1">IF('数据-取费表'!E3="否",结果表!I103,'结果表 (1修多)'!I104)</f>
        <v>60077</v>
      </c>
      <c r="E30" s="1927"/>
    </row>
    <row r="31" spans="1:5" ht="14.25">
      <c r="A31" s="1927"/>
      <c r="B31" s="2770" t="str">
        <f>B10</f>
        <v>2.估价师所知悉的法定优先受偿款</v>
      </c>
      <c r="C31" s="1949" t="s">
        <v>1178</v>
      </c>
      <c r="D31" s="1950">
        <f>IF('数据-取费表'!E3="否",结果表!I105,'结果表 (1修多)'!I106)</f>
        <v>0</v>
      </c>
      <c r="E31" s="1927"/>
    </row>
    <row r="32" spans="1:5" ht="14.25">
      <c r="A32" s="1927"/>
      <c r="B32" s="277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8" t="str">
        <f>B15</f>
        <v>——</v>
      </c>
      <c r="C36" s="1949" t="str">
        <f>C28</f>
        <v>总价</v>
      </c>
      <c r="D36" s="1950" t="str">
        <f>IF('数据-取费表'!E3="否",结果表!I110,'结果表 (1修多)'!I111)</f>
        <v>——</v>
      </c>
      <c r="E36" s="1927"/>
    </row>
    <row r="37" spans="1:5" ht="14.25">
      <c r="A37" s="1927"/>
      <c r="B37" s="2768"/>
      <c r="C37" s="1946" t="s">
        <v>1176</v>
      </c>
      <c r="D37" s="1951" t="e">
        <f>IF('数据-取费表'!B3="万元",NUMBERSTRING(INT(D36*10000),2)&amp;"元整",NUMBERSTRING(INT(D36),2)&amp;"元整")</f>
        <v>#VALUE!</v>
      </c>
      <c r="E37" s="1927"/>
    </row>
    <row r="38" spans="1:5" ht="14.25">
      <c r="A38" s="1927"/>
      <c r="B38" s="2768"/>
      <c r="C38" s="1937" t="s">
        <v>1180</v>
      </c>
      <c r="D38" s="1948" t="e">
        <f ca="1">IF('数据-取费表'!E3="否",结果表!D113,'结果表 (1修多)'!D116)</f>
        <v>#VALUE!</v>
      </c>
      <c r="E38" s="1927"/>
    </row>
    <row r="39" spans="1:5" ht="14.25">
      <c r="A39" s="1927"/>
      <c r="B39" s="2769" t="str">
        <f>B18</f>
        <v>3.抵押担保权已注销时的房地产抵押价值</v>
      </c>
      <c r="C39" s="1949" t="str">
        <f>C28</f>
        <v>总价</v>
      </c>
      <c r="D39" s="1950">
        <f ca="1">IF('数据-取费表'!E3="否",结果表!I112,'结果表 (1修多)'!I113)</f>
        <v>1367</v>
      </c>
      <c r="E39" s="1927"/>
    </row>
    <row r="40" spans="1:5" ht="14.25">
      <c r="A40" s="1927"/>
      <c r="B40" s="2769"/>
      <c r="C40" s="1946" t="s">
        <v>1176</v>
      </c>
      <c r="D40" s="1951" t="str">
        <f ca="1">IF('数据-取费表'!B3="万元",NUMBERSTRING(INT(D39*10000),2)&amp;"元整",NUMBERSTRING(INT(D39),2)&amp;"元整")</f>
        <v>壹仟叁佰陆拾柒万元整</v>
      </c>
      <c r="E40" s="1927"/>
    </row>
    <row r="41" spans="1:5" ht="14.25">
      <c r="A41" s="1927"/>
      <c r="B41" s="2769"/>
      <c r="C41" s="1937" t="s">
        <v>1180</v>
      </c>
      <c r="D41" s="1948">
        <f ca="1">IF('数据-取费表'!E3="否",结果表!D115,'结果表 (1修多)'!D118)</f>
        <v>60077</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1176</v>
      </c>
      <c r="D43" s="1952" t="e">
        <f>IF('数据-取费表'!B3="万元",NUMBERSTRING(INT(D42*10000),2)&amp;"元整",NUMBERSTRING(INT(D42),2)&amp;"元整")</f>
        <v>#VALUE!</v>
      </c>
      <c r="E43" s="1927"/>
    </row>
    <row r="44" spans="1:5" ht="15" thickBot="1">
      <c r="A44" s="1927"/>
      <c r="B44" s="2771"/>
      <c r="C44" s="1942" t="s">
        <v>1180</v>
      </c>
      <c r="D44" s="1953" t="e">
        <f ca="1">IF('数据-取费表'!E3="否",结果表!D117,'结果表 (1修多)'!D120)</f>
        <v>#VALUE!</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2"/>
      <c r="B3" s="2782"/>
      <c r="C3" s="2782"/>
      <c r="D3" s="1049" t="s">
        <v>1281</v>
      </c>
      <c r="E3" s="1049" t="s">
        <v>1282</v>
      </c>
      <c r="F3" s="1049" t="s">
        <v>1281</v>
      </c>
      <c r="G3" s="1049" t="s">
        <v>1283</v>
      </c>
      <c r="H3" s="1049" t="s">
        <v>1281</v>
      </c>
      <c r="I3" s="1049" t="s">
        <v>1283</v>
      </c>
    </row>
    <row r="4" spans="1:9" ht="46.5" customHeight="1">
      <c r="A4" s="1049" t="str">
        <f>项目基本情况!I1</f>
        <v>北京市房地产</v>
      </c>
      <c r="B4" s="1049">
        <f>结果表!B121</f>
        <v>227.54</v>
      </c>
      <c r="C4" s="1049">
        <f>结果表!C121</f>
        <v>0</v>
      </c>
      <c r="D4" s="1049">
        <f ca="1">IF('数据-取费表'!E3="否",结果表!D121,'结果表 (1修多)'!D124)</f>
        <v>1195</v>
      </c>
      <c r="E4" s="1049">
        <f ca="1">IF('数据-取费表'!E3="否",结果表!E121,'结果表 (1修多)'!E124)</f>
        <v>52518</v>
      </c>
      <c r="F4" s="1049">
        <f ca="1">IF('数据-取费表'!E3="否",结果表!F121,'结果表 (1修多)'!F124)</f>
        <v>172</v>
      </c>
      <c r="G4" s="1049">
        <f ca="1">IF('数据-取费表'!E3="否",结果表!G121,'结果表 (1修多)'!G124)</f>
        <v>7559</v>
      </c>
      <c r="H4" s="1049">
        <f ca="1">IF('数据-取费表'!E3="否",结果表!H121,'结果表 (1修多)'!H124)</f>
        <v>1367</v>
      </c>
      <c r="I4" s="1049">
        <f ca="1">IF('数据-取费表'!E3="否",结果表!I121,'结果表 (1修多)'!I124)</f>
        <v>60077</v>
      </c>
    </row>
    <row r="5" spans="1:9" ht="15">
      <c r="A5" s="2782" t="s">
        <v>1284</v>
      </c>
      <c r="B5" s="2782"/>
      <c r="C5" s="2782"/>
      <c r="D5" s="2780" t="str">
        <f ca="1">IF('数据-取费表'!E3="否",结果表!D122,'结果表 (1修多)'!D125)</f>
        <v>壹仟壹佰玖拾伍万元整</v>
      </c>
      <c r="E5" s="2780"/>
      <c r="F5" s="2780" t="str">
        <f ca="1">IF('数据-取费表'!E3="否",结果表!F122,'结果表 (1修多)'!F125)</f>
        <v>壹佰柒拾贰万元整</v>
      </c>
      <c r="G5" s="2780"/>
      <c r="H5" s="2780" t="str">
        <f ca="1">IF('数据-取费表'!E3="否",结果表!H122,'结果表 (1修多)'!H125)</f>
        <v>壹仟叁佰陆拾柒万元整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1284</v>
      </c>
      <c r="B7" s="2782"/>
      <c r="C7" s="2782"/>
      <c r="D7" s="2783">
        <f>IF('数据-取费表'!E3="否",结果表!D124,'结果表 (1修多)'!D127)</f>
        <v>0</v>
      </c>
      <c r="E7" s="2784"/>
      <c r="F7" s="2784"/>
      <c r="G7" s="2784"/>
      <c r="H7" s="2784"/>
      <c r="I7" s="2785"/>
    </row>
    <row r="8" spans="1:9" ht="15.75">
      <c r="A8" s="2781" t="str">
        <f>IF('数据-取费表'!E3="否",结果表!A125,'结果表 (1修多)'!A128)</f>
        <v/>
      </c>
      <c r="B8" s="2781"/>
      <c r="C8" s="2781"/>
      <c r="D8" s="2781" t="str">
        <f>IF('数据-取费表'!E3="否",结果表!D125,'结果表 (1修多)'!D128)</f>
        <v>——</v>
      </c>
      <c r="E8" s="2781"/>
      <c r="F8" s="2781"/>
      <c r="G8" s="2781"/>
      <c r="H8" s="2781"/>
      <c r="I8" s="2781"/>
    </row>
    <row r="9" spans="1:9" ht="15">
      <c r="A9" s="2782" t="s">
        <v>1284</v>
      </c>
      <c r="B9" s="2782"/>
      <c r="C9" s="2782"/>
      <c r="D9" s="2780" t="e">
        <f ca="1">IF('数据-取费表'!E3="否",结果表!D126,'结果表 (1修多)'!D129)</f>
        <v>#VALUE!</v>
      </c>
      <c r="E9" s="2780"/>
      <c r="F9" s="2780"/>
      <c r="G9" s="2780"/>
      <c r="H9" s="2780"/>
      <c r="I9" s="2780"/>
    </row>
    <row r="10" spans="1:9" ht="15.75">
      <c r="A10" s="2781" t="str">
        <f>IF('数据-取费表'!E3="否",结果表!A127,'结果表 (1修多)'!A130)</f>
        <v>抵押担保权已注销时的房地产抵押价值</v>
      </c>
      <c r="B10" s="2781"/>
      <c r="C10" s="2781"/>
      <c r="D10" s="2781">
        <f ca="1">IF('数据-取费表'!E3="否",结果表!D127,'结果表 (1修多)'!D129)</f>
        <v>1367</v>
      </c>
      <c r="E10" s="2781"/>
      <c r="F10" s="2781"/>
      <c r="G10" s="2781"/>
      <c r="H10" s="2781"/>
      <c r="I10" s="2781"/>
    </row>
    <row r="11" spans="1:9" ht="15">
      <c r="A11" s="2782" t="s">
        <v>1284</v>
      </c>
      <c r="B11" s="2782"/>
      <c r="C11" s="2782"/>
      <c r="D11" s="2780">
        <f ca="1">IF('数据-取费表'!E3="否",结果表!D128,'结果表 (1修多)'!D131)</f>
        <v>60077</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1284</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1298</v>
      </c>
      <c r="B1" s="2795"/>
      <c r="C1" s="2795"/>
      <c r="D1" s="2795"/>
    </row>
    <row r="2" spans="1:4" ht="18">
      <c r="A2" s="2794" t="s">
        <v>1286</v>
      </c>
      <c r="B2" s="2794"/>
      <c r="C2" s="2794"/>
      <c r="D2" s="2794"/>
    </row>
    <row r="3" spans="1:4" ht="18.75">
      <c r="A3" s="1956" t="s">
        <v>1287</v>
      </c>
      <c r="B3" s="1956" t="s">
        <v>1288</v>
      </c>
      <c r="C3" s="1956" t="s">
        <v>1289</v>
      </c>
      <c r="D3" s="1956" t="s">
        <v>1290</v>
      </c>
    </row>
    <row r="4" spans="1:4" ht="56.25" customHeight="1">
      <c r="A4" s="1957" t="str">
        <f>项目基本情况!B3</f>
        <v>刘梅</v>
      </c>
      <c r="B4" s="1958">
        <f ca="1">项目基本情况!C3</f>
        <v>1120140022</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94" t="s">
        <v>1291</v>
      </c>
      <c r="B7" s="2794"/>
      <c r="C7" s="2794"/>
      <c r="D7" s="2794"/>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1" t="s">
        <v>1300</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1"/>
      <c r="C16" s="2791"/>
      <c r="D16" s="2791"/>
    </row>
    <row r="17" spans="1:4" ht="63.75" customHeight="1">
      <c r="A17" s="2792" t="s">
        <v>1301</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80" t="s">
        <v>1385</v>
      </c>
      <c r="B19" s="1981"/>
      <c r="C19" s="1982"/>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3" t="s">
        <v>1391</v>
      </c>
    </row>
    <row r="24" spans="1:3" ht="14.25">
      <c r="A24" s="2799"/>
      <c r="B24" s="2800"/>
      <c r="C24" s="1983" t="s">
        <v>1392</v>
      </c>
    </row>
    <row r="25" spans="1:3" ht="14.25">
      <c r="A25" s="2799"/>
      <c r="B25" s="2800"/>
      <c r="C25" s="1983" t="s">
        <v>1393</v>
      </c>
    </row>
    <row r="26" spans="1:3" ht="14.25">
      <c r="A26" s="2799"/>
      <c r="B26" s="2800"/>
      <c r="C26" s="1983" t="s">
        <v>1394</v>
      </c>
    </row>
    <row r="27" spans="1:3" ht="14.25">
      <c r="A27" s="2799"/>
      <c r="B27" s="2800"/>
      <c r="C27" s="1983" t="s">
        <v>1395</v>
      </c>
    </row>
    <row r="28" spans="1:3" ht="14.25">
      <c r="A28" s="2799"/>
      <c r="B28" s="2800"/>
      <c r="C28" s="1983" t="s">
        <v>1396</v>
      </c>
    </row>
    <row r="29" spans="1:3" ht="14.25">
      <c r="A29" s="2799"/>
      <c r="B29" s="2800"/>
      <c r="C29" s="1983" t="s">
        <v>1397</v>
      </c>
    </row>
    <row r="30" spans="1:3" ht="14.25">
      <c r="A30" s="2799"/>
      <c r="B30" s="2800"/>
      <c r="C30" s="1983" t="s">
        <v>1398</v>
      </c>
    </row>
    <row r="31" spans="1:3" ht="14.25">
      <c r="A31" s="2799"/>
      <c r="B31" s="280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row>
    <row r="54" spans="1:4">
      <c r="A54" s="2806"/>
      <c r="B54" s="9" t="s">
        <v>1536</v>
      </c>
      <c r="C54" s="9" t="s">
        <v>1537</v>
      </c>
    </row>
    <row r="55" spans="1:4">
      <c r="A55" s="2806"/>
      <c r="B55" s="9" t="s">
        <v>1538</v>
      </c>
      <c r="C55" s="9" t="s">
        <v>1539</v>
      </c>
    </row>
    <row r="56" spans="1:4">
      <c r="A56" s="2806"/>
      <c r="B56" s="9" t="s">
        <v>1540</v>
      </c>
      <c r="C56" s="9" t="s">
        <v>1541</v>
      </c>
    </row>
    <row r="57" spans="1:4">
      <c r="A57" s="280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2018-03-26T12:42:43Z</dcterms:modified>
</cp:coreProperties>
</file>