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假设开发法" sheetId="12" state="hidden" r:id="rId19"/>
    <sheet name="收益法" sheetId="15"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收益法倒推-商业" sheetId="81" r:id="rId43"/>
    <sheet name="成本法" sheetId="68" state="hidden" r:id="rId44"/>
    <sheet name="成本法 (元)" sheetId="69" r:id="rId45"/>
    <sheet name="基准地价修正" sheetId="43" r:id="rId46"/>
    <sheet name="Sheet1" sheetId="80" r:id="rId47"/>
  </sheets>
  <externalReferences>
    <externalReference r:id="rId48"/>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3">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42">'收益法倒推-商业'!$A$1:$I$42</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[2]定义!$D$1:$D$4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 localSheetId="42">[1]定义!$D$1:$D$4</definedName>
    <definedName name="评估方法">[3]定义!$B$1:$B$50</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H40" i="81" l="1"/>
  <c r="D36" i="81"/>
  <c r="I4" i="81"/>
  <c r="H29" i="81"/>
  <c r="E29" i="81" s="1"/>
  <c r="H28" i="81"/>
  <c r="H27" i="81"/>
  <c r="H26" i="81"/>
  <c r="H22" i="81"/>
  <c r="I17" i="81"/>
  <c r="H15" i="81"/>
  <c r="H14" i="81"/>
  <c r="H12" i="81"/>
  <c r="I11" i="81"/>
  <c r="H9" i="81"/>
  <c r="I3" i="81"/>
  <c r="I8" i="81"/>
  <c r="I7" i="81"/>
  <c r="I5" i="81"/>
  <c r="C6" i="69"/>
  <c r="N6" i="1"/>
  <c r="C6" i="68"/>
  <c r="U2" i="43"/>
  <c r="D33" i="43"/>
  <c r="D37" i="43"/>
  <c r="G44" i="43"/>
  <c r="G51" i="43"/>
  <c r="G52" i="43"/>
  <c r="G53" i="43"/>
  <c r="G54" i="43"/>
  <c r="G55" i="43"/>
  <c r="G56" i="43"/>
  <c r="G57" i="43"/>
  <c r="G58" i="43"/>
  <c r="G50" i="43"/>
  <c r="C51" i="43"/>
  <c r="C50" i="43"/>
  <c r="C37" i="81"/>
  <c r="E26" i="81"/>
  <c r="E25" i="81"/>
  <c r="E24" i="81"/>
  <c r="C22" i="81"/>
  <c r="F19" i="81"/>
  <c r="F16" i="81"/>
  <c r="C21" i="81"/>
  <c r="E19" i="81" s="1"/>
  <c r="E15" i="81"/>
  <c r="C15" i="81"/>
  <c r="C11" i="81"/>
  <c r="M10" i="81"/>
  <c r="P9" i="81"/>
  <c r="O10" i="81" s="1"/>
  <c r="J8" i="81"/>
  <c r="M4" i="81"/>
  <c r="C8" i="81"/>
  <c r="I33" i="33"/>
  <c r="I47" i="33"/>
  <c r="E47" i="33"/>
  <c r="E33" i="33"/>
  <c r="C33" i="33"/>
  <c r="F93" i="33"/>
  <c r="I7" i="33"/>
  <c r="G7" i="33"/>
  <c r="E7" i="33"/>
  <c r="I5" i="33"/>
  <c r="G5" i="33"/>
  <c r="E5" i="33"/>
  <c r="I7" i="21"/>
  <c r="G7" i="21"/>
  <c r="E7" i="21"/>
  <c r="I5" i="21"/>
  <c r="G5" i="21"/>
  <c r="E5" i="21"/>
  <c r="C12" i="81" l="1"/>
  <c r="C10" i="81"/>
  <c r="C9" i="81"/>
  <c r="C13" i="81" s="1"/>
  <c r="N11" i="81"/>
  <c r="C14" i="81" l="1"/>
  <c r="C20" i="81" s="1"/>
  <c r="C19" i="81" s="1"/>
  <c r="E4" i="80" l="1"/>
  <c r="E3" i="80"/>
  <c r="G47" i="33" s="1"/>
  <c r="E2" i="80"/>
  <c r="G19" i="6"/>
  <c r="F19" i="6" l="1"/>
  <c r="C19" i="6"/>
  <c r="D3" i="4"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H38" i="33"/>
  <c r="AB38" i="33" s="1"/>
  <c r="F38" i="33"/>
  <c r="AA38" i="33" s="1"/>
  <c r="Q37" i="33"/>
  <c r="Z37" i="33"/>
  <c r="Q36" i="33"/>
  <c r="Z36" i="33" s="1"/>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H41" i="33"/>
  <c r="U41" i="33" s="1"/>
  <c r="F121" i="33"/>
  <c r="G121" i="33"/>
  <c r="H121" i="33" s="1"/>
  <c r="I121" i="33" s="1"/>
  <c r="J121" i="33" s="1"/>
  <c r="K121" i="33" s="1"/>
  <c r="L121" i="33" s="1"/>
  <c r="M121" i="33" s="1"/>
  <c r="F36" i="33"/>
  <c r="AA36" i="33" s="1"/>
  <c r="J35" i="33"/>
  <c r="AC35" i="33" s="1"/>
  <c r="S37" i="33"/>
  <c r="AA37" i="33"/>
  <c r="J32" i="33"/>
  <c r="W32" i="33" s="1"/>
  <c r="S46" i="33"/>
  <c r="W43" i="33"/>
  <c r="S43" i="33"/>
  <c r="H27" i="33"/>
  <c r="AB27" i="33" s="1"/>
  <c r="H25" i="33"/>
  <c r="AB25" i="33" s="1"/>
  <c r="F25" i="33"/>
  <c r="AA25" i="33" s="1"/>
  <c r="J23" i="33"/>
  <c r="W23" i="33" s="1"/>
  <c r="H23" i="33"/>
  <c r="U23" i="33" s="1"/>
  <c r="F19" i="33"/>
  <c r="S19" i="33" s="1"/>
  <c r="W19" i="33"/>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J36" i="33"/>
  <c r="W36" i="33" s="1"/>
  <c r="H36" i="33"/>
  <c r="U36" i="33" s="1"/>
  <c r="S36" i="33"/>
  <c r="J27" i="33"/>
  <c r="AC27" i="33" s="1"/>
  <c r="J25" i="33"/>
  <c r="AC25" i="33" s="1"/>
  <c r="F23" i="33"/>
  <c r="AA23" i="33" s="1"/>
  <c r="AC23" i="33"/>
  <c r="H19" i="33"/>
  <c r="AB19" i="33" s="1"/>
  <c r="H17" i="33"/>
  <c r="U17" i="33" s="1"/>
  <c r="F17" i="33"/>
  <c r="S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15"/>
  <c r="M8" i="15"/>
  <c r="F38" i="15"/>
  <c r="E2" i="68"/>
  <c r="E8" i="76"/>
  <c r="M28" i="15"/>
  <c r="J15" i="15"/>
  <c r="D3" i="73"/>
  <c r="E11" i="76"/>
  <c r="F7" i="73"/>
  <c r="F26" i="15"/>
  <c r="B12" i="76"/>
  <c r="E10" i="76"/>
  <c r="M24" i="67"/>
  <c r="M23" i="67"/>
  <c r="B10" i="76"/>
  <c r="C19" i="9"/>
  <c r="L48" i="67"/>
  <c r="F26" i="67"/>
  <c r="B7" i="76"/>
  <c r="F4" i="73"/>
  <c r="F40" i="15"/>
  <c r="F37" i="15"/>
  <c r="E2" i="69"/>
  <c r="F42" i="67"/>
  <c r="F20" i="31"/>
  <c r="D4" i="73"/>
  <c r="F6" i="73"/>
  <c r="F16" i="15"/>
  <c r="D7" i="73"/>
  <c r="F3" i="73"/>
  <c r="F6" i="15"/>
  <c r="E12" i="76"/>
  <c r="M29" i="67"/>
  <c r="D20" i="9"/>
  <c r="F13" i="67"/>
  <c r="M23" i="15"/>
  <c r="C76" i="67"/>
  <c r="M22" i="15"/>
  <c r="F8" i="15"/>
  <c r="F38" i="67"/>
  <c r="E13" i="76"/>
  <c r="B13" i="76"/>
  <c r="B9" i="76"/>
  <c r="F16" i="67"/>
  <c r="F42" i="15"/>
  <c r="B11" i="76"/>
  <c r="D5" i="73"/>
  <c r="M22" i="67"/>
  <c r="F37" i="67"/>
  <c r="F40" i="67"/>
  <c r="F7" i="15"/>
  <c r="F43" i="67"/>
  <c r="E7" i="76"/>
  <c r="M26" i="67"/>
  <c r="F8" i="67"/>
  <c r="AO13" i="1"/>
  <c r="F43" i="15"/>
  <c r="D34" i="9"/>
  <c r="D19" i="9"/>
  <c r="F7" i="67"/>
  <c r="M29" i="15"/>
  <c r="J15" i="67"/>
  <c r="F36" i="15"/>
  <c r="M28" i="67"/>
  <c r="M24" i="15"/>
  <c r="L47" i="67"/>
  <c r="L47" i="15"/>
  <c r="C20" i="9"/>
  <c r="E9" i="76"/>
  <c r="F5" i="73"/>
  <c r="L48" i="15"/>
  <c r="D6" i="73"/>
  <c r="M6" i="67"/>
  <c r="M6" i="15"/>
  <c r="M8" i="67"/>
  <c r="C76" i="15"/>
  <c r="F9" i="67"/>
  <c r="B8" i="76"/>
  <c r="F6" i="67"/>
  <c r="F36" i="67"/>
  <c r="F13" i="15"/>
  <c r="D35" i="9"/>
  <c r="M26" i="15"/>
  <c r="M9" i="67"/>
  <c r="F9" i="15"/>
  <c r="F30" i="69" l="1"/>
  <c r="F48" i="69" s="1"/>
  <c r="D68" i="9"/>
  <c r="F31" i="12"/>
  <c r="M18" i="15"/>
  <c r="M18" i="67"/>
  <c r="F30" i="11"/>
  <c r="C48" i="11" s="1"/>
  <c r="F54" i="9"/>
  <c r="F28" i="15"/>
  <c r="F32" i="15"/>
  <c r="F60" i="15" s="1"/>
  <c r="F32" i="67"/>
  <c r="F60" i="67" s="1"/>
  <c r="F52" i="9"/>
  <c r="F28" i="67"/>
  <c r="C28" i="67" s="1"/>
  <c r="F30" i="68"/>
  <c r="F48" i="68" s="1"/>
  <c r="G6" i="1"/>
  <c r="I24" i="43"/>
  <c r="D54" i="43"/>
  <c r="J38" i="33"/>
  <c r="AC17" i="33"/>
  <c r="W33" i="33"/>
  <c r="U46" i="33"/>
  <c r="AC41" i="33"/>
  <c r="AB36" i="33"/>
  <c r="U43" i="33"/>
  <c r="W39" i="33"/>
  <c r="S38" i="33"/>
  <c r="U35" i="33"/>
  <c r="F32" i="33"/>
  <c r="AA32" i="33" s="1"/>
  <c r="F101" i="33"/>
  <c r="G101" i="33" s="1"/>
  <c r="H101" i="33" s="1"/>
  <c r="I101" i="33" s="1"/>
  <c r="J101" i="33" s="1"/>
  <c r="K101" i="33" s="1"/>
  <c r="L101" i="33" s="1"/>
  <c r="M101" i="33" s="1"/>
  <c r="U32" i="33"/>
  <c r="AC32" i="33"/>
  <c r="S25" i="33"/>
  <c r="AB21" i="33"/>
  <c r="AA17" i="33"/>
  <c r="AB28" i="33"/>
  <c r="AC28" i="33"/>
  <c r="S27" i="33"/>
  <c r="AB26" i="33"/>
  <c r="AB23" i="33"/>
  <c r="S23" i="33"/>
  <c r="U19" i="33"/>
  <c r="AA19" i="33"/>
  <c r="AB17" i="33"/>
  <c r="U42" i="33"/>
  <c r="S42" i="33"/>
  <c r="S41" i="33"/>
  <c r="S39" i="33"/>
  <c r="AC37" i="33"/>
  <c r="W35" i="33"/>
  <c r="AB34" i="33"/>
  <c r="AC34" i="33"/>
  <c r="W27" i="33"/>
  <c r="U27" i="33"/>
  <c r="S26" i="33"/>
  <c r="W25" i="33"/>
  <c r="U25" i="33"/>
  <c r="G28" i="6"/>
  <c r="F29" i="6"/>
  <c r="C29" i="39"/>
  <c r="B68" i="43"/>
  <c r="B77"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G1" i="73"/>
  <c r="C16" i="67"/>
  <c r="C16" i="15"/>
  <c r="AC38" i="33" l="1"/>
  <c r="W38" i="33"/>
  <c r="S32" i="3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C5"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L36" i="43" l="1"/>
  <c r="L37" i="43" s="1"/>
  <c r="I18"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67"/>
  <c r="M27" i="15"/>
  <c r="Q36" i="43" l="1"/>
  <c r="M36" i="43"/>
  <c r="P36" i="43"/>
  <c r="O36" i="43"/>
  <c r="N36" i="43"/>
  <c r="C18" i="81"/>
  <c r="E16" i="81" s="1"/>
  <c r="C17" i="8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15"/>
  <c r="C14" i="67"/>
  <c r="C17" i="67"/>
  <c r="C16" i="81" l="1"/>
  <c r="C23"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27" i="81" l="1"/>
  <c r="C7" i="81"/>
  <c r="C28"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4" i="81" l="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C3" i="81" s="1"/>
  <c r="L69" i="39"/>
  <c r="M67" i="39"/>
  <c r="S7" i="35"/>
  <c r="AA7" i="35"/>
  <c r="R38" i="35" s="1"/>
  <c r="C49" i="21"/>
  <c r="C48" i="21"/>
  <c r="E52" i="21"/>
  <c r="F52" i="21" s="1"/>
  <c r="E53" i="21"/>
  <c r="F53" i="21" s="1"/>
  <c r="G42" i="35"/>
  <c r="H42" i="35" s="1"/>
  <c r="G43" i="35"/>
  <c r="H43" i="35" s="1"/>
  <c r="I53" i="21"/>
  <c r="J53" i="21" s="1"/>
  <c r="K65" i="40"/>
  <c r="L63" i="40"/>
  <c r="I42" i="35"/>
  <c r="J42" i="35" s="1"/>
  <c r="B3" i="69" l="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J3" i="81" l="1"/>
  <c r="J4" i="81" s="1"/>
  <c r="C4" i="81"/>
  <c r="C30" i="81" s="1"/>
  <c r="C31" i="81" s="1"/>
  <c r="D37"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G37" i="81" l="1"/>
  <c r="D38" i="81"/>
  <c r="J9" i="8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2" i="35"/>
  <c r="J10" i="81" l="1"/>
  <c r="C39" i="81"/>
  <c r="C40" i="81" s="1"/>
  <c r="E39" i="81"/>
  <c r="E40" i="81"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AO7" i="1"/>
  <c r="AO12" i="1"/>
  <c r="AO8" i="1"/>
  <c r="AO10" i="1"/>
  <c r="AO11"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I4" i="52"/>
  <c r="C105" i="9"/>
  <c r="H4" i="52"/>
  <c r="C104" i="9"/>
  <c r="N61" i="9"/>
  <c r="N60" i="9"/>
  <c r="N59" i="9"/>
  <c r="N58" i="9"/>
  <c r="P57" i="9"/>
  <c r="B30" i="72"/>
  <c r="C93" i="9"/>
  <c r="C86" i="9"/>
  <c r="D14" i="53"/>
  <c r="B32" i="72"/>
  <c r="B49" i="72"/>
  <c r="D13" i="53"/>
  <c r="B48" i="72"/>
  <c r="B21" i="72"/>
  <c r="E81" i="9"/>
  <c r="E80" i="9"/>
  <c r="D5" i="52"/>
  <c r="B51" i="72"/>
  <c r="M55" i="9"/>
  <c r="F4" i="52"/>
  <c r="D8" i="52"/>
  <c r="D54" i="9"/>
  <c r="B20" i="72"/>
  <c r="D119" i="9"/>
  <c r="M48" i="9"/>
  <c r="D59" i="9"/>
  <c r="C68" i="9"/>
  <c r="B53" i="72"/>
  <c r="N57" i="9"/>
  <c r="D7" i="53"/>
  <c r="H102" i="9"/>
  <c r="C5" i="74"/>
  <c r="C80" i="9"/>
  <c r="C72" i="9"/>
  <c r="C79" i="9"/>
  <c r="C81" i="9"/>
  <c r="B31" i="72"/>
  <c r="C78" i="9"/>
  <c r="C73" i="9"/>
  <c r="M54" i="9"/>
  <c r="C6" i="74"/>
  <c r="H108" i="9"/>
  <c r="D15" i="53"/>
  <c r="C97" i="9"/>
  <c r="D58" i="9"/>
  <c r="D56" i="9"/>
  <c r="G4" i="52"/>
  <c r="B52" i="72"/>
  <c r="E4" i="52"/>
  <c r="D5" i="53"/>
  <c r="D6" i="53"/>
  <c r="B22" i="72"/>
  <c r="E118" i="9"/>
  <c r="D118" i="9"/>
  <c r="D4" i="52"/>
  <c r="B47" i="72"/>
  <c r="H107" i="9"/>
  <c r="D122" i="9"/>
  <c r="D123" i="9"/>
  <c r="D9" i="52"/>
  <c r="H119" i="9"/>
  <c r="H5" i="52"/>
  <c r="C67" i="9"/>
  <c r="C85" i="9"/>
  <c r="C95" i="9"/>
  <c r="C96" i="9"/>
  <c r="E96" i="9"/>
  <c r="E97" i="9"/>
  <c r="G118" i="9"/>
  <c r="F118" i="9"/>
  <c r="F119" i="9"/>
  <c r="F5" i="52"/>
  <c r="D55" i="9"/>
  <c r="M53"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<sst xmlns="http://schemas.openxmlformats.org/spreadsheetml/2006/main" count="8074" uniqueCount="3594">
  <si>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</si>
  <si>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</si>
  <si>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</si>
  <si>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</si>
  <si>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</si>
  <si>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</si>
  <si>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</si>
  <si>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</si>
  <si>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</si>
  <si>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</si>
  <si>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</si>
  <si>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</si>
  <si>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</si>
  <si>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</si>
  <si>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</si>
  <si>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</si>
  <si>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</si>
  <si>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</si>
  <si>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</si>
  <si>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</si>
  <si>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</si>
  <si>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</si>
  <si>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</si>
  <si>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</si>
  <si>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</si>
  <si>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</si>
  <si>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</si>
  <si>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</si>
  <si>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</si>
  <si>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</si>
  <si>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</si>
  <si>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</si>
  <si>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</si>
  <si>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</si>
  <si>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</si>
  <si>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</si>
  <si>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</si>
  <si>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</si>
  <si>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</si>
  <si>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</si>
  <si>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</si>
  <si>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</si>
  <si>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</si>
  <si>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</si>
  <si>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</si>
  <si>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</si>
  <si>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</si>
  <si>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</si>
  <si>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</si>
  <si>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</si>
  <si>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</si>
  <si>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</si>
  <si>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</si>
  <si>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</si>
  <si>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</si>
  <si>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</si>
  <si>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</si>
  <si>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</si>
  <si>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</si>
  <si>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</si>
  <si>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</si>
  <si>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</si>
  <si>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</si>
  <si>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</si>
  <si>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</si>
  <si>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</si>
  <si>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</si>
  <si>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</si>
  <si>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</si>
  <si>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</si>
  <si>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</si>
  <si>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</si>
  <si>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</si>
  <si>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</si>
  <si>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</si>
  <si>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</si>
  <si>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</si>
  <si>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</si>
  <si>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</si>
  <si>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</si>
  <si>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</si>
  <si>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</si>
  <si>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</si>
  <si>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</si>
  <si>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</si>
  <si>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</si>
  <si>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</si>
  <si>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</si>
  <si>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</si>
  <si>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</si>
  <si>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</si>
  <si>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</si>
  <si>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</si>
  <si>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</si>
  <si>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</si>
  <si>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</si>
  <si>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</si>
  <si>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</si>
  <si>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</si>
  <si>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</si>
  <si>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</si>
  <si>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</si>
  <si>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</si>
  <si>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</si>
  <si>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</si>
  <si>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</si>
  <si>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</si>
  <si>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</si>
  <si>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</si>
  <si>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</si>
  <si>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</si>
  <si>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</si>
  <si>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</si>
  <si>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</si>
  <si>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</si>
  <si>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</si>
  <si>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</si>
  <si>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</si>
  <si>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</si>
  <si>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</si>
  <si>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</si>
  <si>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</si>
  <si>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</si>
  <si>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</si>
  <si>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</si>
  <si>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</si>
  <si>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</si>
  <si>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</si>
  <si>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</si>
  <si>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</si>
  <si>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</si>
  <si>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</si>
  <si>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</si>
  <si>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</si>
  <si>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</si>
  <si>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</si>
  <si>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</si>
  <si>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</si>
  <si>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</si>
  <si>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</si>
  <si>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</si>
  <si>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</si>
  <si>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</si>
  <si>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</si>
  <si>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</si>
  <si>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</si>
  <si>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</si>
  <si>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</si>
  <si>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</si>
  <si>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</si>
  <si>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</si>
  <si>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</si>
  <si>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</si>
  <si>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</si>
  <si>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</si>
  <si>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</si>
  <si>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</si>
  <si>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</si>
  <si>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</si>
  <si>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</si>
  <si>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</si>
  <si>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</si>
  <si>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</si>
  <si>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</si>
  <si>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</si>
  <si>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</si>
  <si>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</si>
  <si>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</si>
  <si>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</si>
  <si>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</si>
  <si>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</si>
  <si>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</si>
  <si>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</si>
  <si>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</si>
  <si>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</si>
  <si>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</si>
  <si>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</si>
  <si>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</si>
  <si>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</si>
  <si>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</si>
  <si>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</si>
  <si>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</si>
  <si>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</si>
  <si>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</si>
  <si>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</si>
  <si>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</si>
  <si>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</si>
  <si>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</si>
  <si>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</si>
  <si>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</si>
  <si>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</si>
  <si>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</si>
  <si>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</si>
  <si>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</si>
  <si>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</si>
  <si>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</si>
  <si>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</si>
  <si>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</si>
  <si>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</si>
  <si>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</si>
  <si>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</si>
  <si>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</si>
  <si>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</si>
  <si>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</si>
  <si>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</si>
  <si>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</si>
  <si>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</si>
  <si>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</si>
  <si>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</si>
  <si>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</si>
  <si>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</si>
  <si>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</si>
  <si>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</si>
  <si>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</si>
  <si>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</si>
  <si>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</si>
  <si>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</si>
  <si>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</si>
  <si>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</si>
  <si>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</si>
  <si>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</si>
  <si>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</si>
  <si>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</si>
  <si>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</si>
  <si>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</si>
  <si>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</si>
  <si>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</si>
  <si>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</si>
  <si>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</si>
  <si>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</si>
  <si>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</si>
  <si>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</si>
  <si>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</si>
  <si>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</si>
  <si>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</si>
  <si>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</si>
  <si>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</si>
  <si>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</si>
  <si>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</si>
  <si>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</si>
  <si>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</si>
  <si>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</si>
  <si>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</si>
  <si>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</si>
  <si>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</si>
  <si>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</si>
  <si>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</si>
  <si>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</si>
  <si>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</si>
  <si>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</si>
  <si>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</si>
  <si>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</si>
  <si>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</si>
  <si>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</si>
  <si>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</si>
  <si>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</si>
  <si>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</si>
  <si>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</si>
  <si>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</si>
  <si>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</si>
  <si>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</si>
  <si>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</si>
  <si>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</si>
  <si>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</si>
  <si>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</si>
  <si>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</si>
  <si>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</si>
  <si>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</si>
  <si>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</si>
  <si>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</si>
  <si>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</si>
  <si>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</si>
  <si>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</si>
  <si>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</si>
  <si>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</si>
  <si>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</si>
  <si>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</si>
  <si>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</si>
  <si>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</si>
  <si>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</si>
  <si>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</si>
  <si>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</si>
  <si>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</si>
  <si>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</si>
  <si>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</si>
  <si>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</si>
  <si>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</si>
  <si>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</si>
  <si>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</si>
  <si>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</si>
  <si>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</si>
  <si>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</si>
  <si>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</si>
  <si>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</si>
  <si>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</si>
  <si>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</si>
  <si>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</si>
  <si>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</si>
  <si>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</si>
  <si>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</si>
  <si>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</si>
  <si>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</si>
  <si>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</si>
  <si>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</si>
  <si>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</si>
  <si>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</si>
  <si>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</si>
  <si>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</si>
  <si>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</si>
  <si>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</si>
  <si>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</si>
  <si>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</si>
  <si>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</si>
  <si>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</si>
  <si>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</si>
  <si>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</si>
  <si>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</si>
  <si>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</si>
  <si>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</si>
  <si>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</si>
  <si>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</si>
  <si>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</si>
  <si>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</si>
  <si>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</si>
  <si>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</si>
  <si>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</si>
  <si>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</si>
  <si>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</si>
  <si>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</si>
  <si>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</si>
  <si>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</si>
  <si>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</si>
  <si>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</si>
  <si>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</si>
  <si>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</si>
  <si>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</si>
  <si>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</si>
  <si>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</si>
  <si>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</si>
  <si>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</si>
  <si>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</si>
  <si>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</si>
  <si>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</si>
  <si>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</si>
  <si>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</si>
  <si>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</si>
  <si>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</si>
  <si>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</si>
  <si>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</si>
  <si>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</si>
  <si>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</si>
  <si>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</si>
  <si>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</si>
  <si>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</si>
  <si>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</si>
  <si>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</si>
  <si>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</si>
  <si>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</si>
  <si>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</si>
  <si>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</si>
  <si>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</si>
  <si>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</si>
  <si>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</si>
  <si>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</si>
  <si>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</si>
  <si>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</si>
  <si>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</si>
  <si>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</si>
  <si>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</si>
  <si>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</si>
  <si>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</si>
  <si>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</si>
  <si>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</si>
  <si>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</si>
  <si>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</si>
  <si>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</si>
  <si>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</si>
  <si>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</si>
  <si>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</si>
  <si>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</si>
  <si>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</si>
  <si>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</si>
  <si>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</si>
  <si>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</si>
  <si>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</si>
  <si>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</si>
  <si>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</si>
  <si>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</si>
  <si>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</si>
  <si>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</si>
  <si>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</si>
  <si>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</si>
  <si>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</si>
  <si>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</si>
  <si>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</si>
  <si>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</si>
  <si>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</si>
  <si>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</si>
  <si>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</si>
  <si>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</si>
  <si>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</si>
  <si>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</si>
  <si>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</si>
  <si>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</si>
  <si>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</si>
  <si>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</si>
  <si>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</si>
  <si>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</si>
  <si>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</si>
  <si>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</si>
  <si>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</si>
  <si>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</si>
  <si>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</si>
  <si>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</si>
  <si>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</si>
  <si>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</si>
  <si>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</si>
  <si>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</si>
  <si>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</si>
  <si>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</si>
  <si>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</si>
  <si>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</si>
  <si>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</si>
  <si>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</si>
  <si>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</si>
  <si>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</si>
  <si>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</si>
  <si>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</si>
  <si>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</si>
  <si>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</si>
  <si>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</si>
  <si>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</si>
  <si>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</si>
  <si>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</si>
  <si>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</si>
  <si>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</si>
  <si>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</si>
  <si>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</si>
  <si>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</si>
  <si>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</si>
  <si>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</si>
  <si>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</si>
  <si>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</si>
  <si>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</si>
  <si>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</si>
  <si>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</si>
  <si>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</si>
  <si>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</si>
  <si>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</si>
  <si>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</si>
  <si>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</si>
  <si>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</si>
  <si>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</si>
  <si>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</si>
  <si>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</si>
  <si>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</si>
  <si>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</si>
  <si>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</si>
  <si>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</si>
  <si>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</si>
  <si>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</si>
  <si>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</si>
  <si>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</si>
  <si>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</si>
  <si>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</si>
  <si>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</si>
  <si>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</si>
  <si>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</si>
  <si>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</si>
  <si>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</si>
  <si>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</si>
  <si>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</si>
  <si>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</si>
  <si>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</si>
  <si>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</si>
  <si>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</si>
  <si>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</si>
  <si>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</si>
  <si>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</si>
  <si>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</si>
  <si>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</si>
  <si>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</si>
  <si>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</si>
  <si>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</si>
  <si>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</si>
  <si>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</si>
  <si>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</si>
  <si>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</si>
  <si>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</si>
  <si>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</si>
  <si>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</si>
  <si>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</si>
  <si>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</si>
  <si>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</si>
  <si>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</si>
  <si>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</si>
  <si>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</si>
  <si>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</si>
  <si>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</si>
  <si>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</si>
  <si>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</si>
  <si>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</si>
  <si>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</si>
  <si>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</si>
  <si>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</si>
  <si>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</si>
  <si>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</si>
  <si>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</si>
  <si>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</si>
  <si>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</si>
  <si>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</si>
  <si>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</si>
  <si>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</si>
  <si>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</si>
  <si>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</si>
  <si>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</si>
  <si>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</si>
  <si>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</si>
  <si>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</si>
  <si>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</si>
  <si>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</si>
  <si>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</si>
  <si>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</si>
  <si>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</si>
  <si>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</si>
  <si>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</si>
  <si>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</si>
  <si>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</si>
  <si>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</si>
  <si>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</si>
  <si>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</si>
  <si>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</si>
  <si>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</si>
  <si>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</si>
  <si>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</si>
  <si>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</si>
  <si>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</si>
  <si>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</si>
  <si>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</si>
  <si>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</si>
  <si>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</si>
  <si>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</si>
  <si>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</si>
  <si>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</si>
  <si>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</si>
  <si>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</si>
  <si>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</si>
  <si>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</si>
  <si>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</si>
  <si>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</si>
  <si>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</si>
  <si>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</si>
  <si>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</si>
  <si>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</si>
  <si>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</si>
  <si>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</si>
  <si>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</si>
  <si>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</si>
  <si>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</si>
  <si>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</si>
  <si>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</si>
  <si>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</si>
  <si>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</si>
  <si>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</si>
  <si>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</si>
  <si>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</si>
  <si>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</si>
  <si>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</si>
  <si>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</si>
  <si>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</si>
  <si>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</si>
  <si>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</si>
  <si>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</si>
  <si>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</si>
  <si>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</si>
  <si>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</si>
  <si>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</si>
  <si>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</si>
  <si>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</si>
  <si>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</si>
  <si>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</si>
  <si>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</si>
  <si>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</si>
  <si>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</si>
  <si>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</si>
  <si>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</si>
  <si>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</si>
  <si>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</si>
  <si>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</si>
  <si>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</si>
  <si>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</si>
  <si>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</si>
  <si>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</si>
  <si>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</si>
  <si>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</si>
  <si>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</si>
  <si>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</si>
  <si>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</si>
  <si>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</si>
  <si>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</si>
  <si>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</si>
  <si>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</si>
  <si>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</si>
  <si>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</si>
  <si>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</si>
  <si>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</si>
  <si>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</si>
  <si>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</si>
  <si>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</si>
  <si>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</si>
  <si>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</si>
  <si>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</si>
  <si>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</si>
  <si>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</si>
  <si>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</si>
  <si>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</si>
  <si>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</si>
  <si>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</si>
  <si>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</si>
  <si>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</si>
  <si>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</si>
  <si>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</si>
  <si>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</si>
  <si>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</si>
  <si>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</si>
  <si>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</si>
  <si>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</si>
  <si>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</si>
  <si>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</si>
  <si>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</si>
  <si>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</si>
  <si>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</si>
  <si>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</si>
  <si>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</si>
  <si>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</si>
  <si>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</si>
  <si>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</si>
  <si>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</si>
  <si>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</si>
  <si>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</si>
  <si>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</si>
  <si>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</si>
  <si>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</si>
  <si>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</si>
  <si>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</si>
  <si>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</si>
  <si>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</si>
  <si>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</si>
  <si>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</si>
  <si>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</si>
  <si>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</si>
  <si>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</si>
  <si>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</si>
  <si>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</si>
  <si>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</si>
  <si>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</si>
  <si>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</si>
  <si>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</si>
  <si>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</si>
  <si>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</si>
  <si>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</si>
  <si>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</si>
  <si>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</si>
  <si>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</si>
  <si>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</si>
  <si>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</si>
  <si>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</si>
  <si>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</si>
  <si>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</si>
  <si>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</si>
  <si>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</si>
  <si>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</si>
  <si>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</si>
  <si>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</si>
  <si>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</si>
  <si>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</si>
  <si>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</si>
  <si>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</si>
  <si>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</si>
  <si>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</si>
  <si>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</si>
  <si>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</si>
  <si>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</si>
  <si>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</si>
  <si>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</si>
  <si>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</si>
  <si>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</si>
  <si>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</si>
  <si>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</si>
  <si>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</si>
  <si>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</si>
  <si>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</si>
  <si>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</si>
  <si>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</si>
  <si>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</si>
  <si>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</si>
  <si>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</si>
  <si>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</si>
  <si>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</si>
  <si>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</si>
  <si>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</si>
  <si>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</si>
  <si>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</si>
  <si>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</si>
  <si>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</si>
  <si>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</si>
  <si>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</si>
  <si>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</si>
  <si>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</si>
  <si>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</si>
  <si>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</si>
  <si>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</si>
  <si>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</si>
  <si>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</si>
  <si>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</si>
  <si>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</si>
  <si>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</si>
  <si>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</si>
  <si>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</si>
  <si>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</si>
  <si>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</si>
  <si>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</si>
  <si>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</si>
  <si>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</si>
  <si>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</si>
  <si>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</si>
  <si>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</si>
  <si>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</si>
  <si>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</si>
  <si>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</si>
  <si>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</si>
  <si>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</si>
  <si>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</si>
  <si>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</si>
  <si>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</si>
  <si>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</si>
  <si>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</si>
  <si>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</si>
  <si>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</si>
  <si>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</si>
  <si>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</si>
  <si>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</si>
  <si>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</si>
  <si>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</si>
  <si>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</si>
  <si>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</si>
  <si>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</si>
  <si>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</si>
  <si>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</si>
  <si>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</si>
  <si>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</si>
  <si>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</si>
  <si>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</si>
  <si>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</si>
  <si>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</si>
  <si>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</si>
  <si>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</si>
  <si>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</si>
  <si>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</si>
  <si>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</si>
  <si>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</si>
  <si>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</si>
  <si>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</si>
  <si>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</si>
  <si>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</si>
  <si>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</si>
  <si>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</si>
  <si>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</si>
  <si>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</si>
  <si>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</si>
  <si>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</si>
  <si>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</si>
  <si>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</si>
  <si>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</si>
  <si>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</si>
  <si>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</si>
  <si>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</si>
  <si>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</si>
  <si>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</si>
  <si>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</si>
  <si>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</si>
  <si>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</si>
  <si>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</si>
  <si>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</si>
  <si>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</si>
  <si>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</si>
  <si>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</si>
  <si>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</si>
  <si>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</si>
  <si>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</si>
  <si>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</si>
  <si>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</si>
  <si>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</si>
  <si>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</si>
  <si>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</si>
  <si>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</si>
  <si>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</si>
  <si>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</si>
  <si>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</si>
  <si>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</si>
  <si>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</si>
  <si>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</si>
  <si>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</si>
  <si>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</si>
  <si>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</si>
  <si>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</si>
  <si>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</si>
  <si>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</si>
  <si>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</si>
  <si>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</si>
  <si>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</si>
  <si>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</si>
  <si>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</si>
  <si>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</si>
  <si>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</si>
  <si>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</si>
  <si>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</si>
  <si>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</si>
  <si>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</si>
  <si>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</si>
  <si>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</si>
  <si>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</si>
  <si>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</si>
  <si>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</si>
  <si>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</si>
  <si>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</si>
  <si>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</si>
  <si>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</si>
  <si>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</si>
  <si>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</si>
  <si>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</si>
  <si>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</si>
  <si>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</si>
  <si>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</si>
  <si>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</si>
  <si>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</si>
  <si>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</si>
  <si>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</si>
  <si>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</si>
  <si>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</si>
  <si>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</si>
  <si>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</si>
  <si>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</si>
  <si>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</si>
  <si>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</si>
  <si>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</si>
  <si>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</si>
  <si>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</si>
  <si>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</si>
  <si>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</si>
  <si>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</si>
  <si>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</si>
  <si>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</si>
  <si>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</si>
  <si>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</si>
  <si>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</si>
  <si>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</si>
  <si>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</si>
  <si>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</si>
  <si>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</si>
  <si>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</si>
  <si>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</si>
  <si>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</si>
  <si>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</si>
  <si>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</si>
  <si>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</si>
  <si>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</si>
  <si>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</si>
  <si>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</si>
  <si>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</si>
  <si>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</si>
  <si>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</si>
  <si>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</si>
  <si>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</si>
  <si>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</si>
  <si>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</si>
  <si>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</si>
  <si>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</si>
  <si>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</si>
  <si>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</si>
  <si>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</si>
  <si>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</si>
  <si>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</si>
  <si>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</si>
  <si>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</si>
  <si>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</si>
  <si>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</si>
  <si>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</si>
  <si>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</si>
  <si>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</si>
  <si>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</si>
  <si>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</si>
  <si>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</si>
  <si>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</si>
  <si>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</si>
  <si>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</si>
  <si>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</si>
  <si>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</si>
  <si>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</si>
  <si>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</si>
  <si>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</si>
  <si>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</si>
  <si>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</si>
  <si>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</si>
  <si>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</si>
  <si>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</si>
  <si>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</si>
  <si>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</si>
  <si>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</si>
  <si>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</si>
  <si>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</si>
  <si>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</si>
  <si>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</si>
  <si>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</si>
  <si>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</si>
  <si>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</si>
  <si>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</si>
  <si>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</si>
  <si>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</si>
  <si>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</si>
  <si>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</si>
  <si>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</si>
  <si>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</si>
  <si>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</si>
  <si>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</si>
  <si>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</si>
  <si>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</si>
  <si>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</si>
  <si>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</si>
  <si>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</si>
  <si>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</si>
  <si>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</si>
  <si>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</si>
  <si>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</si>
  <si>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</si>
  <si>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</si>
  <si>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</si>
  <si>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</si>
  <si>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</si>
  <si>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</si>
  <si>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</si>
  <si>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</si>
  <si>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</si>
  <si>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</si>
  <si>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</si>
  <si>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</si>
  <si>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</si>
  <si>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</si>
  <si>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</si>
  <si>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</si>
  <si>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</si>
  <si>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</si>
  <si>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</si>
  <si>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</si>
  <si>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</si>
  <si>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</si>
  <si>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</si>
  <si>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</si>
  <si>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</si>
  <si>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</si>
  <si>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</si>
  <si>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</si>
  <si>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</si>
  <si>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</si>
  <si>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</si>
  <si>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</si>
  <si>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</si>
  <si>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</si>
  <si>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</si>
  <si>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</si>
  <si>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</si>
  <si>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</si>
  <si>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</si>
  <si>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</si>
  <si>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</si>
  <si>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</si>
  <si>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</si>
  <si>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</si>
  <si>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</si>
  <si>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</si>
  <si>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</si>
  <si>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</si>
  <si>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</si>
  <si>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</si>
  <si>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</si>
  <si>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</si>
  <si>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</si>
  <si>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</si>
  <si>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</si>
  <si>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</si>
  <si>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</si>
  <si>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</si>
  <si>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</si>
  <si>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</si>
  <si>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</si>
  <si>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</si>
  <si>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</si>
  <si>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</si>
  <si>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</si>
  <si>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</si>
  <si>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</si>
  <si>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</si>
  <si>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</si>
  <si>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</si>
  <si>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</si>
  <si>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</si>
  <si>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</si>
  <si>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</si>
  <si>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</si>
  <si>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</si>
  <si>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</si>
  <si>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</si>
  <si>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</si>
  <si>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</si>
  <si>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</si>
  <si>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</si>
  <si>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</si>
  <si>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</si>
  <si>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</si>
  <si>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</si>
  <si>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</si>
  <si>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</si>
  <si>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</si>
  <si>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</si>
  <si>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</si>
  <si>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</si>
  <si>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</si>
  <si>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</si>
  <si>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</si>
  <si>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</si>
  <si>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</si>
  <si>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</si>
  <si>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</si>
  <si>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</si>
  <si>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</si>
  <si>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</si>
  <si>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</si>
  <si>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</si>
  <si>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</si>
  <si>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</si>
  <si>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</si>
  <si>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</si>
  <si>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</si>
  <si>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</si>
  <si>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</si>
  <si>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</si>
  <si>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</si>
  <si>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</si>
  <si>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</si>
  <si>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</si>
  <si>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</si>
  <si>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</si>
  <si>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</si>
  <si>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</si>
  <si>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</si>
  <si>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</si>
  <si>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</si>
  <si>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</si>
  <si>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</si>
  <si>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</si>
  <si>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</si>
  <si>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</si>
  <si>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</si>
  <si>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</si>
  <si>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</si>
  <si>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</si>
  <si>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</si>
  <si>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</si>
  <si>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</si>
  <si>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</si>
  <si>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</si>
  <si>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</si>
  <si>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</si>
  <si>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</si>
  <si>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</si>
  <si>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</si>
  <si>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</si>
  <si>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</si>
  <si>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</si>
  <si>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</si>
  <si>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</si>
  <si>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</si>
  <si>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</si>
  <si>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</si>
  <si>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</si>
  <si>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</si>
  <si>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</si>
  <si>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</si>
  <si>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</si>
  <si>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</si>
  <si>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</si>
  <si>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</si>
  <si>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</si>
  <si>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</si>
  <si>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</si>
  <si>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</si>
  <si>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</si>
  <si>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</si>
  <si>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</si>
  <si>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</si>
  <si>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</si>
  <si>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</si>
  <si>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</si>
  <si>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</si>
  <si>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</si>
  <si>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</si>
  <si>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</si>
  <si>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</si>
  <si>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</si>
  <si>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</si>
  <si>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</si>
  <si>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</si>
  <si>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</si>
  <si>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</si>
  <si>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</si>
  <si>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</si>
  <si>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</si>
  <si>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</si>
  <si>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</si>
  <si>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</si>
  <si>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</si>
  <si>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</si>
  <si>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</si>
  <si>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</si>
  <si>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</si>
  <si>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</si>
  <si>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</si>
  <si>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</si>
  <si>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</si>
  <si>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</si>
  <si>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</si>
  <si>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</si>
  <si>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</si>
  <si>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</si>
  <si>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</si>
  <si>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</si>
  <si>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</si>
  <si>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</si>
  <si>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</si>
  <si>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</si>
  <si>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</si>
  <si>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</si>
  <si>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</si>
  <si>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</si>
  <si>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</si>
  <si>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</si>
  <si>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</si>
  <si>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</si>
  <si>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</si>
  <si>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</si>
  <si>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</si>
  <si>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</si>
  <si>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</si>
  <si>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</si>
  <si>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</si>
  <si>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</si>
  <si>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</si>
  <si>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</si>
  <si>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</si>
  <si>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</si>
  <si>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</si>
  <si>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</si>
  <si>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</si>
  <si>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</si>
  <si>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</si>
  <si>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</si>
  <si>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</si>
  <si>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</si>
  <si>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</si>
  <si>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</si>
  <si>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</si>
  <si>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</si>
  <si>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</si>
  <si>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</si>
  <si>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</si>
  <si>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</si>
  <si>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</si>
  <si>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</si>
  <si>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</si>
  <si>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</si>
  <si>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</si>
  <si>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</si>
  <si>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</si>
  <si>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</si>
  <si>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</si>
  <si>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</si>
  <si>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</si>
  <si>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</si>
  <si>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</si>
  <si>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</si>
  <si>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</si>
  <si>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</si>
  <si>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</si>
  <si>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</si>
  <si>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</si>
  <si>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</si>
  <si>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</si>
  <si>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</si>
  <si>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</si>
  <si>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</si>
  <si>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</si>
  <si>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</si>
  <si>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</si>
  <si>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</si>
  <si>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</si>
  <si>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</si>
  <si>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</si>
  <si>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</si>
  <si>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</si>
  <si>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</si>
  <si>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</si>
  <si>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</si>
  <si>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</si>
  <si>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</si>
  <si>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</si>
  <si>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</si>
  <si>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</si>
  <si>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</si>
  <si>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</si>
  <si>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</si>
  <si>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</si>
  <si>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</si>
  <si>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</si>
  <si>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</si>
  <si>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</si>
  <si>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</si>
  <si>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</si>
  <si>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</si>
  <si>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</si>
  <si>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</si>
  <si>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</si>
  <si>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</si>
  <si>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</si>
  <si>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</si>
  <si>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</si>
  <si>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</si>
  <si>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</si>
  <si>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</si>
  <si>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</si>
  <si>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</si>
  <si>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</si>
  <si>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</si>
  <si>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</si>
  <si>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</si>
  <si>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</si>
  <si>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</si>
  <si>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</si>
  <si>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</si>
  <si>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</si>
  <si>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</si>
  <si>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</si>
  <si>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</si>
  <si>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</si>
  <si>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</si>
  <si>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</si>
  <si>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</si>
  <si>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</si>
  <si>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</si>
  <si>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</si>
  <si>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</si>
  <si>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</si>
  <si>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</si>
  <si>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</si>
  <si>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</si>
  <si>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</si>
  <si>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</si>
  <si>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</si>
  <si>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</si>
  <si>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</si>
  <si>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</si>
  <si>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</si>
  <si>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</si>
  <si>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</si>
  <si>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</si>
  <si>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</si>
  <si>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</si>
  <si>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</si>
  <si>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</si>
  <si>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</si>
  <si>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</si>
  <si>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</si>
  <si>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</si>
  <si>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</si>
  <si>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</si>
  <si>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</si>
  <si>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</si>
  <si>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</si>
  <si>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</si>
  <si>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</si>
  <si>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</si>
  <si>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</si>
  <si>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</si>
  <si>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</si>
  <si>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</si>
  <si>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</si>
  <si>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</si>
  <si>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</si>
  <si>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</si>
  <si>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</si>
  <si>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</si>
  <si>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</si>
  <si>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</si>
  <si>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</si>
  <si>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</si>
  <si>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</si>
  <si>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</si>
  <si>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</si>
  <si>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</si>
  <si>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</si>
  <si>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</si>
  <si>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</si>
  <si>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</si>
  <si>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</si>
  <si>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</si>
  <si>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</si>
  <si>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</si>
  <si>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</si>
  <si>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</si>
  <si>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</si>
  <si>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</si>
  <si>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</si>
  <si>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</si>
  <si>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</si>
  <si>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</si>
  <si>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</si>
  <si>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</si>
  <si>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</si>
  <si>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</si>
  <si>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</si>
  <si>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</si>
  <si>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</si>
  <si>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</si>
  <si>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</si>
  <si>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</si>
  <si>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</si>
  <si>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</si>
  <si>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</si>
  <si>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</si>
  <si>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</si>
  <si>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</si>
  <si>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</si>
  <si>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</si>
  <si>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</si>
  <si>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</si>
  <si>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</si>
  <si>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</si>
  <si>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</si>
  <si>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</si>
  <si>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</si>
  <si>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</si>
  <si>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</si>
  <si>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</si>
  <si>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</si>
  <si>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</si>
  <si>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</si>
  <si>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</si>
  <si>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</si>
  <si>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</si>
  <si>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</si>
  <si>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</si>
  <si>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</si>
  <si>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</si>
  <si>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</si>
  <si>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</si>
  <si>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</si>
  <si>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</si>
  <si>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</si>
  <si>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</si>
  <si>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</si>
  <si>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</si>
  <si>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</si>
  <si>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</si>
  <si>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</si>
  <si>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</si>
  <si>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</si>
  <si>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</si>
  <si>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</si>
  <si>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</si>
  <si>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</si>
  <si>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</si>
  <si>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</si>
  <si>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</si>
  <si>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</si>
  <si>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</si>
  <si>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</si>
  <si>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</si>
  <si>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</si>
  <si>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</si>
  <si>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</si>
  <si>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</si>
  <si>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</si>
  <si>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</si>
  <si>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</si>
  <si>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</si>
  <si>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</si>
  <si>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</si>
  <si>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</si>
  <si>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</si>
  <si>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</si>
  <si>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</si>
  <si>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</si>
  <si>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</si>
  <si>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</si>
  <si>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</si>
  <si>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</si>
  <si>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</si>
  <si>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</si>
  <si>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</si>
  <si>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</si>
  <si>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</si>
  <si>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</si>
  <si>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</si>
  <si>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</si>
  <si>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</si>
  <si>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</si>
  <si>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</si>
  <si>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</si>
  <si>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</si>
  <si>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</si>
  <si>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</si>
  <si>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</si>
  <si>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</si>
  <si>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</si>
  <si>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</si>
  <si>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</si>
  <si>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</si>
  <si>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</si>
  <si>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</si>
  <si>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</si>
  <si>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</si>
  <si>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</si>
  <si>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</si>
  <si>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</si>
  <si>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</si>
  <si>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</si>
  <si>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</si>
  <si>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</si>
  <si>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</si>
  <si>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</si>
  <si>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</si>
  <si>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</si>
  <si>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</si>
  <si>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</si>
  <si>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</si>
  <si>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</si>
  <si>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</si>
  <si>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</si>
  <si>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</si>
  <si>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</si>
  <si>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</si>
  <si>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</si>
  <si>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</si>
  <si>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</si>
  <si>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</si>
  <si>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</si>
  <si>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</si>
  <si>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</si>
  <si>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</si>
  <si>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</si>
  <si>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</si>
  <si>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</si>
  <si>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</si>
  <si>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</si>
  <si>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</si>
  <si>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</si>
  <si>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</si>
  <si>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</si>
  <si>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</si>
  <si>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</si>
  <si>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</si>
  <si>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</si>
  <si>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</si>
  <si>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</si>
  <si>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</si>
  <si>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</si>
  <si>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</si>
  <si>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</si>
  <si>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</si>
  <si>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</si>
  <si>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</si>
  <si>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</si>
  <si>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</si>
  <si>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</si>
  <si>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</si>
  <si>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</si>
  <si>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</si>
  <si>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</si>
  <si>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</si>
  <si>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</si>
  <si>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</si>
  <si>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</si>
  <si>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</si>
  <si>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</si>
  <si>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</si>
  <si>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</si>
  <si>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</si>
  <si>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</si>
  <si>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</si>
  <si>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</si>
  <si>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</si>
  <si>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</si>
  <si>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</si>
  <si>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</si>
  <si>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</si>
  <si>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</si>
  <si>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</si>
  <si>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</si>
  <si>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</si>
  <si>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</si>
  <si>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</si>
  <si>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</si>
  <si>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</si>
  <si>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</si>
  <si>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</si>
  <si>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</si>
  <si>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</si>
  <si>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</si>
  <si>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</si>
  <si>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</si>
  <si>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</si>
  <si>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</si>
  <si>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</si>
  <si>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</si>
  <si>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</si>
  <si>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</si>
  <si>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</si>
  <si>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</si>
  <si>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</si>
  <si>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</si>
  <si>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</si>
  <si>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</si>
  <si>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</si>
  <si>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</si>
  <si>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</si>
  <si>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</si>
  <si>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</si>
  <si>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</si>
  <si>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</si>
  <si>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</si>
  <si>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</si>
  <si>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</si>
  <si>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</si>
  <si>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</si>
  <si>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</si>
  <si>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</si>
  <si>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</si>
  <si>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</si>
  <si>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</si>
  <si>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</si>
  <si>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</si>
  <si>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</si>
  <si>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</si>
  <si>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</si>
  <si>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</si>
  <si>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</si>
  <si>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</si>
  <si>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</si>
  <si>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</si>
  <si>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</si>
  <si>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</si>
  <si>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</si>
  <si>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</si>
  <si>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</si>
  <si>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</si>
  <si>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</si>
  <si>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</si>
  <si>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</si>
  <si>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</si>
  <si>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</si>
  <si>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</si>
  <si>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</si>
  <si>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</si>
  <si>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</si>
  <si>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</si>
  <si>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</si>
  <si>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</si>
  <si>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</si>
  <si>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</si>
  <si>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</si>
  <si>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</si>
  <si>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</si>
  <si>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</si>
  <si>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</si>
  <si>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</si>
  <si>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</si>
  <si>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</si>
  <si>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</si>
  <si>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</si>
  <si>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</si>
  <si>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</si>
  <si>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</si>
  <si>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</si>
  <si>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</si>
  <si>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</si>
  <si>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</si>
  <si>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</si>
  <si>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</si>
  <si>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</si>
  <si>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</si>
  <si>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</si>
  <si>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</si>
  <si>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</si>
  <si>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</si>
  <si>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</si>
  <si>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</si>
  <si>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</si>
  <si>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</si>
  <si>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</si>
  <si>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</si>
  <si>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</si>
  <si>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</si>
  <si>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</si>
  <si>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</si>
  <si>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</si>
  <si>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</si>
  <si>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</si>
  <si>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</si>
  <si>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</si>
  <si>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</si>
  <si>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</si>
  <si>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</si>
  <si>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</si>
  <si>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</si>
  <si>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</si>
  <si>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</si>
  <si>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</si>
  <si>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</si>
  <si>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</si>
  <si>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</si>
  <si>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</si>
  <si>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</si>
  <si>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</si>
  <si>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</si>
  <si>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</si>
  <si>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</si>
  <si>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</si>
  <si>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</si>
  <si>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</si>
  <si>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</si>
  <si>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</si>
  <si>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</si>
  <si>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</si>
  <si>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</si>
  <si>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</si>
  <si>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</si>
  <si>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</si>
  <si>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</si>
  <si>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</si>
  <si>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</si>
  <si>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</si>
  <si>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</si>
  <si>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</si>
  <si>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</si>
  <si>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</si>
  <si>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</si>
  <si>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</si>
  <si>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</si>
  <si>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</si>
  <si>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</si>
  <si>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</si>
  <si>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</si>
  <si>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</si>
  <si>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</si>
  <si>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</si>
  <si>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</si>
  <si>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</si>
  <si>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</si>
  <si>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</si>
  <si>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</si>
  <si>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</si>
  <si>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</si>
  <si>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</si>
  <si>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</si>
  <si>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</si>
  <si>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</si>
  <si>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</si>
  <si>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</si>
  <si>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</si>
  <si>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</si>
  <si>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</si>
  <si>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</si>
  <si>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</si>
  <si>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</si>
  <si>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</si>
  <si>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</si>
  <si>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</si>
  <si>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</si>
  <si>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</si>
  <si>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</si>
  <si>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</si>
  <si>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</si>
  <si>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</si>
  <si>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</si>
  <si>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</si>
  <si>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</si>
  <si>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</si>
  <si>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</si>
  <si>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</si>
  <si>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</si>
  <si>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</si>
  <si>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</si>
  <si>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</si>
  <si>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</si>
  <si>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</si>
  <si>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</si>
  <si>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</si>
  <si>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</si>
  <si>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</si>
  <si>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</si>
  <si>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</si>
  <si>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</si>
  <si>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</si>
  <si>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</si>
  <si>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</si>
  <si>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</si>
  <si>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</si>
  <si>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</si>
  <si>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</si>
  <si>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</si>
  <si>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</si>
  <si>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</si>
  <si>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</si>
  <si>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</si>
  <si>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</si>
  <si>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</si>
  <si>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</si>
  <si>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</si>
  <si>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</si>
  <si>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</si>
  <si>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</si>
  <si>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</si>
  <si>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</si>
  <si>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</si>
  <si>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</si>
  <si>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</si>
  <si>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</si>
  <si>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</si>
  <si>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</si>
  <si>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</si>
  <si>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</si>
  <si>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</si>
  <si>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</si>
  <si>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</si>
  <si>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</si>
  <si>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</si>
  <si>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</si>
  <si>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</si>
  <si>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</si>
  <si>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</si>
  <si>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</si>
  <si>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</si>
  <si>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</si>
  <si>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</si>
  <si>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</si>
  <si>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</si>
  <si>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</si>
  <si>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</si>
  <si>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</si>
  <si>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</si>
  <si>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</si>
  <si>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</si>
  <si>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</si>
  <si>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</si>
  <si>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</si>
  <si>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</si>
  <si>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</si>
  <si>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</si>
  <si>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</si>
  <si>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</si>
  <si>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</si>
  <si>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</si>
  <si>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</si>
  <si>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</si>
  <si>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</si>
  <si>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</si>
  <si>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</si>
  <si>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</si>
  <si>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</si>
  <si>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</si>
  <si>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</si>
  <si>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</si>
  <si>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</si>
  <si>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</si>
  <si>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</si>
  <si>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</si>
  <si>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</si>
  <si>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</si>
  <si>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</si>
  <si>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</si>
  <si>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</si>
  <si>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</si>
  <si>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</si>
  <si>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</si>
  <si>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</si>
  <si>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</si>
  <si>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</si>
  <si>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</si>
  <si>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</si>
  <si>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</si>
  <si>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</si>
  <si>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</si>
  <si>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</si>
  <si>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</si>
  <si>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</si>
  <si>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</si>
  <si>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</si>
  <si>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</si>
  <si>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</si>
  <si>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</si>
  <si>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</si>
  <si>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</si>
  <si>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</si>
  <si>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</si>
  <si>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</si>
  <si>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</si>
  <si>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</si>
  <si>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</si>
  <si>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</si>
  <si>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</si>
  <si>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</si>
  <si>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</si>
  <si>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</si>
  <si>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</si>
  <si>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</si>
  <si>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</si>
  <si>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</si>
  <si>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</si>
  <si>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</si>
  <si>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</si>
  <si>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</si>
  <si>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</si>
  <si>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</si>
  <si>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</si>
  <si>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</si>
  <si>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</si>
  <si>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</si>
  <si>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</si>
  <si>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</si>
  <si>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</si>
  <si>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</si>
  <si>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</si>
  <si>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</si>
  <si>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</si>
  <si>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</si>
  <si>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</si>
  <si>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</si>
  <si>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</si>
  <si>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</si>
  <si>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</si>
  <si>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</si>
  <si>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</si>
  <si>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</si>
  <si>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</si>
  <si>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</si>
  <si>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</si>
  <si>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</si>
  <si>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</si>
  <si>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</si>
  <si>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</si>
  <si>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</si>
  <si>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</si>
  <si>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</si>
  <si>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</si>
  <si>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</si>
  <si>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</si>
  <si>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</si>
  <si>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</si>
  <si>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</si>
  <si>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</si>
  <si>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</si>
  <si>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</si>
  <si>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</si>
  <si>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</si>
  <si>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</si>
  <si>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</si>
  <si>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</si>
  <si>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</si>
  <si>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</si>
  <si>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</si>
  <si>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</si>
  <si>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</si>
  <si>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</si>
  <si>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</si>
  <si>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</si>
  <si>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</si>
  <si>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</si>
  <si>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</si>
  <si>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</si>
  <si>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</si>
  <si>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</si>
  <si>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</si>
  <si>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</si>
  <si>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</si>
  <si>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</si>
  <si>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</si>
  <si>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</si>
  <si>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</si>
  <si>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</si>
  <si>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</si>
  <si>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</si>
  <si>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</si>
  <si>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</si>
  <si>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</si>
  <si>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</si>
  <si>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</si>
  <si>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</si>
  <si>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</si>
  <si>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</si>
  <si>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</si>
  <si>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</si>
  <si>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</si>
  <si>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</si>
  <si>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</si>
  <si>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</si>
  <si>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</si>
  <si>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</si>
  <si>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</si>
  <si>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</si>
  <si>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</si>
  <si>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</si>
  <si>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</si>
  <si>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</si>
  <si>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</si>
  <si>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</si>
  <si>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</si>
  <si>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</si>
  <si>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</si>
  <si>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</si>
  <si>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</si>
  <si>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</si>
  <si>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</si>
  <si>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</si>
  <si>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</si>
  <si>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</si>
  <si>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</si>
  <si>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</si>
  <si>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</si>
  <si>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</si>
  <si>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</si>
  <si>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</si>
  <si>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</si>
  <si>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</si>
  <si>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</si>
  <si>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</si>
  <si>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</si>
  <si>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</si>
  <si>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</si>
  <si>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</si>
  <si>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</si>
  <si>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</si>
  <si>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</si>
  <si>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</si>
  <si>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</si>
  <si>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</si>
  <si>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</si>
  <si>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</si>
  <si>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</si>
  <si>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</si>
  <si>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</si>
  <si>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</si>
  <si>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</si>
  <si>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</si>
  <si>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</si>
  <si>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</si>
  <si>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</si>
  <si>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</si>
  <si>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</si>
  <si>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</si>
  <si>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</si>
  <si>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</si>
  <si>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</si>
  <si>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</si>
  <si>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</si>
  <si>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</si>
  <si>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</si>
  <si>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</si>
  <si>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</si>
  <si>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</si>
  <si>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</si>
  <si>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</si>
  <si>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</si>
  <si>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</si>
  <si>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</si>
  <si>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</si>
  <si>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</si>
  <si>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</si>
  <si>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</si>
  <si>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</si>
  <si>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</si>
  <si>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</si>
  <si>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</si>
  <si>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</si>
  <si>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</si>
  <si>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</si>
  <si>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</si>
  <si>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</si>
  <si>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</si>
  <si>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</si>
  <si>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</si>
  <si>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</si>
  <si>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</si>
  <si>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</si>
  <si>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</si>
  <si>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</si>
  <si>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</si>
  <si>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</si>
  <si>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</si>
  <si>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</si>
  <si>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</si>
  <si>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</si>
  <si>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</si>
  <si>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</si>
  <si>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</si>
  <si>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</si>
  <si>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</si>
  <si>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</si>
  <si>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</si>
  <si>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</si>
  <si>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</si>
  <si>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</si>
  <si>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</si>
  <si>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</si>
  <si>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</si>
  <si>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</si>
  <si>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</si>
  <si>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</si>
  <si>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</si>
  <si>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</si>
  <si>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</si>
  <si>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</si>
  <si>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</si>
  <si>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</si>
  <si>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</si>
  <si>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</si>
  <si>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</si>
  <si>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</si>
  <si>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</si>
  <si>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</si>
  <si>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</si>
  <si>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</si>
  <si>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</si>
  <si>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</si>
  <si>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</si>
  <si>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</si>
  <si>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</si>
  <si>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</si>
  <si>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</si>
  <si>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</si>
  <si>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</si>
  <si>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</si>
  <si>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</si>
  <si>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</si>
  <si>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</si>
  <si>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</si>
  <si>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</si>
  <si>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</si>
  <si>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</si>
  <si>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</si>
  <si>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</si>
  <si>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</si>
  <si>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</si>
  <si>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</si>
  <si>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</si>
  <si>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</si>
  <si>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</si>
  <si>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</si>
  <si>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</si>
  <si>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</si>
  <si>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</si>
  <si>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</si>
  <si>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</si>
  <si>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</si>
  <si>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</si>
  <si>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</si>
  <si>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</si>
  <si>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</si>
  <si>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</si>
  <si>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</si>
  <si>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</si>
  <si>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</si>
  <si>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</si>
  <si>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</si>
  <si>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</si>
  <si>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</si>
  <si>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</si>
  <si>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</si>
  <si>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</si>
  <si>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</si>
  <si>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</si>
  <si>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</si>
  <si>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</si>
  <si>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</si>
  <si>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</si>
  <si>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</si>
  <si>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</si>
  <si>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</si>
  <si>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</si>
  <si>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</si>
  <si>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</si>
  <si>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</si>
  <si>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</si>
  <si>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</si>
  <si>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</si>
  <si>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</si>
  <si>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</si>
  <si>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</si>
  <si>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</si>
  <si>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</si>
  <si>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</si>
  <si>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</si>
  <si>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</si>
  <si>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</si>
  <si>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</si>
  <si>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</si>
  <si>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</si>
  <si>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</si>
  <si>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</si>
  <si>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</si>
  <si>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</si>
  <si>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</si>
  <si>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</si>
  <si>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</si>
  <si>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</si>
  <si>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</si>
  <si>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</si>
  <si>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</si>
  <si>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</si>
  <si>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</si>
  <si>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</si>
  <si>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</si>
  <si>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</si>
  <si>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</si>
  <si>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</si>
  <si>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</si>
  <si>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</si>
  <si>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</si>
  <si>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</si>
  <si>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</si>
  <si>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</si>
  <si>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</si>
  <si>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</si>
  <si>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</si>
  <si>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</si>
  <si>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</si>
  <si>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</si>
  <si>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</si>
  <si>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</si>
  <si>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</si>
  <si>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</si>
  <si>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</si>
  <si>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</si>
  <si>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</si>
  <si>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</si>
  <si>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</si>
  <si>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</si>
  <si>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</si>
  <si>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</si>
  <si>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</si>
  <si>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</si>
  <si>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</si>
  <si>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</si>
  <si>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</si>
  <si>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</si>
  <si>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</si>
  <si>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</si>
  <si>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</si>
  <si>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</si>
  <si>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</si>
  <si>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</si>
  <si>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</si>
  <si>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</si>
  <si>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</si>
  <si>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</si>
  <si>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</si>
  <si>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</si>
  <si>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</si>
  <si>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</si>
  <si>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</si>
  <si>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</si>
  <si>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</si>
  <si>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</si>
  <si>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</si>
  <si>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</si>
  <si>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</si>
  <si>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</si>
  <si>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</si>
  <si>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</si>
  <si>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</si>
  <si>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</si>
  <si>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</si>
  <si>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</si>
  <si>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</si>
  <si>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</si>
  <si>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</si>
  <si>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</si>
  <si>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</si>
  <si>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</si>
  <si>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</si>
  <si>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</si>
  <si>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</si>
  <si>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</si>
  <si>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</si>
  <si>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</si>
  <si>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</si>
  <si>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</si>
  <si>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</si>
  <si>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</si>
  <si>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</si>
  <si>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</si>
  <si>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</si>
  <si>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</si>
  <si>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</si>
  <si>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</si>
  <si>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</si>
  <si>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</si>
  <si>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</si>
  <si>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</si>
  <si>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</si>
  <si>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</si>
  <si>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</si>
  <si>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</si>
  <si>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</si>
  <si>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</si>
  <si>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</si>
  <si>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</si>
  <si>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</si>
  <si>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</si>
  <si>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</si>
  <si>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</si>
  <si>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</si>
  <si>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</si>
  <si>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</si>
  <si>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</si>
  <si>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</si>
  <si>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</si>
  <si>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</si>
  <si>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</si>
  <si>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</si>
  <si>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</si>
  <si>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</si>
  <si>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</si>
  <si>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</si>
  <si>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</si>
  <si>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</si>
  <si>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</si>
  <si>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</si>
  <si>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</si>
  <si>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</si>
  <si>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</si>
  <si>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</si>
  <si>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</si>
  <si>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</si>
  <si>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</si>
  <si>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</si>
  <si>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</si>
  <si>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</si>
  <si>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</si>
  <si>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</si>
  <si>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</si>
  <si>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</si>
  <si>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</si>
  <si>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</si>
  <si>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</si>
  <si>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</si>
  <si>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</si>
  <si>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</si>
  <si>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</si>
  <si>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</si>
  <si>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</si>
  <si>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</si>
  <si>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</si>
  <si>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</si>
  <si>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</si>
  <si>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</si>
  <si>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</si>
  <si>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</si>
  <si>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</si>
  <si>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</si>
  <si>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</si>
  <si>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</si>
  <si>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</si>
  <si>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</si>
  <si>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</si>
  <si>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</si>
  <si>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</si>
  <si>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</si>
  <si>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</si>
  <si>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</si>
  <si>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</si>
  <si>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</si>
  <si>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</si>
  <si>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</si>
  <si>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</si>
  <si>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</si>
  <si>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</si>
  <si>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</si>
  <si>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</si>
  <si>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</si>
  <si>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</si>
  <si>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</si>
  <si>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</si>
  <si>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</si>
  <si>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</si>
  <si>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</si>
  <si>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</si>
  <si>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</si>
  <si>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</si>
  <si>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</si>
  <si>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</si>
  <si>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</si>
  <si>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</si>
  <si>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</si>
  <si>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</si>
  <si>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</si>
  <si>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</si>
  <si>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</si>
  <si>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</si>
  <si>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</si>
  <si>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</si>
  <si>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</si>
  <si>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</si>
  <si>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</si>
  <si>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</si>
  <si>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</si>
  <si>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</si>
  <si>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</si>
  <si>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</si>
  <si>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</si>
  <si>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</si>
  <si>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</si>
  <si>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</si>
  <si>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</si>
  <si>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</si>
  <si>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</si>
  <si>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</si>
  <si>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</si>
  <si>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</si>
  <si>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</si>
  <si>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</si>
  <si>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</si>
  <si>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</si>
  <si>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</si>
  <si>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</si>
  <si>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</si>
  <si>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</si>
  <si>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</si>
  <si>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</si>
  <si>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</si>
  <si>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</si>
  <si>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</si>
  <si>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</si>
  <si>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</si>
  <si>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</si>
  <si>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</si>
  <si>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</si>
  <si>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</si>
  <si>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</si>
  <si>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</si>
  <si>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</si>
  <si>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</si>
  <si>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</si>
  <si>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</si>
  <si>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</si>
  <si>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</si>
  <si>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</si>
  <si>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</si>
  <si>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</si>
  <si>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</si>
  <si>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</si>
  <si>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</si>
  <si>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</si>
  <si>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</si>
  <si>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</si>
  <si>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</si>
  <si>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</si>
  <si>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</si>
  <si>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</si>
  <si>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</si>
  <si>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</si>
  <si>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</si>
  <si>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</si>
  <si>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</si>
  <si>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</si>
  <si>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</si>
  <si>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</si>
  <si>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</si>
  <si>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</si>
  <si>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</si>
  <si>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</si>
  <si>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</si>
  <si>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</si>
  <si>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</si>
  <si>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</si>
  <si>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</si>
  <si>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</si>
  <si>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</si>
  <si>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</si>
  <si>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</si>
  <si>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</si>
  <si>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</si>
  <si>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</si>
  <si>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</si>
  <si>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</si>
  <si>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</si>
  <si>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</si>
  <si>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</si>
  <si>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</si>
  <si>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</si>
  <si>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</si>
  <si>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</si>
  <si>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</si>
  <si>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</si>
  <si>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</si>
  <si>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</si>
  <si>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</si>
  <si>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</si>
  <si>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</si>
  <si>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</si>
  <si>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</si>
  <si>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</si>
  <si>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</si>
  <si>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</si>
  <si>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</si>
  <si>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</si>
  <si>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</si>
  <si>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</si>
  <si>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</si>
  <si>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</si>
  <si>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</si>
  <si>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</si>
  <si>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</si>
  <si>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</si>
  <si>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</si>
  <si>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</si>
  <si>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</si>
  <si>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</si>
  <si>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</si>
  <si>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</si>
  <si>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</si>
  <si>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</si>
  <si>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</si>
  <si>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</si>
  <si>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</si>
  <si>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</si>
  <si>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</si>
  <si>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</si>
  <si>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</si>
  <si>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</si>
  <si>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</si>
  <si>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</si>
  <si>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</si>
  <si>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</si>
  <si>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</si>
  <si>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</si>
  <si>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</si>
  <si>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</si>
  <si>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</si>
  <si>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</si>
  <si>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</si>
  <si>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</si>
  <si>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</si>
  <si>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</si>
  <si>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</si>
  <si>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</si>
  <si>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</si>
  <si>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</si>
  <si>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</si>
  <si>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</si>
  <si>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</si>
  <si>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</si>
  <si>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</si>
  <si>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</si>
  <si>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</si>
  <si>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</si>
  <si>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</si>
  <si>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</si>
  <si>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</si>
  <si>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</si>
  <si>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</si>
  <si>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</si>
  <si>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</si>
  <si>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</si>
  <si>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</si>
  <si>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</si>
  <si>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</si>
  <si>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</si>
  <si>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</si>
  <si>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</si>
  <si>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</si>
  <si>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</si>
  <si>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</si>
  <si>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</si>
  <si>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</si>
  <si>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</si>
  <si>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</si>
  <si>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</si>
  <si>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</si>
  <si>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</si>
  <si>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</si>
  <si>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</si>
  <si>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</si>
  <si>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</si>
  <si>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</si>
  <si>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</si>
  <si>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</si>
  <si>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</si>
  <si>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</si>
  <si>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</si>
  <si>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</si>
  <si>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</si>
  <si>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</si>
  <si>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</si>
  <si>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</si>
  <si>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</si>
  <si>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</si>
  <si>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</si>
  <si>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</si>
  <si>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</si>
  <si>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</si>
  <si>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</si>
  <si>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</si>
  <si>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</si>
  <si>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</si>
  <si>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</si>
  <si>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</si>
  <si>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</si>
  <si>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</si>
  <si>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</si>
  <si>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</si>
  <si>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</si>
  <si>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</si>
  <si>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</si>
  <si>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</si>
  <si>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</si>
  <si>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</si>
  <si>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</si>
  <si>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</si>
  <si>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</si>
  <si>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</si>
  <si>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</si>
  <si>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</si>
  <si>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</si>
  <si>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</si>
  <si>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</si>
  <si>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</si>
  <si>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</si>
  <si>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</si>
  <si>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</si>
  <si>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</si>
  <si>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</si>
  <si>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</si>
  <si>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</si>
  <si>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</si>
  <si>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</si>
  <si>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</si>
  <si>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</si>
  <si>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</si>
  <si>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</si>
  <si>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</si>
  <si>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</si>
  <si>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</si>
  <si>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</si>
  <si>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</si>
  <si>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</si>
  <si>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</si>
  <si>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</si>
  <si>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</si>
  <si>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</si>
  <si>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</si>
  <si>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</si>
  <si>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</si>
  <si>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</si>
  <si>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</si>
  <si>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</si>
  <si>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</si>
  <si>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</si>
  <si>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</si>
  <si>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</si>
  <si>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</si>
  <si>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</si>
  <si>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</si>
  <si>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</si>
  <si>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</si>
  <si>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</si>
  <si>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</si>
  <si>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</si>
  <si>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</si>
  <si>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</si>
  <si>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</si>
  <si>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</si>
  <si>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</si>
  <si>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</si>
  <si>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</si>
  <si>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</si>
  <si>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</si>
  <si>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</si>
  <si>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</si>
  <si>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</si>
  <si>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</si>
  <si>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</si>
  <si>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</si>
  <si>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</si>
  <si>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</si>
  <si>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</si>
  <si>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</si>
  <si>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</si>
  <si>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</si>
  <si>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</si>
  <si>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</si>
  <si>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</si>
  <si>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</si>
  <si>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</si>
  <si>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</si>
  <si>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</si>
  <si>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</si>
  <si>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</si>
  <si>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</si>
  <si>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</si>
  <si>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</si>
  <si>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</si>
  <si>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</si>
  <si>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</si>
  <si>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</si>
  <si>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</si>
  <si>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</si>
  <si>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</si>
  <si>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</si>
  <si>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</si>
  <si>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</si>
  <si>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</si>
  <si>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</si>
  <si>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</si>
  <si>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</si>
  <si>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</si>
  <si>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</si>
  <si>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</si>
  <si>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</si>
  <si>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</si>
  <si>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</si>
  <si>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</si>
  <si>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</si>
  <si>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</si>
  <si>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</si>
  <si>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</si>
  <si>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</si>
  <si>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</si>
  <si>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</si>
  <si>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</si>
  <si>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</si>
  <si>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</si>
  <si>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</si>
  <si>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</si>
  <si>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</si>
  <si>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</si>
  <si>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</si>
  <si>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</si>
  <si>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</si>
  <si>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</si>
  <si>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</si>
  <si>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</si>
  <si>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</si>
  <si>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</si>
  <si>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</si>
  <si>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</si>
  <si>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</si>
  <si>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</si>
  <si>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</si>
  <si>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</si>
  <si>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</si>
  <si>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</si>
  <si>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</si>
  <si>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</si>
  <si>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</si>
  <si>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</si>
  <si>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</si>
  <si>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</si>
  <si>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</si>
  <si>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</si>
  <si>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</si>
  <si>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</si>
  <si>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</si>
  <si>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</si>
  <si>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</si>
  <si>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</si>
  <si>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</si>
  <si>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</si>
  <si>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</si>
  <si>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</si>
  <si>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</si>
  <si>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</si>
  <si>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</si>
  <si>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</si>
  <si>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</si>
  <si>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</si>
  <si>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</si>
  <si>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</si>
  <si>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</si>
  <si>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</si>
  <si>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</si>
  <si>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</si>
  <si>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</si>
  <si>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</si>
  <si>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</si>
  <si>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</si>
  <si>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</si>
  <si>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</si>
  <si>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</si>
  <si>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</si>
  <si>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</si>
  <si>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</si>
  <si>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</si>
  <si>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</si>
  <si>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</si>
  <si>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</si>
  <si>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</si>
  <si>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</si>
  <si>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</si>
  <si>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</si>
  <si>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</si>
  <si>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</si>
  <si>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</si>
  <si>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</si>
  <si>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</si>
  <si>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</si>
  <si>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</si>
  <si>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</si>
  <si>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</si>
  <si>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</si>
  <si>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</si>
  <si>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</si>
  <si>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</si>
  <si>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</si>
  <si>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</si>
  <si>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</si>
  <si>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</si>
  <si>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</si>
  <si>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</si>
  <si>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</si>
  <si>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</si>
  <si>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</si>
  <si>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</si>
  <si>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</si>
  <si>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</si>
  <si>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</si>
  <si>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</si>
  <si>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</si>
  <si>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</si>
  <si>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</si>
  <si>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</si>
  <si>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</si>
  <si>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</si>
  <si>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</si>
  <si>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</si>
  <si>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</si>
  <si>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</si>
  <si>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</si>
  <si>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</si>
  <si>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</si>
  <si>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</si>
  <si>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</si>
  <si>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</si>
  <si>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</si>
  <si>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</si>
  <si>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</si>
  <si>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</si>
  <si>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</si>
  <si>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</si>
  <si>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</si>
  <si>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</si>
  <si>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</si>
  <si>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</si>
  <si>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</si>
  <si>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</si>
  <si>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</si>
  <si>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</si>
  <si>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</si>
  <si>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</si>
  <si>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</si>
  <si>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</si>
  <si>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</si>
  <si>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</si>
  <si>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</si>
  <si>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</si>
  <si>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</si>
  <si>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</si>
  <si>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</si>
  <si>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</si>
  <si>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</si>
  <si>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</si>
  <si>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</si>
  <si>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</si>
  <si>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</si>
  <si>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</si>
  <si>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</si>
  <si>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</si>
  <si>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</si>
  <si>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</si>
  <si>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</si>
  <si>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</si>
  <si>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</si>
  <si>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</si>
  <si>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</si>
  <si>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</si>
  <si>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</si>
  <si>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</si>
  <si>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</si>
  <si>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</si>
  <si>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</si>
  <si>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</si>
  <si>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</si>
  <si>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</si>
  <si>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</si>
  <si>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</si>
  <si>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</si>
  <si>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</si>
  <si>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</si>
  <si>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</si>
  <si>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</si>
  <si>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</si>
  <si>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</si>
  <si>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</si>
  <si>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</si>
  <si>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</si>
  <si>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</si>
  <si>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</si>
  <si>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</si>
  <si>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</si>
  <si>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</si>
  <si>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</si>
  <si>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</si>
  <si>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</si>
  <si>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</si>
  <si>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</si>
  <si>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</si>
  <si>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</si>
  <si>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</si>
  <si>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</si>
  <si>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</si>
  <si>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</si>
  <si>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</si>
  <si>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</si>
  <si>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</si>
  <si>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</si>
  <si>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</si>
  <si>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</si>
  <si>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</si>
  <si>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</si>
  <si>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</si>
  <si>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</si>
  <si>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</si>
  <si>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</si>
  <si>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</si>
  <si>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</si>
  <si>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</si>
  <si>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</si>
  <si>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</si>
  <si>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</si>
  <si>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</si>
  <si>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</si>
  <si>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</si>
  <si>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</si>
  <si>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</si>
  <si>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</si>
  <si>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</si>
  <si>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</si>
  <si>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</si>
  <si>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</si>
  <si>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</si>
  <si>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</si>
  <si>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</si>
  <si>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</si>
  <si>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</si>
  <si>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</si>
  <si>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</si>
  <si>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</si>
  <si>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</si>
  <si>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</si>
  <si>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</si>
  <si>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</si>
  <si>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</si>
  <si>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</si>
  <si>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</si>
  <si>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</si>
  <si>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</si>
  <si>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</si>
  <si>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</si>
  <si>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</si>
  <si>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</si>
  <si>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</si>
  <si>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</si>
  <si>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</si>
  <si>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</si>
  <si>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</si>
  <si>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</si>
  <si>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</si>
  <si>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</si>
  <si>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</si>
  <si>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</si>
  <si>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</si>
  <si>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</si>
  <si>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</si>
  <si>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</si>
  <si>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</si>
  <si>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</si>
  <si>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</si>
  <si>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</si>
  <si>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</si>
  <si>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</si>
  <si>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</si>
  <si>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</si>
  <si>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</si>
  <si>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</si>
  <si>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</si>
  <si>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</si>
  <si>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</si>
  <si>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</si>
  <si>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</si>
  <si>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</si>
  <si>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</si>
  <si>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</si>
  <si>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</si>
  <si>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</si>
  <si>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</si>
  <si>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</si>
  <si>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</si>
  <si>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</si>
  <si>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</si>
  <si>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</si>
  <si>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</si>
  <si>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</si>
  <si>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</si>
  <si>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</si>
  <si>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</si>
  <si>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</si>
  <si>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</si>
  <si>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</si>
  <si>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</si>
  <si>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</si>
  <si>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</si>
  <si>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</si>
  <si>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</si>
  <si>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</si>
  <si>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</si>
  <si>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</si>
  <si>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</si>
  <si>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</si>
  <si>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</si>
  <si>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</si>
  <si>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</si>
  <si>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</si>
  <si>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</si>
  <si>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</si>
  <si>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</si>
  <si>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</si>
  <si>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</si>
  <si>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</si>
  <si>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</si>
  <si>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</si>
  <si>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</si>
  <si>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</si>
  <si>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</si>
  <si>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</si>
  <si>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</si>
  <si>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</si>
  <si>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</si>
  <si>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</si>
  <si>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</si>
  <si>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</si>
  <si>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</si>
  <si>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</si>
  <si>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</si>
  <si>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</si>
  <si>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</si>
  <si>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</si>
  <si>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</si>
  <si>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</si>
  <si>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</si>
  <si>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</si>
  <si>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</si>
  <si>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</si>
  <si>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</si>
  <si>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</si>
  <si>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</si>
  <si>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</si>
  <si>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</si>
  <si>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</si>
  <si>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</si>
  <si>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</si>
  <si>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</si>
  <si>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</si>
  <si>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</si>
  <si>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</si>
  <si>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</si>
  <si>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</si>
  <si>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</si>
  <si>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</si>
  <si>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</si>
  <si>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</si>
  <si>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</si>
  <si>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</si>
  <si>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</si>
  <si>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</si>
  <si>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</si>
  <si>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</si>
  <si>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</si>
  <si>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</si>
  <si>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</si>
  <si>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</si>
  <si>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</si>
  <si>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</si>
  <si>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</si>
  <si>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</si>
  <si>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</si>
  <si>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</si>
  <si>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</si>
  <si>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</si>
  <si>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</si>
  <si>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</si>
  <si>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</si>
  <si>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</si>
  <si>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</si>
  <si>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</si>
  <si>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</si>
  <si>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</si>
  <si>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</si>
  <si>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</si>
  <si>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</si>
  <si>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</si>
  <si>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</si>
  <si>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</si>
  <si>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</si>
  <si>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</si>
  <si>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</si>
  <si>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</si>
  <si>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</si>
  <si>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</si>
  <si>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</si>
  <si>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</si>
  <si>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</si>
  <si>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</si>
  <si>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</si>
  <si>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</si>
  <si>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</si>
  <si>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</si>
  <si>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</si>
  <si>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</si>
  <si>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</si>
  <si>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</si>
  <si>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</si>
  <si>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</si>
  <si>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</si>
  <si>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</si>
  <si>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</si>
  <si>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</si>
  <si>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</si>
  <si>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</si>
  <si>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</si>
  <si>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</si>
  <si>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</si>
  <si>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</si>
  <si>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</si>
  <si>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</si>
  <si>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</si>
  <si>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</si>
  <si>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</si>
  <si>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</si>
  <si>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</si>
  <si>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</si>
  <si>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</si>
  <si>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</si>
  <si>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</si>
  <si>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</si>
  <si>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</si>
  <si>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</si>
  <si>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</si>
  <si>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</si>
  <si>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</si>
  <si>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</si>
  <si>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</si>
  <si>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</si>
  <si>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</si>
  <si>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</si>
  <si>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</si>
  <si>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</si>
  <si>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</si>
  <si>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</si>
  <si>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</si>
  <si>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</si>
  <si>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</si>
  <si>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</si>
  <si>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</si>
  <si>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</si>
  <si>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</si>
  <si>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</si>
  <si>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</si>
  <si>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</si>
  <si>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</si>
  <si>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</si>
  <si>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</si>
  <si>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</si>
  <si>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</si>
  <si>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</si>
  <si>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</si>
  <si>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</si>
  <si>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</si>
  <si>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</si>
  <si>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</si>
  <si>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</si>
  <si>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</si>
  <si>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</si>
  <si>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</si>
  <si>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</si>
  <si>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</si>
  <si>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</si>
  <si>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</si>
  <si>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</si>
  <si>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</si>
  <si>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</si>
  <si>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</si>
  <si>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</si>
  <si>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</si>
  <si>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</si>
  <si>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</si>
  <si>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</si>
  <si>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</si>
  <si>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</si>
  <si>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</si>
  <si>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</si>
  <si>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</si>
  <si>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</si>
  <si>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</si>
  <si>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</si>
  <si>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</si>
  <si>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</si>
  <si>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</si>
  <si>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</si>
  <si>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</si>
  <si>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</si>
  <si>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</si>
  <si>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</si>
  <si>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</si>
  <si>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</si>
  <si>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</si>
  <si>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</si>
  <si>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</si>
  <si>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</si>
  <si>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</si>
  <si>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</si>
  <si>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</si>
  <si>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</si>
  <si>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</si>
  <si>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</si>
  <si>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</si>
  <si>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</si>
  <si>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</si>
  <si>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</si>
  <si>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</si>
  <si>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</si>
  <si>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</si>
  <si>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</si>
  <si>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</si>
  <si>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</si>
  <si>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</si>
  <si>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</si>
  <si>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</si>
  <si>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</si>
  <si>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</si>
  <si>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</si>
  <si>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</si>
  <si>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</si>
  <si>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</si>
  <si>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</si>
  <si>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</si>
  <si>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</si>
  <si>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</si>
  <si>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</si>
  <si>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</si>
  <si>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</si>
  <si>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</si>
  <si>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</si>
  <si>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</si>
  <si>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</si>
  <si>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</si>
  <si>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</si>
  <si>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</si>
  <si>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</si>
  <si>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</si>
  <si>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</si>
  <si>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</si>
  <si>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</si>
  <si>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</si>
  <si>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</si>
  <si>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</si>
  <si>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</si>
  <si>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</si>
  <si>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</si>
  <si>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</si>
  <si>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</si>
  <si>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</si>
  <si>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</si>
  <si>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</si>
  <si>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</si>
  <si>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</si>
  <si>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</si>
  <si>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</si>
  <si>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</si>
  <si>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</si>
  <si>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</si>
  <si>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</si>
  <si>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</si>
  <si>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</si>
  <si>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</si>
  <si>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</si>
  <si>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</si>
  <si>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</si>
  <si>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</si>
  <si>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</si>
  <si>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</si>
  <si>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</si>
  <si>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</si>
  <si>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</si>
  <si>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</si>
  <si>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</si>
  <si>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</si>
  <si>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</si>
  <si>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</si>
  <si>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</si>
  <si>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</si>
  <si>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</si>
  <si>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</si>
  <si>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</si>
  <si>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</si>
  <si>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</si>
  <si>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</si>
  <si>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</si>
  <si>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</si>
  <si>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</si>
  <si>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</si>
  <si>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</si>
  <si>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</si>
  <si>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</si>
  <si>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</si>
  <si>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</si>
  <si>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</si>
  <si>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</si>
  <si>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</si>
  <si>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</si>
  <si>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</si>
  <si>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</si>
  <si>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</si>
  <si>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</si>
  <si>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</si>
  <si>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</si>
  <si>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</si>
  <si>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</si>
  <si>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</si>
  <si>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</si>
  <si>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</si>
  <si>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</si>
  <si>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</si>
  <si>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</si>
  <si>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</si>
  <si>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</si>
  <si>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</si>
  <si>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</si>
  <si>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</si>
  <si>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</si>
  <si>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</si>
  <si>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</si>
  <si>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</si>
  <si>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</si>
  <si>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</si>
  <si>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</si>
  <si>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</si>
  <si>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</si>
  <si>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</si>
  <si>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</si>
  <si>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</si>
  <si>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</si>
  <si>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</si>
  <si>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</si>
  <si>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</si>
  <si>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</si>
  <si>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</si>
  <si>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</si>
  <si>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</si>
  <si>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</si>
  <si>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</si>
  <si>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</si>
  <si>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</si>
  <si>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</si>
  <si>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</si>
  <si>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</si>
  <si>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</si>
  <si>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</si>
  <si>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</si>
  <si>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</si>
  <si>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</si>
  <si>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</si>
  <si>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</si>
  <si>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</si>
  <si>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</si>
  <si>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</si>
  <si>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</si>
  <si>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</si>
  <si>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</si>
  <si>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</si>
  <si>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</si>
  <si>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</si>
  <si>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</si>
  <si>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</si>
  <si>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</si>
  <si>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</si>
  <si>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</si>
  <si>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</si>
  <si>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</si>
  <si>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</si>
  <si>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</si>
  <si>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</si>
  <si>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</si>
  <si>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</si>
  <si>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</si>
  <si>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</si>
  <si>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</si>
  <si>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</si>
  <si>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</si>
  <si>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</si>
  <si>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</si>
  <si>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</si>
  <si>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</si>
  <si>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</si>
  <si>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</si>
  <si>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</si>
  <si>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</si>
  <si>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</si>
  <si>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</si>
  <si>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</si>
  <si>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</si>
  <si>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</si>
  <si>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</si>
  <si>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</si>
  <si>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</si>
  <si>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</si>
  <si>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</si>
  <si>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</si>
  <si>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</si>
  <si>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</si>
  <si>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</si>
  <si>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</si>
  <si>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</si>
  <si>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</si>
  <si>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</si>
  <si>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</si>
  <si>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</si>
  <si>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</si>
  <si>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</si>
  <si>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</si>
  <si>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</si>
  <si>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</si>
  <si>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</si>
  <si>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</si>
  <si>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</si>
  <si>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</si>
  <si>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</si>
  <si>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</si>
  <si>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</si>
  <si>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</si>
  <si>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</si>
  <si>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</si>
  <si>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</si>
  <si>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成新度</t>
  </si>
  <si>
    <t>单套模式</t>
  </si>
  <si>
    <t>租金</t>
  </si>
  <si>
    <t>开阳里八区底商</t>
  </si>
  <si>
    <t>开阳里八区底商</t>
    <phoneticPr fontId="3" type="noConversion"/>
  </si>
  <si>
    <t>地下</t>
  </si>
  <si>
    <t>西铁营万达广场地下一层档口</t>
    <phoneticPr fontId="134" type="noConversion"/>
  </si>
  <si>
    <t>连锁炸鸡店</t>
    <phoneticPr fontId="134" type="noConversion"/>
  </si>
  <si>
    <t>位置</t>
    <phoneticPr fontId="134" type="noConversion"/>
  </si>
  <si>
    <t>经营类型</t>
    <phoneticPr fontId="134" type="noConversion"/>
  </si>
  <si>
    <t>面积</t>
    <phoneticPr fontId="134" type="noConversion"/>
  </si>
  <si>
    <t>租金</t>
    <phoneticPr fontId="134" type="noConversion"/>
  </si>
  <si>
    <t>转让费</t>
    <phoneticPr fontId="134" type="noConversion"/>
  </si>
  <si>
    <t>电话</t>
    <phoneticPr fontId="134" type="noConversion"/>
  </si>
  <si>
    <t>前超市，现空置</t>
    <phoneticPr fontId="134" type="noConversion"/>
  </si>
  <si>
    <t>无</t>
    <phoneticPr fontId="134" type="noConversion"/>
  </si>
  <si>
    <t>楼层</t>
    <phoneticPr fontId="134" type="noConversion"/>
  </si>
  <si>
    <t>负一层</t>
    <phoneticPr fontId="134" type="noConversion"/>
  </si>
  <si>
    <t>一层</t>
    <phoneticPr fontId="134" type="noConversion"/>
  </si>
  <si>
    <t>规格</t>
    <phoneticPr fontId="134" type="noConversion"/>
  </si>
  <si>
    <t>面宽5米，进深5米</t>
    <phoneticPr fontId="134" type="noConversion"/>
  </si>
  <si>
    <r>
      <t>开阳里东巷2</t>
    </r>
    <r>
      <rPr>
        <sz val="11"/>
        <color theme="1"/>
        <rFont val="宋体"/>
        <family val="3"/>
        <charset val="134"/>
        <scheme val="minor"/>
      </rPr>
      <t>4号院</t>
    </r>
    <phoneticPr fontId="134" type="noConversion"/>
  </si>
  <si>
    <t>包子铺</t>
    <phoneticPr fontId="134" type="noConversion"/>
  </si>
  <si>
    <t>一层</t>
    <phoneticPr fontId="134" type="noConversion"/>
  </si>
  <si>
    <t>无限制</t>
    <phoneticPr fontId="134" type="noConversion"/>
  </si>
  <si>
    <t>一层</t>
    <phoneticPr fontId="134" type="noConversion"/>
  </si>
  <si>
    <t>装修</t>
    <phoneticPr fontId="134" type="noConversion"/>
  </si>
  <si>
    <t>简单装修</t>
    <phoneticPr fontId="134" type="noConversion"/>
  </si>
  <si>
    <t>简单装修及设备</t>
    <phoneticPr fontId="134" type="noConversion"/>
  </si>
  <si>
    <t>简单装修</t>
    <phoneticPr fontId="134" type="noConversion"/>
  </si>
  <si>
    <t>简单装修</t>
    <phoneticPr fontId="134" type="noConversion"/>
  </si>
  <si>
    <t>开阳里八区底商</t>
    <phoneticPr fontId="3" type="noConversion"/>
  </si>
  <si>
    <t>正常</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</si>
  <si>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</si>
  <si>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</si>
  <si>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</si>
  <si>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</si>
  <si>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</si>
  <si>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</si>
  <si>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好</t>
  </si>
  <si>
    <t>较好</t>
  </si>
  <si>
    <t>一般</t>
  </si>
  <si>
    <t>较差</t>
  </si>
  <si>
    <t>差</t>
  </si>
  <si>
    <r>
      <t>1</t>
    </r>
    <r>
      <rPr>
        <sz val="11"/>
        <color indexed="8"/>
        <rFont val="宋体"/>
        <family val="3"/>
        <charset val="134"/>
      </rPr>
      <t>层</t>
    </r>
    <phoneticPr fontId="3" type="noConversion"/>
  </si>
  <si>
    <t>钢混</t>
    <phoneticPr fontId="3" type="noConversion"/>
  </si>
  <si>
    <t>精装修</t>
    <phoneticPr fontId="3" type="noConversion"/>
  </si>
  <si>
    <t>普通装修</t>
    <phoneticPr fontId="3" type="noConversion"/>
  </si>
  <si>
    <t>五通</t>
    <phoneticPr fontId="3" type="noConversion"/>
  </si>
  <si>
    <t>非标层高</t>
    <phoneticPr fontId="3" type="noConversion"/>
  </si>
  <si>
    <t>标准层高</t>
    <phoneticPr fontId="3" type="noConversion"/>
  </si>
  <si>
    <t>较适宜</t>
    <phoneticPr fontId="3" type="noConversion"/>
  </si>
  <si>
    <t>挂牌</t>
  </si>
  <si>
    <t>商业</t>
    <phoneticPr fontId="30" type="noConversion"/>
  </si>
  <si>
    <t>七通</t>
  </si>
  <si>
    <t>双面临街</t>
  </si>
  <si>
    <t>单面临街</t>
  </si>
  <si>
    <t>1层</t>
  </si>
  <si>
    <t>负1层</t>
  </si>
  <si>
    <r>
      <t>2</t>
    </r>
    <r>
      <rPr>
        <sz val="11"/>
        <color indexed="8"/>
        <rFont val="宋体"/>
        <family val="3"/>
        <charset val="134"/>
      </rPr>
      <t>层</t>
    </r>
    <phoneticPr fontId="3" type="noConversion"/>
  </si>
  <si>
    <t>负1层</t>
    <phoneticPr fontId="3" type="noConversion"/>
  </si>
  <si>
    <t>1拖负1层</t>
  </si>
  <si>
    <t>1拖负1层</t>
    <phoneticPr fontId="3" type="noConversion"/>
  </si>
  <si>
    <t>商业中心</t>
  </si>
  <si>
    <t>商业中心</t>
    <phoneticPr fontId="3" type="noConversion"/>
  </si>
  <si>
    <t>独立商业楼</t>
  </si>
  <si>
    <t>独立商业楼</t>
    <phoneticPr fontId="3" type="noConversion"/>
  </si>
  <si>
    <t>住宅配套底商</t>
  </si>
  <si>
    <t>住宅配套底商</t>
    <phoneticPr fontId="30" type="noConversion"/>
  </si>
  <si>
    <t>钢混</t>
  </si>
  <si>
    <t>普通装修</t>
  </si>
  <si>
    <t>五通</t>
  </si>
  <si>
    <t>可餐饮</t>
  </si>
  <si>
    <t>可餐饮</t>
    <phoneticPr fontId="30" type="noConversion"/>
  </si>
  <si>
    <t>不可餐饮</t>
  </si>
  <si>
    <t>不可餐饮</t>
    <phoneticPr fontId="30" type="noConversion"/>
  </si>
  <si>
    <t>标准层高</t>
  </si>
  <si>
    <t>较适宜</t>
  </si>
  <si>
    <t>精装修</t>
  </si>
  <si>
    <t>较好</t>
    <phoneticPr fontId="30" type="noConversion"/>
  </si>
  <si>
    <t>简单装修</t>
    <phoneticPr fontId="3" type="noConversion"/>
  </si>
  <si>
    <t>毛坯</t>
    <phoneticPr fontId="30" type="noConversion"/>
  </si>
  <si>
    <t>简单装修</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</si>
  <si>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</si>
  <si>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</si>
  <si>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</si>
  <si>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</si>
  <si>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</si>
  <si>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</si>
  <si>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</si>
  <si>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</si>
  <si>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</si>
  <si>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</si>
  <si>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</si>
  <si>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</si>
  <si>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</si>
  <si>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</si>
  <si>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</si>
  <si>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</si>
  <si>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</si>
  <si>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</si>
  <si>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</si>
  <si>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</si>
  <si>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</si>
  <si>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</si>
  <si>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</si>
  <si>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</si>
  <si>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</si>
  <si>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</si>
  <si>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</si>
  <si>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</si>
  <si>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</si>
  <si>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</si>
  <si>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</si>
  <si>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</si>
  <si>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</si>
  <si>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</si>
  <si>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</si>
  <si>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</si>
  <si>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</si>
  <si>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</si>
  <si>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</si>
  <si>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</si>
  <si>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</si>
  <si>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</si>
  <si>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</si>
  <si>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</si>
  <si>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</si>
  <si>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</si>
  <si>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</si>
  <si>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</si>
  <si>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</si>
  <si>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</si>
  <si>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</si>
  <si>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</si>
  <si>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</si>
  <si>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</si>
  <si>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</si>
  <si>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</si>
  <si>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</si>
  <si>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</si>
  <si>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</si>
  <si>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</si>
  <si>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</si>
  <si>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</si>
  <si>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</si>
  <si>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</si>
  <si>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</si>
  <si>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</si>
  <si>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</si>
  <si>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</si>
  <si>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</si>
  <si>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</si>
  <si>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</si>
  <si>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</si>
  <si>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</si>
  <si>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</si>
  <si>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</si>
  <si>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</si>
  <si>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</si>
  <si>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</si>
  <si>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</si>
  <si>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</si>
  <si>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</si>
  <si>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</si>
  <si>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</si>
  <si>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</si>
  <si>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</si>
  <si>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</si>
  <si>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</si>
  <si>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</si>
  <si>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</si>
  <si>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</si>
  <si>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</si>
  <si>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</si>
  <si>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</si>
  <si>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</si>
  <si>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</si>
  <si>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</si>
  <si>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</si>
  <si>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</si>
  <si>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</si>
  <si>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</si>
  <si>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</si>
  <si>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</si>
  <si>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</si>
  <si>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</si>
  <si>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</si>
  <si>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</si>
  <si>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</si>
  <si>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</si>
  <si>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</si>
  <si>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</si>
  <si>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</si>
  <si>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</si>
  <si>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</si>
  <si>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</si>
  <si>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</si>
  <si>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</si>
  <si>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</si>
  <si>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</si>
  <si>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</si>
  <si>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</si>
  <si>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</si>
  <si>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</si>
  <si>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</si>
  <si>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</si>
  <si>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</si>
  <si>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</si>
  <si>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</si>
  <si>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</si>
  <si>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</si>
  <si>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</si>
  <si>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自定义容积率</t>
  </si>
  <si>
    <t>不临65条商业街</t>
  </si>
  <si>
    <t>与级别开发程度一致</t>
  </si>
  <si>
    <t>楼层修正</t>
  </si>
  <si>
    <t>未包含在土地购买价格中</t>
  </si>
  <si>
    <t>全部缴纳</t>
  </si>
  <si>
    <t>已包含在土地取得成本中</t>
  </si>
  <si>
    <t>利息：取LPR加浮动点数</t>
  </si>
  <si>
    <t>翠林一里东门</t>
    <phoneticPr fontId="134" type="noConversion"/>
  </si>
  <si>
    <t>迦南大厦附近，酒店底商</t>
    <phoneticPr fontId="134"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</si>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</sst>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1"/>
      <name val="宋体"/>
      <family val="3"/>
      <charset val="134"/>
      <scheme val="minor"/>
    </font>
    <font>
      <u/>
      <sz val="1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81" fontId="128" fillId="12" borderId="0" xfId="0" applyNumberFormat="1" applyFont="1" applyFill="1" applyBorder="1" applyAlignment="1" applyProtection="1">
      <alignment vertical="center" wrapText="1"/>
      <protection locked="0"/>
    </xf>
    <xf numFmtId="0" fontId="94" fillId="12" borderId="0" xfId="0" applyFont="1" applyFill="1" applyBorder="1" applyAlignment="1" applyProtection="1">
      <alignment horizontal="center" vertical="center"/>
      <protection locked="0"/>
    </xf>
    <xf numFmtId="0" fontId="95" fillId="0" borderId="1" xfId="0" applyFont="1" applyBorder="1" applyAlignment="1">
      <alignment vertical="center"/>
    </xf>
    <xf numFmtId="0" fontId="0" fillId="0" borderId="0" xfId="0" applyAlignment="1">
      <alignment vertical="center"/>
    </xf>
    <xf numFmtId="0" fontId="0" fillId="0" borderId="1" xfId="0" applyBorder="1" applyAlignment="1">
      <alignment vertical="center"/>
    </xf>
    <xf numFmtId="0" fontId="269" fillId="0" borderId="0" xfId="19" applyAlignment="1">
      <alignment vertical="center"/>
    </xf>
    <xf numFmtId="0" fontId="95" fillId="0" borderId="0" xfId="0" applyFont="1" applyAlignme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0" fillId="0" borderId="1" xfId="0" applyFont="1" applyBorder="1" applyAlignment="1">
      <alignment vertical="center"/>
    </xf>
    <xf numFmtId="0" fontId="270" fillId="0" borderId="0" xfId="0" applyFont="1" applyAlignment="1">
      <alignment vertical="center"/>
    </xf>
    <xf numFmtId="0" fontId="271" fillId="0" borderId="0" xfId="19" applyFont="1" applyAlignment="1">
      <alignment vertical="center"/>
    </xf>
    <xf numFmtId="0" fontId="272" fillId="0" borderId="1" xfId="0" applyFont="1" applyBorder="1" applyAlignment="1">
      <alignment vertical="center"/>
    </xf>
    <xf numFmtId="0" fontId="273" fillId="0" borderId="0" xfId="19" applyFont="1" applyAlignment="1">
      <alignment vertical="center"/>
    </xf>
    <xf numFmtId="0" fontId="272" fillId="0" borderId="0" xfId="0" applyFont="1" applyAlignment="1">
      <alignment vertical="center"/>
    </xf>
    <xf numFmtId="0" fontId="95" fillId="0" borderId="0" xfId="10" applyFont="1" applyBorder="1" applyAlignment="1">
      <alignment vertical="center"/>
    </xf>
    <xf numFmtId="0" fontId="274" fillId="0" borderId="1" xfId="10" applyNumberFormat="1" applyFont="1" applyBorder="1" applyAlignment="1">
      <alignment horizontal="left" vertical="center" wrapText="1" shrinkToFit="1"/>
    </xf>
    <xf numFmtId="9" fontId="275"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74"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8" fillId="5" borderId="1" xfId="10" applyNumberFormat="1" applyFont="1" applyFill="1" applyBorder="1" applyAlignment="1">
      <alignment horizontal="center" vertical="center" wrapText="1" shrinkToFit="1"/>
    </xf>
    <xf numFmtId="9" fontId="279" fillId="0" borderId="1" xfId="10" applyNumberFormat="1" applyFont="1" applyFill="1" applyBorder="1" applyAlignment="1">
      <alignment horizontal="center" vertical="center" wrapText="1"/>
    </xf>
    <xf numFmtId="179" fontId="278"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80"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74"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81"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81"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82" fillId="0" borderId="0" xfId="10" applyFont="1" applyFill="1" applyAlignment="1">
      <alignment vertical="center"/>
    </xf>
    <xf numFmtId="182" fontId="110" fillId="0" borderId="0" xfId="10" applyNumberFormat="1" applyFont="1" applyFill="1" applyBorder="1" applyAlignment="1">
      <alignment horizontal="center" vertical="center"/>
    </xf>
    <xf numFmtId="9" fontId="278"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81" fillId="0" borderId="0" xfId="10" applyFont="1" applyFill="1" applyAlignment="1">
      <alignment horizontal="center" vertical="center" wrapText="1"/>
    </xf>
    <xf numFmtId="0" fontId="281"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81" fillId="0" borderId="0" xfId="10" applyNumberFormat="1" applyFont="1" applyFill="1" applyAlignment="1">
      <alignment horizontal="center" vertical="center" wrapText="1"/>
    </xf>
    <xf numFmtId="0" fontId="287" fillId="0" borderId="0" xfId="10" applyFont="1" applyFill="1" applyAlignment="1">
      <alignment vertical="center" wrapText="1"/>
    </xf>
    <xf numFmtId="0" fontId="288"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81" fillId="0" borderId="0" xfId="10" applyFont="1" applyAlignment="1">
      <alignment horizontal="center" vertical="center" wrapText="1"/>
    </xf>
    <xf numFmtId="0" fontId="287"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0" fontId="281" fillId="0" borderId="0" xfId="10" applyFont="1" applyAlignment="1">
      <alignment horizontal="left" vertical="center" wrapText="1"/>
    </xf>
    <xf numFmtId="179" fontId="281" fillId="0" borderId="0" xfId="10" applyNumberFormat="1" applyFont="1" applyFill="1" applyAlignment="1">
      <alignment vertical="center" wrapText="1"/>
    </xf>
    <xf numFmtId="0" fontId="281"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84"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8"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0" fillId="0" borderId="1" xfId="0" applyFont="1" applyBorder="1" applyAlignment="1">
      <alignment vertical="center"/>
    </xf>
  </cellXfs>
  <cellStyles count="54">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10" xfId="21"/>
    <cellStyle name="常规 3 11" xfId="22"/>
    <cellStyle name="常规 3 12" xfId="23"/>
    <cellStyle name="常规 3 2" xfId="3"/>
    <cellStyle name="常规 3 2 2" xfId="24"/>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647700</xdr:colOff>
      <xdr:row>0</xdr:row>
      <xdr:rowOff>0</xdr:rowOff>
    </xdr:from>
    <xdr:to>
      <xdr:col>16</xdr:col>
      <xdr:colOff>28053</xdr:colOff>
      <xdr:row>7</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9410700" y="0"/>
          <a:ext cx="4180953" cy="1361905"/>
        </a:xfrm>
        <a:prstGeom prst="rect">
          <a:avLst/>
        </a:prstGeom>
      </xdr:spPr>
    </xdr:pic>
    <xdr:clientData/>
  </xdr:twoCellAnchor>
  <xdr:twoCellAnchor editAs="oneCell">
    <xdr:from>
      <xdr:col>0</xdr:col>
      <xdr:colOff>0</xdr:colOff>
      <xdr:row>7</xdr:row>
      <xdr:rowOff>54590</xdr:rowOff>
    </xdr:from>
    <xdr:to>
      <xdr:col>8</xdr:col>
      <xdr:colOff>465202</xdr:colOff>
      <xdr:row>44</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54740"/>
          <a:ext cx="9371077" cy="6449937"/>
        </a:xfrm>
        <a:prstGeom prst="rect">
          <a:avLst/>
        </a:prstGeom>
      </xdr:spPr>
    </xdr:pic>
    <xdr:clientData/>
  </xdr:twoCellAnchor>
  <xdr:twoCellAnchor>
    <xdr:from>
      <xdr:col>5</xdr:col>
      <xdr:colOff>19050</xdr:colOff>
      <xdr:row>23</xdr:row>
      <xdr:rowOff>85725</xdr:rowOff>
    </xdr:from>
    <xdr:to>
      <xdr:col>5</xdr:col>
      <xdr:colOff>352425</xdr:colOff>
      <xdr:row>25</xdr:row>
      <xdr:rowOff>38100</xdr:rowOff>
    </xdr:to>
    <xdr:sp macro="" textlink="">
      <xdr:nvSpPr>
        <xdr:cNvPr id="4" name="五角星 3"/>
        <xdr:cNvSpPr/>
      </xdr:nvSpPr>
      <xdr:spPr>
        <a:xfrm>
          <a:off x="5800725" y="4029075"/>
          <a:ext cx="333375" cy="295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1019175</xdr:colOff>
      <xdr:row>18</xdr:row>
      <xdr:rowOff>114300</xdr:rowOff>
    </xdr:from>
    <xdr:to>
      <xdr:col>3</xdr:col>
      <xdr:colOff>457200</xdr:colOff>
      <xdr:row>20</xdr:row>
      <xdr:rowOff>95250</xdr:rowOff>
    </xdr:to>
    <xdr:sp macro="" textlink="">
      <xdr:nvSpPr>
        <xdr:cNvPr id="9" name="椭圆形标注 8"/>
        <xdr:cNvSpPr/>
      </xdr:nvSpPr>
      <xdr:spPr>
        <a:xfrm>
          <a:off x="4276725" y="3200400"/>
          <a:ext cx="590550" cy="323850"/>
        </a:xfrm>
        <a:prstGeom prst="wedgeEllipseCallout">
          <a:avLst>
            <a:gd name="adj1" fmla="val -59543"/>
            <a:gd name="adj2" fmla="val 10073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409575</xdr:colOff>
      <xdr:row>29</xdr:row>
      <xdr:rowOff>45065</xdr:rowOff>
    </xdr:from>
    <xdr:to>
      <xdr:col>1</xdr:col>
      <xdr:colOff>1000125</xdr:colOff>
      <xdr:row>31</xdr:row>
      <xdr:rowOff>26015</xdr:rowOff>
    </xdr:to>
    <xdr:sp macro="" textlink="">
      <xdr:nvSpPr>
        <xdr:cNvPr id="10" name="椭圆形标注 9"/>
        <xdr:cNvSpPr/>
      </xdr:nvSpPr>
      <xdr:spPr>
        <a:xfrm>
          <a:off x="2514600" y="5017115"/>
          <a:ext cx="590550" cy="323850"/>
        </a:xfrm>
        <a:prstGeom prst="wedgeEllipseCallout">
          <a:avLst>
            <a:gd name="adj1" fmla="val -59543"/>
            <a:gd name="adj2" fmla="val 10073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342900</xdr:colOff>
      <xdr:row>28</xdr:row>
      <xdr:rowOff>6965</xdr:rowOff>
    </xdr:from>
    <xdr:to>
      <xdr:col>5</xdr:col>
      <xdr:colOff>247650</xdr:colOff>
      <xdr:row>29</xdr:row>
      <xdr:rowOff>159365</xdr:rowOff>
    </xdr:to>
    <xdr:sp macro="" textlink="">
      <xdr:nvSpPr>
        <xdr:cNvPr id="11" name="椭圆形标注 10"/>
        <xdr:cNvSpPr/>
      </xdr:nvSpPr>
      <xdr:spPr>
        <a:xfrm>
          <a:off x="5438775" y="4807565"/>
          <a:ext cx="590550" cy="323850"/>
        </a:xfrm>
        <a:prstGeom prst="wedgeEllipseCallout">
          <a:avLst>
            <a:gd name="adj1" fmla="val 11425"/>
            <a:gd name="adj2" fmla="val 9779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2-&#26143;&#22320;&#20013;&#24515;-&#20013;&#34892;&#31199;&#37329;-&#23828;&#20029;&#26032;20230413-1450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租金案例"/>
      <sheetName val="收益法倒推-商业"/>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估价对象为房地产，为所有。根据《国有土地使用证》[]，估价对象（分摊）出让国有建设用地使用权面积为0平方米，建筑面积为1068.98平方米。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估价对象为房地产,属开发建设的，该项目尚在开发建设中。根据《国有土地使用证》[]，估价对象（分摊）出让国有建设用地使用权面积为0平方米，规划建筑面积为1068.98平方米。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2023年5月16日（评估专业人员实地查勘之日）</v>
      </c>
    </row>
    <row r="13" spans="1:2" s="1202" customFormat="1">
      <c r="A13" s="1200" t="s">
        <v>529</v>
      </c>
      <c r="B13" s="1201" t="str">
        <f>'预评函-1'!A18</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1068.98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3" t="s">
        <v>385</v>
      </c>
      <c r="C54" s="1550" t="s">
        <v>583</v>
      </c>
    </row>
    <row r="55" spans="1:4">
      <c r="A55" s="3591"/>
      <c r="B55" s="1553" t="s">
        <v>386</v>
      </c>
      <c r="C55" s="1550" t="s">
        <v>584</v>
      </c>
    </row>
    <row r="56" spans="1:4">
      <c r="A56" s="3591"/>
      <c r="B56" s="1553" t="s">
        <v>387</v>
      </c>
      <c r="C56" s="1550" t="s">
        <v>588</v>
      </c>
    </row>
    <row r="57" spans="1:4">
      <c r="A57" s="359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92" t="s">
        <v>2574</v>
      </c>
      <c r="J2" s="3592"/>
      <c r="K2" s="3592"/>
      <c r="L2" s="3592"/>
      <c r="M2" s="3592"/>
      <c r="N2" s="3592"/>
      <c r="O2" s="3592"/>
      <c r="P2" s="3592"/>
      <c r="Q2" s="3592"/>
      <c r="R2" s="3592"/>
    </row>
    <row r="3" spans="1:18">
      <c r="A3" s="3019" t="s">
        <v>2495</v>
      </c>
      <c r="B3" s="3020">
        <f>项目基本情况!D3</f>
        <v>45062</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601" t="str">
        <f>IF(B10="北京市","北京市",C10)&amp;F10&amp;IF(结果表!G1="在建","出让国有建设用地使用权及在建建筑物",IF(结果表!G1="土地","出让国有建设用地使用权",))&amp;B9&amp;"预评估"</f>
        <v>预评估</v>
      </c>
      <c r="C1" s="3602"/>
      <c r="D1" s="3602"/>
      <c r="E1" s="3602"/>
      <c r="F1" s="3602"/>
      <c r="G1" s="3602"/>
      <c r="H1" s="3602"/>
      <c r="I1" s="36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2170</v>
      </c>
      <c r="B3" s="2372">
        <v>45062</v>
      </c>
      <c r="C3" s="2373" t="s">
        <v>2171</v>
      </c>
      <c r="D3" s="2372">
        <f>B3</f>
        <v>45062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604" t="s">
        <v>2177</v>
      </c>
      <c r="E8" s="2390"/>
      <c r="F8" s="2391"/>
      <c r="G8" s="2662"/>
      <c r="H8" s="2662"/>
      <c r="I8" s="2662"/>
      <c r="J8" s="2438"/>
      <c r="K8" s="2613"/>
      <c r="L8" s="2612"/>
      <c r="M8" s="2612"/>
      <c r="N8" s="2438"/>
      <c r="O8" s="2449"/>
      <c r="P8" s="2438"/>
      <c r="Q8" s="2438"/>
      <c r="R8" s="2438"/>
    </row>
    <row r="9" spans="1:30" ht="13.5" thickBot="1">
      <c r="A9" s="2392" t="s">
        <v>2178</v>
      </c>
      <c r="B9" s="2393"/>
      <c r="C9" s="2394"/>
      <c r="D9" s="3605"/>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3328</v>
      </c>
      <c r="B13" s="2406" t="s">
        <v>2190</v>
      </c>
      <c r="C13" s="855"/>
      <c r="D13" s="855">
        <v>51544</v>
      </c>
      <c r="E13" s="855"/>
      <c r="F13" s="855"/>
      <c r="G13" s="855"/>
      <c r="H13" s="855"/>
      <c r="I13" s="855"/>
      <c r="J13" s="3061"/>
      <c r="K13" s="2612"/>
      <c r="L13" s="2612"/>
      <c r="M13" s="2438"/>
      <c r="N13" s="2449"/>
      <c r="O13" s="2438"/>
      <c r="P13" s="2438"/>
      <c r="Q13" s="2438"/>
      <c r="AD13" s="1744"/>
    </row>
    <row r="14" spans="1:30">
      <c r="A14" s="1080"/>
      <c r="B14" s="2406" t="s">
        <v>2191</v>
      </c>
      <c r="C14" s="2407"/>
      <c r="D14" s="2407"/>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17.75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611"/>
      <c r="C16" s="3612"/>
      <c r="D16" s="3613"/>
      <c r="E16" s="2412" t="s">
        <v>2194</v>
      </c>
      <c r="F16" s="3614"/>
      <c r="G16" s="3615"/>
      <c r="H16" s="3615"/>
      <c r="I16" s="3616"/>
      <c r="J16" s="2438"/>
      <c r="K16" s="2616"/>
      <c r="L16" s="2450"/>
      <c r="M16" s="2450"/>
      <c r="N16" s="2508"/>
      <c r="O16" s="2450"/>
      <c r="P16" s="2508"/>
      <c r="Q16" s="2438"/>
      <c r="R16" s="2438"/>
    </row>
    <row r="17" spans="1:28">
      <c r="A17" s="313" t="s">
        <v>2195</v>
      </c>
      <c r="B17" s="302" t="s">
        <v>2196</v>
      </c>
      <c r="C17" s="8">
        <f>'数据-汇总表'!E3</f>
        <v>1068.98</v>
      </c>
      <c r="D17" s="2321" t="s">
        <v>2197</v>
      </c>
      <c r="E17" s="3617" t="s">
        <v>2198</v>
      </c>
      <c r="F17" s="3618"/>
      <c r="G17" s="3618"/>
      <c r="H17" s="3618"/>
      <c r="I17" s="361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620" t="s">
        <v>2202</v>
      </c>
      <c r="F18" s="3621"/>
      <c r="G18" s="3621"/>
      <c r="H18" s="3621"/>
      <c r="I18" s="362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607" t="s">
        <v>2206</v>
      </c>
      <c r="C20" s="3608"/>
      <c r="D20" s="3609" t="s">
        <v>2207</v>
      </c>
      <c r="E20" s="3610"/>
      <c r="F20" s="2646" t="s">
        <v>1056</v>
      </c>
      <c r="G20" s="2663"/>
      <c r="H20" s="2663"/>
      <c r="I20" s="2663"/>
      <c r="J20" s="2438"/>
      <c r="K20" s="360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6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6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9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5"/>
      <c r="B30" s="302" t="s">
        <v>2218</v>
      </c>
      <c r="C30" s="3596"/>
      <c r="D30" s="3597"/>
      <c r="E30" s="2663"/>
      <c r="F30" s="2663"/>
      <c r="G30" s="2663"/>
      <c r="H30" s="2663"/>
      <c r="I30" s="2663"/>
      <c r="J30" s="2438"/>
      <c r="K30" s="2615"/>
      <c r="L30" s="2612"/>
      <c r="M30" s="2612"/>
      <c r="N30" s="2438"/>
      <c r="O30" s="2449"/>
      <c r="P30" s="2438"/>
      <c r="Q30" s="2438"/>
      <c r="R30" s="2438"/>
      <c r="S30" s="2438"/>
      <c r="T30" s="2438"/>
      <c r="U30" s="2438"/>
      <c r="V30" s="2438"/>
    </row>
    <row r="31" spans="1:28">
      <c r="A31" s="359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9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9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93" t="s">
        <v>2228</v>
      </c>
      <c r="T34" s="2427" t="str">
        <f>NUMBERSTRING(7-K34,1)&amp;"通"</f>
        <v>七通</v>
      </c>
      <c r="U34" s="2438"/>
      <c r="V34" s="2438"/>
    </row>
    <row r="35" spans="1:30">
      <c r="A35" s="2428"/>
      <c r="B35" s="3600" t="s">
        <v>2229</v>
      </c>
      <c r="C35" s="3600"/>
      <c r="D35" s="3600"/>
      <c r="E35" s="360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209</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1068.98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1068.98</v>
      </c>
      <c r="H5" s="13">
        <f t="shared" ref="H5:AT5" si="0">SUM(H13:H656)</f>
        <v>1068.98</v>
      </c>
      <c r="I5" s="13">
        <f t="shared" si="0"/>
        <v>523.84</v>
      </c>
      <c r="J5" s="13">
        <f t="shared" si="0"/>
        <v>0</v>
      </c>
      <c r="K5" s="13">
        <f t="shared" si="0"/>
        <v>545.14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1068.98</v>
      </c>
      <c r="BA5" s="15">
        <f t="shared" si="1"/>
        <v>1068.98</v>
      </c>
      <c r="BB5" s="15">
        <f t="shared" si="1"/>
        <v>523.84</v>
      </c>
      <c r="BC5" s="15">
        <f t="shared" si="1"/>
        <v>545.14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3369</v>
      </c>
      <c r="J9" s="808"/>
      <c r="K9" s="1602" t="s">
        <v>3375</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3449" t="s">
        <v>3374</v>
      </c>
      <c r="D13" s="1624" t="s">
        <v>3368</v>
      </c>
      <c r="E13" s="13">
        <f>IF($C$3="是",ROUND($A$3*G13/$B$3,2),ROUND($A$3*(G13-AT13)/$B$3,2))</f>
        <v>0</v>
      </c>
      <c r="F13" s="29"/>
      <c r="G13" s="30">
        <f>H13+AC13+AT13</f>
        <v>1068.98</v>
      </c>
      <c r="H13" s="17">
        <f>SUMIF(I$12:AB$12,"总值",I13:AB13)</f>
        <v>1068.98</v>
      </c>
      <c r="I13" s="1625">
        <v>523.84</v>
      </c>
      <c r="J13" s="1625"/>
      <c r="K13" s="1625">
        <v>545.14</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开阳里八区底商</v>
      </c>
      <c r="AY13" s="1348">
        <f>ROUND($AY$6*AZ13/$AZ$5,2)</f>
        <v>0</v>
      </c>
      <c r="AZ13" s="13">
        <f>BA13+BL13</f>
        <v>1068.98</v>
      </c>
      <c r="BA13" s="13">
        <f>SUM(BB13:BK13)</f>
        <v>1068.98</v>
      </c>
      <c r="BB13" s="13">
        <f>IF($D13="是",I13-J13,0)</f>
        <v>523.84</v>
      </c>
      <c r="BC13" s="13">
        <f>IF($D13="是",K13-L13,0)</f>
        <v>545.14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2" sqref="L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32" t="s">
        <v>1131</v>
      </c>
      <c r="B2" s="3632"/>
      <c r="C2" s="3632"/>
      <c r="D2" s="795" t="s">
        <v>1107</v>
      </c>
      <c r="E2" s="1638" t="s">
        <v>1108</v>
      </c>
      <c r="F2" s="2658"/>
      <c r="G2" s="2649"/>
      <c r="H2" s="2650"/>
      <c r="I2" s="2324" t="s">
        <v>1132</v>
      </c>
      <c r="J2" s="2658"/>
      <c r="K2" s="2658"/>
      <c r="L2" s="2658"/>
      <c r="M2" s="2658"/>
      <c r="N2" s="2660"/>
      <c r="O2" s="2658"/>
      <c r="P2" s="2658"/>
    </row>
    <row r="3" spans="1:16" ht="15.75" thickBot="1">
      <c r="A3" s="3633" t="s">
        <v>1105</v>
      </c>
      <c r="B3" s="3633"/>
      <c r="C3" s="3633"/>
      <c r="D3" s="43">
        <f>'数据-基础表'!AY6</f>
        <v>0</v>
      </c>
      <c r="E3" s="43">
        <f>'数据-基础表'!AZ5</f>
        <v>1068.98</v>
      </c>
      <c r="F3" s="2658"/>
      <c r="G3" s="1144"/>
      <c r="H3" s="1025" t="s">
        <v>1106</v>
      </c>
      <c r="I3" s="854" t="e">
        <f>ROUND('数据-基础表'!B3/'数据-基础表'!A3,2)</f>
        <v>#DIV/0!</v>
      </c>
      <c r="J3" s="2658"/>
      <c r="K3" s="2658"/>
      <c r="L3" s="2658"/>
      <c r="M3" s="2658"/>
      <c r="N3" s="2660"/>
      <c r="O3" s="2658"/>
      <c r="P3" s="2658"/>
    </row>
    <row r="4" spans="1:16" ht="15">
      <c r="A4" s="3634"/>
      <c r="B4" s="3635"/>
      <c r="C4" s="363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637" t="s">
        <v>1110</v>
      </c>
      <c r="C5" s="363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37" t="s">
        <v>1111</v>
      </c>
      <c r="C6" s="3637"/>
      <c r="D6" s="45">
        <f>ROUND($D$3*E6/$E$3,2)</f>
        <v>0</v>
      </c>
      <c r="E6" s="46">
        <f>E3-E5</f>
        <v>1068.98</v>
      </c>
      <c r="F6" s="2658"/>
      <c r="G6" s="2652" t="s">
        <v>1112</v>
      </c>
      <c r="H6" s="1145" t="s">
        <v>1113</v>
      </c>
      <c r="I6" s="2653" t="e">
        <f>ROUND(F31/D31,2)</f>
        <v>#DIV/0!</v>
      </c>
      <c r="J6" s="2658"/>
      <c r="K6" s="2658"/>
      <c r="L6" s="2658"/>
      <c r="M6" s="2658"/>
      <c r="N6" s="2658"/>
      <c r="O6" s="2658"/>
      <c r="P6" s="2658"/>
    </row>
    <row r="7" spans="1:16" ht="15.75" thickBot="1">
      <c r="A7" s="3629"/>
      <c r="B7" s="3630"/>
      <c r="C7" s="3631"/>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523.84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545.14</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1068.98</v>
      </c>
      <c r="F16" s="2658"/>
      <c r="G16" s="2659"/>
      <c r="H16" s="1647" t="s">
        <v>1135</v>
      </c>
      <c r="I16" s="1648"/>
      <c r="J16" s="1138"/>
      <c r="K16" s="3626" t="s">
        <v>1135</v>
      </c>
      <c r="L16" s="3627"/>
      <c r="M16" s="3627"/>
      <c r="N16" s="3627"/>
      <c r="O16" s="3627"/>
      <c r="P16" s="3628"/>
    </row>
    <row r="17" spans="1:19" ht="15">
      <c r="A17" s="1649" t="s">
        <v>1136</v>
      </c>
      <c r="B17" s="1650" t="s">
        <v>1137</v>
      </c>
      <c r="C17" s="1651" t="s">
        <v>1138</v>
      </c>
      <c r="D17" s="1652" t="s">
        <v>1126</v>
      </c>
      <c r="E17" s="1653" t="s">
        <v>1127</v>
      </c>
      <c r="F17" s="1654"/>
      <c r="G17" s="1655"/>
      <c r="H17" s="1656" t="s">
        <v>1139</v>
      </c>
      <c r="I17" s="1657" t="s">
        <v>1124</v>
      </c>
      <c r="J17" s="1138"/>
      <c r="K17" s="3623" t="s">
        <v>1140</v>
      </c>
      <c r="L17" s="3624"/>
      <c r="M17" s="3625"/>
      <c r="N17" s="3623" t="s">
        <v>1141</v>
      </c>
      <c r="O17" s="3624"/>
      <c r="P17" s="362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开阳里八区底商</v>
      </c>
      <c r="D19" s="45">
        <f>ROUND($D$3*E19/$E$3,2)</f>
        <v>0</v>
      </c>
      <c r="E19" s="53">
        <f t="shared" ref="E19:E26" si="1">SUM(F19:G19)</f>
        <v>1068.98</v>
      </c>
      <c r="F19" s="2794">
        <f>'数据-基础表'!I13</f>
        <v>523.84</v>
      </c>
      <c r="G19" s="2795">
        <f>'数据-基础表'!K13</f>
        <v>545.14</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1068.98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1068.98</v>
      </c>
      <c r="F27" s="1139">
        <f>IF(SUM(F19:F26)=E8,SUM(F19:F26),"地上面积有误")</f>
        <v>523.84</v>
      </c>
      <c r="G27" s="1141">
        <f>SUM(G19:G26)</f>
        <v>545.14</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1068.98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1068.98</v>
      </c>
      <c r="F31" s="676">
        <f>F27+F30</f>
        <v>523.84</v>
      </c>
      <c r="G31" s="677">
        <f>G27+G30</f>
        <v>545.14</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45062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开阳里八区底商</v>
      </c>
      <c r="B6" s="1712" t="str">
        <f>IF(A6=0,"","经营性")</f>
        <v>经营性</v>
      </c>
      <c r="C6" s="1713" t="s">
        <v>673</v>
      </c>
      <c r="D6" s="857">
        <f>SUMIF(项目基本情况!C$12:I$12,C6,项目基本情况!C$14:I$14)</f>
        <v>0</v>
      </c>
      <c r="E6" s="856">
        <f>IF(B6="","",SUMIF(项目基本情况!C$12:I$12,C6,项目基本情况!C$13:I$13))</f>
        <v>51544</v>
      </c>
      <c r="F6" s="64">
        <f>SUMIF(项目基本情况!C$12:I$12,C6,项目基本情况!C$15:I$15)</f>
        <v>17.75</v>
      </c>
      <c r="G6" s="65">
        <f>IF(ISERROR(ROUND(POWER(1+H6,D6-F6)*(POWER(1+H6,F6)-1)/(POWER(1+H6,D6)-1),3)),0,ROUND(POWER(1+H6,D6-F6)*(POWER(1+H6,F6)-1)/(POWER(1+H6,D6)-1),3))</f>
        <v>0</v>
      </c>
      <c r="H6" s="731">
        <v>0.05</v>
      </c>
      <c r="I6" s="731">
        <v>5.5E-2</v>
      </c>
      <c r="J6" s="66">
        <v>7.4999999999999997E-2</v>
      </c>
      <c r="K6" s="1029">
        <f>SUMIF('数据-汇总表'!C$19:C$33,A6,'数据-汇总表'!E$19:E$33)</f>
        <v>1068.98</v>
      </c>
      <c r="L6" s="732">
        <v>2400</v>
      </c>
      <c r="M6" s="67">
        <f t="shared" ref="M6:M14" si="0">ROUND(K6*L6/10000,0)</f>
        <v>257</v>
      </c>
      <c r="N6" s="730">
        <f>ROUND(1-(2023-2001)/60,2)</f>
        <v>0.63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v>1.4999999999999999E-2</v>
      </c>
      <c r="AL6" s="79">
        <v>1.5E-3</v>
      </c>
      <c r="AM6" s="80">
        <v>0.01</v>
      </c>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t="e">
        <f>ROUND(SUMPRODUCT(G6:G13,K6:K13)/SUMPRODUCT((G6:G13&gt;0)*(K6:K13)),3)</f>
        <v>#DIV/0!</v>
      </c>
      <c r="H16" s="90">
        <f>ROUND(SUMPRODUCT(H6:H13,K6:K13)/SUMPRODUCT((H6:H13&gt;0)*(K6:K13)),3)</f>
        <v>0.05</v>
      </c>
      <c r="I16" s="91"/>
      <c r="J16" s="91"/>
      <c r="K16" s="92">
        <f>SUM(K6:K15)</f>
        <v>1068.98</v>
      </c>
      <c r="L16" s="93">
        <f>ROUND(M16*10000/SUM(K6:K14),0)</f>
        <v>2404</v>
      </c>
      <c r="M16" s="93">
        <f>SUM(M6:M14)</f>
        <v>257</v>
      </c>
      <c r="N16" s="94">
        <f>ROUND(SUMPRODUCT(M6:M14,N6:N14)/M16,3)</f>
        <v>0.63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成本法!C9</f>
        <v>0</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3590</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38" t="s">
        <v>2277</v>
      </c>
      <c r="B1" s="3639"/>
      <c r="C1" s="3639"/>
      <c r="D1" s="3639"/>
      <c r="E1" s="3639"/>
      <c r="F1" s="3639"/>
      <c r="G1" s="363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74" t="str">
        <f>项目基本情况!S2</f>
        <v>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53" t="s">
        <v>1265</v>
      </c>
      <c r="B4" s="1754" t="s">
        <v>1266</v>
      </c>
      <c r="C4" s="1755" t="s">
        <v>3593</v>
      </c>
      <c r="D4" s="1755"/>
      <c r="E4" s="3680" t="s">
        <v>1267</v>
      </c>
      <c r="F4" s="3681"/>
      <c r="G4" s="3681"/>
      <c r="H4" s="3681"/>
      <c r="I4" s="36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4" t="s">
        <v>1268</v>
      </c>
      <c r="B5" s="3641">
        <v>25</v>
      </c>
      <c r="C5" s="3657"/>
      <c r="D5" s="3677"/>
      <c r="E5" s="131" t="s">
        <v>1269</v>
      </c>
      <c r="F5" s="1756"/>
      <c r="G5" s="1756"/>
      <c r="H5" s="1756"/>
      <c r="I5" s="1372"/>
    </row>
    <row r="6" spans="1:12" ht="12.75">
      <c r="A6" s="3654"/>
      <c r="B6" s="3641"/>
      <c r="C6" s="3658"/>
      <c r="D6" s="3677"/>
      <c r="E6" s="131" t="s">
        <v>1270</v>
      </c>
      <c r="F6" s="1756"/>
      <c r="G6" s="1756"/>
      <c r="H6" s="1756"/>
      <c r="I6" s="1372"/>
    </row>
    <row r="7" spans="1:12" ht="12.75">
      <c r="A7" s="3654"/>
      <c r="B7" s="3641"/>
      <c r="C7" s="3659"/>
      <c r="D7" s="3677"/>
      <c r="E7" s="131" t="s">
        <v>1271</v>
      </c>
      <c r="F7" s="1756"/>
      <c r="G7" s="1756"/>
      <c r="H7" s="1756"/>
      <c r="I7" s="1372"/>
    </row>
    <row r="8" spans="1:12" ht="12.75">
      <c r="A8" s="3654" t="s">
        <v>1272</v>
      </c>
      <c r="B8" s="3641">
        <v>15</v>
      </c>
      <c r="C8" s="3657"/>
      <c r="D8" s="3677"/>
      <c r="E8" s="131" t="s">
        <v>1273</v>
      </c>
      <c r="F8" s="1756"/>
      <c r="G8" s="1756"/>
      <c r="H8" s="1756"/>
      <c r="I8" s="1372"/>
    </row>
    <row r="9" spans="1:12" ht="12.75">
      <c r="A9" s="3654"/>
      <c r="B9" s="3641"/>
      <c r="C9" s="3659"/>
      <c r="D9" s="3677"/>
      <c r="E9" s="131" t="s">
        <v>1274</v>
      </c>
      <c r="F9" s="1756"/>
      <c r="G9" s="1756"/>
      <c r="H9" s="1756"/>
      <c r="I9" s="1372"/>
    </row>
    <row r="10" spans="1:12" ht="12.75">
      <c r="A10" s="3654" t="s">
        <v>1275</v>
      </c>
      <c r="B10" s="3641">
        <v>15</v>
      </c>
      <c r="C10" s="3657"/>
      <c r="D10" s="3677"/>
      <c r="E10" s="131" t="s">
        <v>1276</v>
      </c>
      <c r="F10" s="1756"/>
      <c r="G10" s="1756"/>
      <c r="H10" s="1756"/>
      <c r="I10" s="1372"/>
    </row>
    <row r="11" spans="1:12" ht="12.75">
      <c r="A11" s="3654"/>
      <c r="B11" s="3641"/>
      <c r="C11" s="3659"/>
      <c r="D11" s="3677"/>
      <c r="E11" s="131" t="s">
        <v>1277</v>
      </c>
      <c r="F11" s="1756"/>
      <c r="G11" s="1756"/>
      <c r="H11" s="1756"/>
      <c r="I11" s="1372"/>
    </row>
    <row r="12" spans="1:12" ht="12.75">
      <c r="A12" s="3654" t="s">
        <v>1278</v>
      </c>
      <c r="B12" s="3641">
        <v>15</v>
      </c>
      <c r="C12" s="3657"/>
      <c r="D12" s="3677"/>
      <c r="E12" s="131" t="s">
        <v>1279</v>
      </c>
      <c r="F12" s="1756"/>
      <c r="G12" s="1756"/>
      <c r="H12" s="1756"/>
      <c r="I12" s="1372"/>
    </row>
    <row r="13" spans="1:12" ht="12.75">
      <c r="A13" s="3654"/>
      <c r="B13" s="3641"/>
      <c r="C13" s="3659"/>
      <c r="D13" s="3677"/>
      <c r="E13" s="131" t="s">
        <v>1280</v>
      </c>
      <c r="F13" s="1756"/>
      <c r="G13" s="1756"/>
      <c r="H13" s="1756"/>
      <c r="I13" s="1372"/>
    </row>
    <row r="14" spans="1:12" ht="12.75">
      <c r="A14" s="3654" t="s">
        <v>1281</v>
      </c>
      <c r="B14" s="3641">
        <v>30</v>
      </c>
      <c r="C14" s="3657"/>
      <c r="D14" s="3677"/>
      <c r="E14" s="131" t="s">
        <v>1282</v>
      </c>
      <c r="F14" s="1756"/>
      <c r="G14" s="1756"/>
      <c r="H14" s="1756"/>
      <c r="I14" s="1372"/>
    </row>
    <row r="15" spans="1:12" ht="12.75">
      <c r="A15" s="3654"/>
      <c r="B15" s="3641"/>
      <c r="C15" s="3658"/>
      <c r="D15" s="3677"/>
      <c r="E15" s="131" t="s">
        <v>1283</v>
      </c>
      <c r="F15" s="1756"/>
      <c r="G15" s="1756"/>
      <c r="H15" s="1756"/>
      <c r="I15" s="1372"/>
    </row>
    <row r="16" spans="1:12" ht="12.75">
      <c r="A16" s="3654"/>
      <c r="B16" s="3641"/>
      <c r="C16" s="3659"/>
      <c r="D16" s="3677"/>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664" t="s">
        <v>2131</v>
      </c>
      <c r="F18" s="3665"/>
      <c r="G18" s="3665"/>
      <c r="H18" s="3665"/>
      <c r="I18" s="3665"/>
      <c r="K18" s="302" t="s">
        <v>1289</v>
      </c>
      <c r="L18" s="302">
        <f>IF(C1="",'数据-汇总表'!E3,SUMIF(项目类型,C1,'数据-汇总表'!E17:E26)+SUMIF(项目类型,C1,'数据-汇总表'!I17:I26))</f>
        <v>1068.98</v>
      </c>
      <c r="M18" s="302">
        <f>IF(C1="",'数据-汇总表'!E3,SUMIF(项目类型,C1,'数据-汇总表'!E17:E26))</f>
        <v>1068.98</v>
      </c>
    </row>
    <row r="19" spans="1:36" ht="15">
      <c r="A19" s="1760" t="s">
        <v>1290</v>
      </c>
      <c r="B19" s="1761" t="s">
        <v>1291</v>
      </c>
      <c r="C19" s="134">
        <f ca="1">SUMIF(INDIRECT("'"&amp;C4&amp;"'"&amp;"!A:A"),结果表!B19,INDIRECT("'"&amp;C4&amp;"'"&amp;"!B:B"))</f>
        <v>1.1973</v>
      </c>
      <c r="D19" s="135" t="e">
        <f ca="1">SUMIF(INDIRECT("'"&amp;D4&amp;"'"&amp;"!A:A"),结果表!B19,INDIRECT("'"&amp;D4&amp;"'"&amp;"!B:B"))</f>
        <v>#REF!</v>
      </c>
      <c r="E19" s="1760" t="s">
        <v>1292</v>
      </c>
      <c r="F19" s="1761" t="s">
        <v>1291</v>
      </c>
      <c r="G19" s="136" t="e">
        <f ca="1">ROUND(C19*$C$18+D19*$D$18,0)</f>
        <v>#DIV/0!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11.2</v>
      </c>
      <c r="D20" s="138" t="e">
        <f ca="1">SUMIF(INDIRECT("'"&amp;D4&amp;"'"&amp;"!A:A"),结果表!B20,INDIRECT("'"&amp;D4&amp;"'"&amp;"!B:B"))</f>
        <v>#REF!</v>
      </c>
      <c r="E20" s="1763"/>
      <c r="F20" s="1025" t="s">
        <v>1295</v>
      </c>
      <c r="G20" s="139" t="e">
        <f ca="1">ROUND(C20*$C$18+D20*$D$18,0)</f>
        <v>#DIV/0!</v>
      </c>
      <c r="H20" s="807" t="s">
        <v>1296</v>
      </c>
      <c r="I20" s="129"/>
    </row>
    <row r="21" spans="1:36" ht="15" customHeight="1" thickBot="1">
      <c r="A21" s="827"/>
      <c r="B21" s="1764" t="s">
        <v>1297</v>
      </c>
      <c r="C21" s="718" t="e">
        <f ca="1">ROUND(C19*10000/L19,0)</f>
        <v>#DIV/0!</v>
      </c>
      <c r="D21" s="719" t="e">
        <f ca="1">ROUND(D19*10000/L19,0)</f>
        <v>#REF!</v>
      </c>
      <c r="E21" s="827"/>
      <c r="F21" s="1764" t="s">
        <v>1297</v>
      </c>
      <c r="G21" s="140" t="e">
        <f ca="1">ROUND(G19*10000/L19,0)</f>
        <v>#DIV/0!</v>
      </c>
      <c r="H21" s="1765" t="s">
        <v>1296</v>
      </c>
      <c r="I21" s="129"/>
    </row>
    <row r="22" spans="1:36" ht="15" thickBot="1">
      <c r="A22" s="1687" t="s">
        <v>1298</v>
      </c>
      <c r="B22" s="1766"/>
      <c r="C22" s="1767"/>
      <c r="D22" s="720"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648" t="s">
        <v>1299</v>
      </c>
      <c r="B24" s="1761" t="s">
        <v>1291</v>
      </c>
      <c r="C24" s="136">
        <f>IF(B30=0,0,D30)</f>
        <v>0</v>
      </c>
      <c r="D24" s="1768"/>
      <c r="E24" s="129"/>
      <c r="F24" s="129"/>
      <c r="G24" s="129"/>
      <c r="H24" s="129"/>
      <c r="I24" s="129"/>
    </row>
    <row r="25" spans="1:36" ht="14.25">
      <c r="A25" s="364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#DIV/0!</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#DIV/0!</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68" t="s">
        <v>1312</v>
      </c>
      <c r="B36" s="1786" t="s">
        <v>1313</v>
      </c>
      <c r="C36" s="145"/>
      <c r="D36" s="1787"/>
      <c r="E36" s="1788"/>
      <c r="F36" s="1789"/>
      <c r="G36" s="129"/>
      <c r="H36" s="129"/>
      <c r="I36" s="129"/>
    </row>
    <row r="37" spans="1:15" ht="15.75" thickBot="1">
      <c r="A37" s="3669"/>
      <c r="B37" s="1673" t="s">
        <v>1314</v>
      </c>
      <c r="C37" s="147"/>
      <c r="D37" s="1138"/>
      <c r="E37" s="1138"/>
      <c r="F37" s="1789"/>
      <c r="G37" s="129"/>
      <c r="H37" s="129"/>
      <c r="I37" s="129"/>
    </row>
    <row r="38" spans="1:15" ht="15.75" thickBot="1">
      <c r="A38" s="367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5" t="s">
        <v>1326</v>
      </c>
      <c r="B45" s="3646"/>
      <c r="C45" s="3647"/>
      <c r="D45" s="155" t="e">
        <f ca="1">ROUND(H101*F45,0)</f>
        <v>#REF!</v>
      </c>
      <c r="E45" s="156" t="s">
        <v>1327</v>
      </c>
      <c r="F45" s="157">
        <v>1</v>
      </c>
      <c r="G45" s="158" t="s">
        <v>1328</v>
      </c>
      <c r="H45" s="129"/>
      <c r="I45" s="129"/>
      <c r="J45" s="3723" t="s">
        <v>1329</v>
      </c>
      <c r="K45" s="3723"/>
      <c r="L45" s="3723"/>
      <c r="M45" s="3723"/>
      <c r="N45" s="3723"/>
      <c r="O45" s="3723"/>
    </row>
    <row r="46" spans="1:15" ht="14.25" customHeight="1">
      <c r="A46" s="3642" t="s">
        <v>1330</v>
      </c>
      <c r="B46" s="3643"/>
      <c r="C46" s="3643"/>
      <c r="D46" s="3643"/>
      <c r="E46" s="3643"/>
      <c r="F46" s="3643"/>
      <c r="G46" s="3644"/>
      <c r="H46" s="1805"/>
      <c r="I46" s="159"/>
      <c r="J46" s="2522">
        <v>1</v>
      </c>
      <c r="K46" s="3704" t="s">
        <v>1331</v>
      </c>
      <c r="L46" s="3704"/>
      <c r="M46" s="3724"/>
      <c r="N46" s="3724"/>
      <c r="O46" s="3724"/>
    </row>
    <row r="47" spans="1:15" ht="12" customHeight="1">
      <c r="A47" s="160" t="s">
        <v>1332</v>
      </c>
      <c r="B47" s="161"/>
      <c r="C47" s="162"/>
      <c r="D47" s="1086" t="s">
        <v>1333</v>
      </c>
      <c r="E47" s="302" t="s">
        <v>1334</v>
      </c>
      <c r="F47" s="163" t="s">
        <v>1335</v>
      </c>
      <c r="G47" s="2545" t="s">
        <v>1336</v>
      </c>
      <c r="H47" s="2546"/>
      <c r="I47" s="159"/>
      <c r="J47" s="2522">
        <v>2</v>
      </c>
      <c r="K47" s="3704" t="s">
        <v>1337</v>
      </c>
      <c r="L47" s="3704"/>
      <c r="M47" s="3725">
        <f>'数据-取费表'!B2</f>
        <v>45062</v>
      </c>
      <c r="N47" s="3725"/>
      <c r="O47" s="3725"/>
    </row>
    <row r="48" spans="1:15" ht="25.5">
      <c r="A48" s="3673" t="s">
        <v>1338</v>
      </c>
      <c r="B48" s="3656"/>
      <c r="C48" s="365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704" t="s">
        <v>1340</v>
      </c>
      <c r="L48" s="3704"/>
      <c r="M48" s="3726" t="e">
        <f ca="1">H101</f>
        <v>#REF!</v>
      </c>
      <c r="N48" s="3726"/>
      <c r="O48" s="3726"/>
    </row>
    <row r="49" spans="1:35" ht="25.5" customHeight="1">
      <c r="A49" s="2332" t="s">
        <v>1341</v>
      </c>
      <c r="B49" s="3640" t="s">
        <v>1342</v>
      </c>
      <c r="C49" s="3640"/>
      <c r="D49" s="1589">
        <v>0</v>
      </c>
      <c r="E49" s="324" t="s">
        <v>1343</v>
      </c>
      <c r="F49" s="2423" t="s">
        <v>28</v>
      </c>
      <c r="G49" s="3710"/>
      <c r="H49" s="2309" t="s">
        <v>2134</v>
      </c>
      <c r="I49" s="2310"/>
      <c r="J49" s="2522">
        <v>4</v>
      </c>
      <c r="K49" s="3704" t="str">
        <f>IF(项目基本情况!E8="房地产抵押价值","房地产抵押价值","抵押担保权已注销时的房地产抵押价值")</f>
        <v>抵押担保权已注销时的房地产抵押价值</v>
      </c>
      <c r="L49" s="3704"/>
      <c r="M49" s="3726" t="str">
        <f>IF(项目基本情况!E8="房地产抵押价值",H107,H109)</f>
        <v>——</v>
      </c>
      <c r="N49" s="3726"/>
      <c r="O49" s="3726"/>
    </row>
    <row r="50" spans="1:35" ht="25.5" customHeight="1">
      <c r="A50" s="2550"/>
      <c r="B50" s="3640" t="s">
        <v>1344</v>
      </c>
      <c r="C50" s="3640"/>
      <c r="D50" s="2551"/>
      <c r="E50" s="332"/>
      <c r="F50" s="2423"/>
      <c r="G50" s="3711"/>
      <c r="H50" s="2311" t="s">
        <v>2135</v>
      </c>
      <c r="I50" s="2310"/>
      <c r="J50" s="3723" t="s">
        <v>1345</v>
      </c>
      <c r="K50" s="3723"/>
      <c r="L50" s="3723"/>
      <c r="M50" s="3723"/>
      <c r="N50" s="3723"/>
      <c r="O50" s="3723"/>
    </row>
    <row r="51" spans="1:35" ht="20.45" customHeight="1">
      <c r="A51" s="2552"/>
      <c r="B51" s="3640" t="s">
        <v>1346</v>
      </c>
      <c r="C51" s="3640"/>
      <c r="D51" s="1086"/>
      <c r="E51" s="327"/>
      <c r="F51" s="2423"/>
      <c r="G51" s="3712"/>
      <c r="H51" s="2311" t="s">
        <v>2136</v>
      </c>
      <c r="I51" s="2310"/>
      <c r="J51" s="2523" t="s">
        <v>1347</v>
      </c>
      <c r="K51" s="3704" t="s">
        <v>1348</v>
      </c>
      <c r="L51" s="3704"/>
      <c r="M51" s="2523" t="s">
        <v>1349</v>
      </c>
      <c r="N51" s="2523" t="s">
        <v>1350</v>
      </c>
      <c r="O51" s="2523" t="s">
        <v>1351</v>
      </c>
    </row>
    <row r="52" spans="1:35" ht="24" customHeight="1">
      <c r="A52" s="2334" t="s">
        <v>1352</v>
      </c>
      <c r="B52" s="3640" t="s">
        <v>1353</v>
      </c>
      <c r="C52" s="3640"/>
      <c r="D52" s="1086" t="e">
        <f ca="1">ROUND(D45*'数据-取费表'!B41/(1+'数据-取费表'!C42),0)</f>
        <v>#REF!</v>
      </c>
      <c r="E52" s="2333" t="s">
        <v>1354</v>
      </c>
      <c r="F52" s="2553">
        <f>'数据-取费表'!B41</f>
        <v>5.6000000000000001E-2</v>
      </c>
      <c r="G52" s="2554"/>
      <c r="H52" s="2543"/>
      <c r="I52" s="1806"/>
      <c r="J52" s="2522">
        <v>1</v>
      </c>
      <c r="K52" s="3705" t="s">
        <v>1355</v>
      </c>
      <c r="L52" s="3705"/>
      <c r="M52" s="2524" t="b">
        <f>D48</f>
        <v>0</v>
      </c>
      <c r="N52" s="2522" t="str">
        <f>E48</f>
        <v>销售额×税（费）率</v>
      </c>
      <c r="O52" s="2525">
        <f>F48</f>
        <v>5.6000000000000001E-2</v>
      </c>
    </row>
    <row r="53" spans="1:35" ht="12" customHeight="1">
      <c r="A53" s="2334" t="s">
        <v>1356</v>
      </c>
      <c r="B53" s="3666" t="s">
        <v>2282</v>
      </c>
      <c r="C53" s="3667"/>
      <c r="D53" s="1086" t="e">
        <f ca="1">ROUND(D45*'数据-取费表'!B41/(1+'数据-取费表'!C42),0)</f>
        <v>#REF!</v>
      </c>
      <c r="E53" s="2333" t="s">
        <v>1354</v>
      </c>
      <c r="F53" s="2553">
        <f>'数据-取费表'!B41</f>
        <v>5.6000000000000001E-2</v>
      </c>
      <c r="G53" s="2554"/>
      <c r="H53" s="2543"/>
      <c r="I53" s="1806"/>
      <c r="J53" s="2522">
        <v>2</v>
      </c>
      <c r="K53" s="3705" t="s">
        <v>1357</v>
      </c>
      <c r="L53" s="3705"/>
      <c r="M53" s="2524" t="e">
        <f t="shared" ref="M53:O54" ca="1" si="0">D55</f>
        <v>#REF!</v>
      </c>
      <c r="N53" s="2522" t="str">
        <f t="shared" si="0"/>
        <v>销售额×税（费）率</v>
      </c>
      <c r="O53" s="2525" t="str">
        <f t="shared" si="0"/>
        <v>免征</v>
      </c>
    </row>
    <row r="54" spans="1:35" ht="12" customHeight="1">
      <c r="A54" s="2334" t="s">
        <v>1358</v>
      </c>
      <c r="B54" s="3666" t="s">
        <v>2283</v>
      </c>
      <c r="C54" s="3667"/>
      <c r="D54" s="1086" t="e">
        <f ca="1">C68</f>
        <v>#REF!</v>
      </c>
      <c r="E54" s="327" t="s">
        <v>1359</v>
      </c>
      <c r="F54" s="2553">
        <f>'数据-取费表'!B41</f>
        <v>5.6000000000000001E-2</v>
      </c>
      <c r="G54" s="2554"/>
      <c r="H54" s="2555"/>
      <c r="I54" s="1806"/>
      <c r="J54" s="2522">
        <v>3</v>
      </c>
      <c r="K54" s="3705" t="s">
        <v>1360</v>
      </c>
      <c r="L54" s="3705"/>
      <c r="M54" s="2524" t="e">
        <f t="shared" ca="1" si="0"/>
        <v>#REF!</v>
      </c>
      <c r="N54" s="2522" t="str">
        <f t="shared" si="0"/>
        <v>增值额×税（费）率</v>
      </c>
      <c r="O54" s="2526" t="str">
        <f t="shared" si="0"/>
        <v>免征</v>
      </c>
    </row>
    <row r="55" spans="1:35" ht="24" customHeight="1">
      <c r="A55" s="3655" t="s">
        <v>1361</v>
      </c>
      <c r="B55" s="3656"/>
      <c r="C55" s="3656"/>
      <c r="D55" s="2323" t="e">
        <f ca="1">IF(H55="个人住宅",0,ROUND(D45*I55,0))</f>
        <v>#REF!</v>
      </c>
      <c r="E55" s="2333" t="s">
        <v>1362</v>
      </c>
      <c r="F55" s="2553" t="str">
        <f>IF(H55="正常",I55,"免征")</f>
        <v>免征</v>
      </c>
      <c r="G55" s="2554"/>
      <c r="H55" s="2549"/>
      <c r="I55" s="165">
        <f>'数据-取费表'!B49</f>
        <v>5.0000000000000001E-4</v>
      </c>
      <c r="J55" s="2522">
        <f>IF(H59="非个人房产","",4)</f>
        <v>4</v>
      </c>
      <c r="K55" s="3705" t="str">
        <f>IF(H59="非个人房产","——","个人所得税")</f>
        <v>个人所得税</v>
      </c>
      <c r="L55" s="3705"/>
      <c r="M55" s="2527" t="e">
        <f ca="1">D59</f>
        <v>#REF!</v>
      </c>
      <c r="N55" s="2039" t="str">
        <f>E59</f>
        <v>差额计税</v>
      </c>
      <c r="O55" s="2528">
        <f>F59</f>
        <v>0.01</v>
      </c>
    </row>
    <row r="56" spans="1:35" ht="24.75">
      <c r="A56" s="3655" t="s">
        <v>1363</v>
      </c>
      <c r="B56" s="3656"/>
      <c r="C56" s="3656"/>
      <c r="D56" s="2323" t="e">
        <f ca="1">IF(H56="个人住宅",D57,D58)</f>
        <v>#REF!</v>
      </c>
      <c r="E56" s="2333" t="s">
        <v>1364</v>
      </c>
      <c r="F56" s="2553" t="str">
        <f>IF(H56="正常",F58,"免征")</f>
        <v>免征</v>
      </c>
      <c r="G56" s="2556" t="s">
        <v>1365</v>
      </c>
      <c r="H56" s="2557"/>
      <c r="I56" s="1807"/>
      <c r="J56" s="2522" t="str">
        <f>IF(项目基本情况!K6="上海银行",IF(J55="",4,J55+1),"")</f>
        <v/>
      </c>
      <c r="K56" s="3728" t="str">
        <f>IF(项目基本情况!K6="上海银行","其他处置费用","")</f>
        <v/>
      </c>
      <c r="L56" s="3729"/>
      <c r="M56" s="2524" t="str">
        <f>IF(项目基本情况!K6="上海银行",M69,"")</f>
        <v/>
      </c>
      <c r="N56" s="3728" t="str">
        <f>IF(项目基本情况!K6="上海银行","包含处置中涉及的律师、诉讼、拍卖、评估等费用","")</f>
        <v/>
      </c>
      <c r="O56" s="3731"/>
    </row>
    <row r="57" spans="1:35" ht="12.75">
      <c r="A57" s="2334" t="s">
        <v>1341</v>
      </c>
      <c r="B57" s="3666" t="s">
        <v>1366</v>
      </c>
      <c r="C57" s="3667"/>
      <c r="D57" s="1589">
        <v>0</v>
      </c>
      <c r="E57" s="324" t="s">
        <v>1343</v>
      </c>
      <c r="F57" s="302"/>
      <c r="G57" s="2554"/>
      <c r="H57" s="2558"/>
      <c r="I57" s="1807"/>
      <c r="J57" s="3705">
        <f>IF(AND(J55="",J56=""),4,IF(项目基本情况!K6="上海银行",结果表!J56+1,结果表!J55+1))</f>
        <v>5</v>
      </c>
      <c r="K57" s="3705" t="s">
        <v>1367</v>
      </c>
      <c r="L57" s="2529" t="s">
        <v>1368</v>
      </c>
      <c r="M57" s="2530"/>
      <c r="N57" s="2531">
        <f ca="1">SUMIF(M52:M56,"&lt;9e307")</f>
        <v>0</v>
      </c>
      <c r="O57" s="2532"/>
      <c r="P57" s="2689" t="e">
        <f ca="1">N57/M49</f>
        <v>#VALUE!</v>
      </c>
    </row>
    <row r="58" spans="1:35" ht="24.75">
      <c r="A58" s="2334" t="s">
        <v>1352</v>
      </c>
      <c r="B58" s="3666" t="s">
        <v>1369</v>
      </c>
      <c r="C58" s="3640"/>
      <c r="D58" s="2323" t="e">
        <f ca="1">IF(H58="转让取得",C81,C97)</f>
        <v>#REF!</v>
      </c>
      <c r="E58" s="2333" t="s">
        <v>1364</v>
      </c>
      <c r="F58" s="302" t="s">
        <v>28</v>
      </c>
      <c r="G58" s="2554"/>
      <c r="H58" s="2557"/>
      <c r="I58" s="1807"/>
      <c r="J58" s="3705"/>
      <c r="K58" s="3705"/>
      <c r="L58" s="2529" t="s">
        <v>1370</v>
      </c>
      <c r="M58" s="2533"/>
      <c r="N58" s="2534" t="str">
        <f ca="1">NUMBERSTRING(INT(N57*10000),2)&amp;"元整"</f>
        <v>零元整</v>
      </c>
      <c r="O58" s="2535"/>
    </row>
    <row r="59" spans="1:35" ht="24.75" thickBot="1">
      <c r="A59" s="3708" t="s">
        <v>1371</v>
      </c>
      <c r="B59" s="3709"/>
      <c r="C59" s="370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706">
        <f>J57+1</f>
        <v>6</v>
      </c>
      <c r="K59" s="3705" t="s">
        <v>1372</v>
      </c>
      <c r="L59" s="2522" t="s">
        <v>1368</v>
      </c>
      <c r="M59" s="2536"/>
      <c r="N59" s="2537" t="e">
        <f ca="1">M49-N57</f>
        <v>#VALUE!</v>
      </c>
      <c r="O59" s="2538"/>
    </row>
    <row r="60" spans="1:35" ht="12" customHeight="1">
      <c r="A60" s="1808"/>
      <c r="B60" s="1746"/>
      <c r="C60" s="1746"/>
      <c r="D60" s="1746"/>
      <c r="E60" s="1577"/>
      <c r="F60" s="1807"/>
      <c r="G60" s="1807"/>
      <c r="H60" s="1809"/>
      <c r="I60" s="129"/>
      <c r="J60" s="3707"/>
      <c r="K60" s="3705"/>
      <c r="L60" s="2529" t="s">
        <v>1370</v>
      </c>
      <c r="M60" s="2533"/>
      <c r="N60" s="2534" t="e">
        <f ca="1">NUMBERSTRING(INT(N59*10000),2)&amp;"元整"</f>
        <v>#VALUE!</v>
      </c>
      <c r="O60" s="2535"/>
    </row>
    <row r="61" spans="1:35" ht="13.5" thickBot="1">
      <c r="A61" s="3653" t="s">
        <v>1373</v>
      </c>
      <c r="B61" s="3653"/>
      <c r="C61" s="3653"/>
      <c r="D61" s="3653"/>
      <c r="E61" s="3653"/>
      <c r="F61" s="1807"/>
      <c r="G61" s="1807"/>
      <c r="H61" s="1809"/>
      <c r="I61" s="129"/>
      <c r="J61" s="2522">
        <f>J59+1</f>
        <v>7</v>
      </c>
      <c r="K61" s="3705" t="s">
        <v>1374</v>
      </c>
      <c r="L61" s="3705"/>
      <c r="M61" s="2539"/>
      <c r="N61" s="2540" t="e">
        <f ca="1">ROUND(N59*10000/'数据-汇总表'!E3,0)</f>
        <v>#VALUE!</v>
      </c>
      <c r="O61" s="2541"/>
    </row>
    <row r="62" spans="1:35" ht="12.75">
      <c r="A62" s="3671" t="s">
        <v>1375</v>
      </c>
      <c r="B62" s="3672"/>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730"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3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30"/>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30"/>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3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730"/>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30"/>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92" t="s">
        <v>1394</v>
      </c>
      <c r="B70" s="3693"/>
      <c r="C70" s="3693"/>
      <c r="D70" s="3693"/>
      <c r="E70" s="3693"/>
      <c r="F70" s="3693"/>
      <c r="G70" s="3693"/>
      <c r="H70" s="369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71" t="s">
        <v>1375</v>
      </c>
      <c r="B71" s="367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66" t="s">
        <v>1402</v>
      </c>
      <c r="F76" s="3640"/>
      <c r="G76" s="3640"/>
      <c r="H76" s="369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50" t="s">
        <v>1406</v>
      </c>
      <c r="F78" s="3651"/>
      <c r="G78" s="3651"/>
      <c r="H78" s="366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92" t="s">
        <v>1410</v>
      </c>
      <c r="B83" s="3693"/>
      <c r="C83" s="3693"/>
      <c r="D83" s="3693"/>
      <c r="E83" s="3693"/>
      <c r="F83" s="3693"/>
      <c r="G83" s="3693"/>
      <c r="H83" s="369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71" t="s">
        <v>1375</v>
      </c>
      <c r="B84" s="367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732" t="s">
        <v>2129</v>
      </c>
      <c r="H90" s="3733"/>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50" t="s">
        <v>1419</v>
      </c>
      <c r="F91" s="3651"/>
      <c r="G91" s="365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50" t="s">
        <v>1422</v>
      </c>
      <c r="F92" s="3651"/>
      <c r="G92" s="3651"/>
      <c r="H92" s="3660"/>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50" t="s">
        <v>1406</v>
      </c>
      <c r="F93" s="3651"/>
      <c r="G93" s="3651"/>
      <c r="H93" s="366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1" t="s">
        <v>1426</v>
      </c>
      <c r="F94" s="3662"/>
      <c r="G94" s="3662"/>
      <c r="H94" s="36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34" t="s">
        <v>1428</v>
      </c>
      <c r="B100" s="3635"/>
      <c r="C100" s="3635"/>
      <c r="D100" s="3652"/>
      <c r="E100" s="3635" t="s">
        <v>1429</v>
      </c>
      <c r="F100" s="3635"/>
      <c r="G100" s="3635"/>
      <c r="H100" s="3652"/>
      <c r="I100" s="129"/>
    </row>
    <row r="101" spans="1:35" ht="18.75" customHeight="1">
      <c r="A101" s="3713" t="s">
        <v>1430</v>
      </c>
      <c r="B101" s="3714"/>
      <c r="C101" s="2584" t="str">
        <f>C4</f>
        <v>比较法-商业</v>
      </c>
      <c r="D101" s="2585">
        <f>D4</f>
        <v>0</v>
      </c>
      <c r="E101" s="3727" t="s">
        <v>1431</v>
      </c>
      <c r="F101" s="3684"/>
      <c r="G101" s="1826" t="s">
        <v>1432</v>
      </c>
      <c r="H101" s="2594" t="e">
        <f ca="1">H118</f>
        <v>#REF!</v>
      </c>
      <c r="I101" s="129"/>
    </row>
    <row r="102" spans="1:35" ht="18.75" customHeight="1">
      <c r="A102" s="3686" t="s">
        <v>1433</v>
      </c>
      <c r="B102" s="2583" t="s">
        <v>1432</v>
      </c>
      <c r="C102" s="2584">
        <f ca="1">IF(D32="楼面单价",ROUND(C19,0),C19)</f>
        <v>1.1973</v>
      </c>
      <c r="D102" s="2585" t="e">
        <f ca="1">IF(D32="楼面单价",ROUND(D19,0),D19)</f>
        <v>#REF!</v>
      </c>
      <c r="E102" s="3727"/>
      <c r="F102" s="3684"/>
      <c r="G102" s="1826" t="s">
        <v>1434</v>
      </c>
      <c r="H102" s="2554" t="e">
        <f ca="1">I118</f>
        <v>#REF!</v>
      </c>
      <c r="I102" s="129"/>
    </row>
    <row r="103" spans="1:35" ht="42.75" customHeight="1">
      <c r="A103" s="3686"/>
      <c r="B103" s="2583" t="s">
        <v>1434</v>
      </c>
      <c r="C103" s="2586">
        <f ca="1">C20</f>
        <v>11.2</v>
      </c>
      <c r="D103" s="2587" t="e">
        <f ca="1">D20</f>
        <v>#REF!</v>
      </c>
      <c r="E103" s="3721" t="s">
        <v>1435</v>
      </c>
      <c r="F103" s="3722"/>
      <c r="G103" s="1827" t="s">
        <v>1436</v>
      </c>
      <c r="H103" s="2594">
        <f>IF(D36="正常操作",H104+H105+H106,H105+H106)</f>
        <v>0</v>
      </c>
      <c r="I103" s="129"/>
    </row>
    <row r="104" spans="1:35" ht="18.75" customHeight="1">
      <c r="A104" s="3686"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87"/>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83" t="str">
        <f>IF(项目基本情况!E8="已注销","——","3.房地产抵押价值")</f>
        <v>3.房地产抵押价值</v>
      </c>
      <c r="F107" s="3684"/>
      <c r="G107" s="1826" t="s">
        <v>1432</v>
      </c>
      <c r="H107" s="2594" t="e">
        <f ca="1">IF(E107="——","——",H101-H103)</f>
        <v>#REF!</v>
      </c>
      <c r="I107" s="129"/>
    </row>
    <row r="108" spans="1:35" ht="18.75" customHeight="1">
      <c r="A108" s="129"/>
      <c r="B108" s="129"/>
      <c r="C108" s="129"/>
      <c r="D108" s="129"/>
      <c r="E108" s="3683"/>
      <c r="F108" s="3684"/>
      <c r="G108" s="1826" t="s">
        <v>1434</v>
      </c>
      <c r="H108" s="2554">
        <f ca="1">IF(H107=H101,H102,ROUND(H107*10000/'数据-汇总表'!E3,0))</f>
        <v>0</v>
      </c>
      <c r="I108" s="129"/>
    </row>
    <row r="109" spans="1:35" ht="18.75" customHeight="1">
      <c r="A109" s="129"/>
      <c r="B109" s="129"/>
      <c r="C109" s="129"/>
      <c r="D109" s="129"/>
      <c r="E109" s="3683" t="str">
        <f>IF(项目基本情况!E8="已注销及未注销","4.抵押担保权已注销时的房地产抵押价值",IF(项目基本情况!E8="已注销","3.抵押担保权已注销时的房地产抵押价值","——"))</f>
        <v>——</v>
      </c>
      <c r="F109" s="3684"/>
      <c r="G109" s="1826" t="s">
        <v>1432</v>
      </c>
      <c r="H109" s="2597" t="str">
        <f>IF(E109="——","——",H101-H105-H106)</f>
        <v>——</v>
      </c>
      <c r="I109" s="129"/>
    </row>
    <row r="110" spans="1:35" ht="18.75" customHeight="1">
      <c r="A110" s="129"/>
      <c r="B110" s="129"/>
      <c r="C110" s="129"/>
      <c r="D110" s="129"/>
      <c r="E110" s="3683"/>
      <c r="F110" s="3684"/>
      <c r="G110" s="1826" t="s">
        <v>1434</v>
      </c>
      <c r="H110" s="2554" t="str">
        <f>IF(H109="——","——",ROUND(H109*10000/'数据-汇总表'!E3,0))</f>
        <v>——</v>
      </c>
      <c r="I110" s="129"/>
    </row>
    <row r="111" spans="1:35" ht="18.75" customHeight="1">
      <c r="A111" s="129"/>
      <c r="B111" s="129"/>
      <c r="C111" s="129"/>
      <c r="D111" s="129"/>
      <c r="E111" s="3715" t="str">
        <f>IF(项目基本情况!E9="抵押净值",IF(OR(项目基本情况!E8="已注销",项目基本情况!E8="房地产抵押价值"),"4.抵押净值","5.抵押净值"),"——")</f>
        <v>——</v>
      </c>
      <c r="F111" s="3685"/>
      <c r="G111" s="1826" t="s">
        <v>1432</v>
      </c>
      <c r="H111" s="2594" t="str">
        <f>IF(E111="——","——",N59)</f>
        <v>——</v>
      </c>
      <c r="I111" s="129"/>
    </row>
    <row r="112" spans="1:35" ht="18.75" customHeight="1" thickBot="1">
      <c r="A112" s="129"/>
      <c r="B112" s="129"/>
      <c r="C112" s="129"/>
      <c r="D112" s="129"/>
      <c r="E112" s="3716"/>
      <c r="F112" s="3717"/>
      <c r="G112" s="1829" t="s">
        <v>1434</v>
      </c>
      <c r="H112" s="2598" t="str">
        <f>IF(E111="——","——",N61)</f>
        <v>——</v>
      </c>
      <c r="I112" s="129"/>
    </row>
    <row r="113" spans="1:27" ht="18.75" customHeight="1">
      <c r="A113" s="129"/>
      <c r="B113" s="129"/>
      <c r="C113" s="129"/>
      <c r="D113" s="129"/>
      <c r="E113" s="3688" t="s">
        <v>1440</v>
      </c>
      <c r="F113" s="3688"/>
      <c r="G113" s="3688"/>
      <c r="H113" s="3688"/>
      <c r="I113" s="129"/>
    </row>
    <row r="114" spans="1:27" ht="3.75" customHeight="1">
      <c r="A114" s="1746"/>
      <c r="B114" s="1746"/>
      <c r="C114" s="1746"/>
      <c r="D114" s="1746"/>
      <c r="E114" s="1808"/>
      <c r="F114" s="1808"/>
      <c r="G114" s="1808"/>
      <c r="H114" s="1808"/>
      <c r="I114" s="1746"/>
    </row>
    <row r="115" spans="1:27" ht="18.75" customHeight="1">
      <c r="A115" s="3698" t="s">
        <v>1442</v>
      </c>
      <c r="B115" s="3699"/>
      <c r="C115" s="3699"/>
      <c r="D115" s="3699"/>
      <c r="E115" s="3699"/>
      <c r="F115" s="3699"/>
      <c r="G115" s="3699"/>
      <c r="H115" s="3699"/>
      <c r="I115" s="3700"/>
    </row>
    <row r="116" spans="1:27" ht="27" customHeight="1">
      <c r="A116" s="3654" t="s">
        <v>1443</v>
      </c>
      <c r="B116" s="3689" t="s">
        <v>1444</v>
      </c>
      <c r="C116" s="3689" t="s">
        <v>1445</v>
      </c>
      <c r="D116" s="3702" t="s">
        <v>1446</v>
      </c>
      <c r="E116" s="3703"/>
      <c r="F116" s="3697" t="s">
        <v>1447</v>
      </c>
      <c r="G116" s="3697"/>
      <c r="H116" s="3654" t="s">
        <v>1448</v>
      </c>
      <c r="I116" s="3654"/>
    </row>
    <row r="117" spans="1:27" ht="18.75" customHeight="1">
      <c r="A117" s="3654"/>
      <c r="B117" s="3690"/>
      <c r="C117" s="3690"/>
      <c r="D117" s="2328" t="s">
        <v>1449</v>
      </c>
      <c r="E117" s="2328" t="s">
        <v>1450</v>
      </c>
      <c r="F117" s="2328" t="s">
        <v>1449</v>
      </c>
      <c r="G117" s="2328" t="s">
        <v>1451</v>
      </c>
      <c r="H117" s="2328" t="s">
        <v>1449</v>
      </c>
      <c r="I117" s="2328" t="s">
        <v>1451</v>
      </c>
    </row>
    <row r="118" spans="1:27" ht="24.75" customHeight="1">
      <c r="A118" s="2599" t="str">
        <f>项目基本情况!S2</f>
        <v>房地产</v>
      </c>
      <c r="B118" s="2328">
        <f>M18</f>
        <v>1068.98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54" t="s">
        <v>1452</v>
      </c>
      <c r="B119" s="3654"/>
      <c r="C119" s="3654"/>
      <c r="D119" s="3694" t="e">
        <f ca="1">NUMBERSTRING(INT(D118*10000),2)&amp;"元整"</f>
        <v>#REF!</v>
      </c>
      <c r="E119" s="3696"/>
      <c r="F119" s="3694" t="e">
        <f ca="1">NUMBERSTRING(INT(F118*10000),2)&amp;"元整"</f>
        <v>#REF!</v>
      </c>
      <c r="G119" s="3696"/>
      <c r="H119" s="3694" t="e">
        <f ca="1">NUMBERSTRING(INT(H118*10000),2)&amp;"元整"</f>
        <v>#REF!</v>
      </c>
      <c r="I119" s="3696"/>
    </row>
    <row r="120" spans="1:27" ht="18.75" customHeight="1">
      <c r="A120" s="3718" t="str">
        <f>IF(项目基本情况!B9="房地产市场价值","",MID(E103,3,LEN(E103)-2))</f>
        <v>估价师知悉的法定优先受偿款</v>
      </c>
      <c r="B120" s="3719"/>
      <c r="C120" s="3720"/>
      <c r="D120" s="3718">
        <f>H103</f>
        <v>0</v>
      </c>
      <c r="E120" s="3719"/>
      <c r="F120" s="3719"/>
      <c r="G120" s="3719"/>
      <c r="H120" s="3719"/>
      <c r="I120" s="372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94" t="s">
        <v>1452</v>
      </c>
      <c r="B121" s="3695"/>
      <c r="C121" s="3696"/>
      <c r="D121" s="3694" t="str">
        <f>IF(D120=0,"零元整",NUMBERSTRING(INT(D120*10000),2)&amp;"元整")</f>
        <v>零元整</v>
      </c>
      <c r="E121" s="3695"/>
      <c r="F121" s="3695"/>
      <c r="G121" s="3695"/>
      <c r="H121" s="3695"/>
      <c r="I121" s="3696"/>
      <c r="AA121" s="724"/>
    </row>
    <row r="122" spans="1:27" ht="18.75" customHeight="1">
      <c r="A122" s="3685" t="str">
        <f>IF(项目基本情况!B9="房地产市场价值","",MID(E107,3,LEN(E107)-2))</f>
        <v>房地产抵押价值</v>
      </c>
      <c r="B122" s="3685"/>
      <c r="C122" s="3685"/>
      <c r="D122" s="3718" t="e">
        <f ca="1">H107</f>
        <v>#REF!</v>
      </c>
      <c r="E122" s="3719"/>
      <c r="F122" s="3719"/>
      <c r="G122" s="3719"/>
      <c r="H122" s="3719"/>
      <c r="I122" s="3720"/>
      <c r="AA122" s="724"/>
    </row>
    <row r="123" spans="1:27" ht="18.75" customHeight="1">
      <c r="A123" s="3654" t="s">
        <v>1452</v>
      </c>
      <c r="B123" s="3654"/>
      <c r="C123" s="3654"/>
      <c r="D123" s="3694" t="e">
        <f ca="1">NUMBERSTRING(INT(D122*10000),2)&amp;"元整"</f>
        <v>#REF!</v>
      </c>
      <c r="E123" s="3695"/>
      <c r="F123" s="3695"/>
      <c r="G123" s="3695"/>
      <c r="H123" s="3695"/>
      <c r="I123" s="3696"/>
      <c r="AA123" s="724"/>
    </row>
    <row r="124" spans="1:27" ht="18.75" customHeight="1">
      <c r="A124" s="3685" t="str">
        <f>IF(项目基本情况!B9="房地产市场价值","",MID(E109,3,LEN(E109)-2))</f>
        <v/>
      </c>
      <c r="B124" s="3685"/>
      <c r="C124" s="3685"/>
      <c r="D124" s="3718" t="str">
        <f>H109</f>
        <v>——</v>
      </c>
      <c r="E124" s="3719"/>
      <c r="F124" s="3719"/>
      <c r="G124" s="3719"/>
      <c r="H124" s="3719"/>
      <c r="I124" s="3720"/>
      <c r="AA124" s="724"/>
    </row>
    <row r="125" spans="1:27" ht="18.75" customHeight="1">
      <c r="A125" s="3654" t="s">
        <v>1452</v>
      </c>
      <c r="B125" s="3654"/>
      <c r="C125" s="3654"/>
      <c r="D125" s="3694" t="e">
        <f>NUMBERSTRING(INT(D124*10000),2)&amp;"元整"</f>
        <v>#VALUE!</v>
      </c>
      <c r="E125" s="3695"/>
      <c r="F125" s="3695"/>
      <c r="G125" s="3695"/>
      <c r="H125" s="3695"/>
      <c r="I125" s="3696"/>
      <c r="AA125" s="724"/>
    </row>
    <row r="126" spans="1:27" ht="18.75" customHeight="1">
      <c r="A126" s="3685" t="str">
        <f>IF(项目基本情况!B9="房地产市场价值","",MID(E111,3,LEN(E111)-2))</f>
        <v/>
      </c>
      <c r="B126" s="3685"/>
      <c r="C126" s="3685"/>
      <c r="D126" s="3718" t="str">
        <f>H111</f>
        <v>——</v>
      </c>
      <c r="E126" s="3719"/>
      <c r="F126" s="3719"/>
      <c r="G126" s="3719"/>
      <c r="H126" s="3719"/>
      <c r="I126" s="3720"/>
      <c r="AA126" s="724"/>
    </row>
    <row r="127" spans="1:27" ht="18.75" customHeight="1">
      <c r="A127" s="3654" t="s">
        <v>1452</v>
      </c>
      <c r="B127" s="3654"/>
      <c r="C127" s="3654"/>
      <c r="D127" s="3694" t="e">
        <f>NUMBERSTRING(INT(D126*10000),2)&amp;"元整"</f>
        <v>#VALUE!</v>
      </c>
      <c r="E127" s="3695"/>
      <c r="F127" s="3695"/>
      <c r="G127" s="3695"/>
      <c r="H127" s="3695"/>
      <c r="I127" s="3696"/>
      <c r="AA127" s="724"/>
    </row>
    <row r="128" spans="1:27" ht="21.75" customHeight="1">
      <c r="A128" s="3701" t="s">
        <v>1453</v>
      </c>
      <c r="B128" s="3701"/>
      <c r="C128" s="3701"/>
      <c r="D128" s="3701"/>
      <c r="E128" s="3701"/>
      <c r="F128" s="3701"/>
      <c r="G128" s="3701"/>
      <c r="H128" s="3701"/>
      <c r="I128" s="370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-24</v>
      </c>
      <c r="C2" s="276" t="s">
        <v>1595</v>
      </c>
      <c r="D2" s="276"/>
      <c r="E2" s="2805"/>
      <c r="F2" s="2805"/>
      <c r="G2" s="2805"/>
      <c r="H2" s="2805"/>
      <c r="I2" s="2805"/>
      <c r="J2" s="2805"/>
      <c r="K2" s="2805"/>
    </row>
    <row r="3" spans="1:33" ht="18" customHeight="1" thickBot="1">
      <c r="A3" s="203" t="s">
        <v>1464</v>
      </c>
      <c r="B3" s="204">
        <f ca="1">ROUND(B2*10000/IF(C1="",'数据-汇总表'!E3,INDIRECT("'数据-取费表'!K"&amp;$K$1)),0)</f>
        <v>-225</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1068.98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1068.98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21</v>
      </c>
      <c r="D20" s="845">
        <f ca="1">IF(C1="",'数据-汇总表'!E6,IF(INDIRECT("'数据-取费表'!c"&amp;$K$1)="住宅",INDIRECT("'数据-取费表'!s"&amp;$K$1),INDIRECT("'数据-取费表'!k"&amp;$K$1)+INDIRECT("'数据-取费表'!s"&amp;$K$1)))</f>
        <v>1068.98</v>
      </c>
      <c r="E20" s="21">
        <f>'数据-取费表'!B28</f>
        <v>200</v>
      </c>
      <c r="F20" s="803"/>
      <c r="G20" s="12"/>
      <c r="H20" s="808"/>
      <c r="I20" s="808"/>
      <c r="J20" s="808"/>
      <c r="K20" s="809"/>
    </row>
    <row r="21" spans="1:33" s="802" customFormat="1" ht="13.5" customHeight="1">
      <c r="A21" s="789" t="s">
        <v>357</v>
      </c>
      <c r="B21" s="812" t="s">
        <v>1628</v>
      </c>
      <c r="C21" s="813">
        <f ca="1">C16+C17+C18</f>
        <v>21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4</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1" t="str">
        <f>项目基本情况!B1</f>
        <v>预评估</v>
      </c>
      <c r="C37" s="3551"/>
      <c r="D37" s="3551"/>
      <c r="E37" s="3551"/>
      <c r="F37" s="3551"/>
      <c r="G37" s="3551"/>
      <c r="H37" s="3551"/>
      <c r="I37" s="355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36" t="s">
        <v>694</v>
      </c>
      <c r="C6" s="1073">
        <f ca="1">ROUND(F6*F8*F7*(1-F9)/10000,0)</f>
        <v>0</v>
      </c>
      <c r="D6" s="155" t="s">
        <v>2109</v>
      </c>
      <c r="E6" s="302" t="s">
        <v>696</v>
      </c>
      <c r="F6" s="303">
        <f ca="1">INDIRECT("'数据-取费表'!u"&amp;$G$1)</f>
        <v>0</v>
      </c>
      <c r="G6" s="1383"/>
      <c r="H6" s="1068" t="s">
        <v>398</v>
      </c>
      <c r="I6" s="3736" t="s">
        <v>694</v>
      </c>
      <c r="J6" s="301">
        <f ca="1">ROUND(M6*M8*M7*(1-M9)/10000,0)</f>
        <v>0</v>
      </c>
      <c r="K6" s="155" t="s">
        <v>2108</v>
      </c>
      <c r="L6" s="302" t="s">
        <v>696</v>
      </c>
      <c r="M6" s="303">
        <f ca="1">INDIRECT("'数据-取费表'!z"&amp;$G$1)</f>
        <v>0</v>
      </c>
    </row>
    <row r="7" spans="1:37" ht="18" customHeight="1">
      <c r="A7" s="1072"/>
      <c r="B7" s="3737"/>
      <c r="C7" s="1074"/>
      <c r="D7" s="307"/>
      <c r="E7" s="1075"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36" t="s">
        <v>694</v>
      </c>
      <c r="C6" s="1073">
        <f ca="1">ROUND(F6*F8*F7*(1-F9),0)</f>
        <v>0</v>
      </c>
      <c r="D6" s="155" t="s">
        <v>2106</v>
      </c>
      <c r="E6" s="302" t="s">
        <v>696</v>
      </c>
      <c r="F6" s="303">
        <f ca="1">INDIRECT("'数据-取费表'!u"&amp;$G$1)</f>
        <v>0</v>
      </c>
      <c r="G6" s="1383"/>
      <c r="H6" s="1068" t="s">
        <v>398</v>
      </c>
      <c r="I6" s="3736" t="s">
        <v>694</v>
      </c>
      <c r="J6" s="301">
        <f ca="1">ROUND(M6*M8*M7*(1-M9),0)</f>
        <v>0</v>
      </c>
      <c r="K6" s="1375" t="s">
        <v>2107</v>
      </c>
      <c r="L6" s="302" t="s">
        <v>696</v>
      </c>
      <c r="M6" s="303">
        <f ca="1">INDIRECT("'数据-取费表'!z"&amp;$G$1)</f>
        <v>0</v>
      </c>
    </row>
    <row r="7" spans="1:37" ht="18" customHeight="1">
      <c r="A7" s="1072"/>
      <c r="B7" s="3737"/>
      <c r="C7" s="1074"/>
      <c r="D7" s="307"/>
      <c r="E7" s="1075"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t="e">
        <f ca="1">ROUND((C68-C40)/10000,4)</f>
        <v>#DIV/0!</v>
      </c>
      <c r="D45" s="3431" t="s">
        <v>3348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45" t="s">
        <v>2311</v>
      </c>
      <c r="K2" s="3746"/>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47" t="s">
        <v>2321</v>
      </c>
      <c r="K3" s="3748"/>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47" t="s">
        <v>2323</v>
      </c>
      <c r="K4" s="3748"/>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53" t="s">
        <v>2327</v>
      </c>
      <c r="B6" s="3754"/>
      <c r="C6" s="3755"/>
      <c r="D6" s="2869"/>
      <c r="E6" s="2870"/>
      <c r="F6" s="2871"/>
      <c r="G6" s="2872"/>
      <c r="H6" s="2847"/>
      <c r="I6" s="2848"/>
      <c r="J6" s="3739">
        <v>1</v>
      </c>
      <c r="K6" s="3740"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9"/>
      <c r="K7" s="3741"/>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56" t="s">
        <v>2341</v>
      </c>
      <c r="C8" s="3757"/>
      <c r="D8" s="2888" t="s">
        <v>2342</v>
      </c>
      <c r="E8" s="2889" t="s">
        <v>2343</v>
      </c>
      <c r="F8" s="2890" t="s">
        <v>2344</v>
      </c>
      <c r="G8" s="2891"/>
      <c r="H8" s="2847"/>
      <c r="I8" s="2848"/>
      <c r="J8" s="3739"/>
      <c r="K8" s="3741"/>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56" t="s">
        <v>2347</v>
      </c>
      <c r="C9" s="3757"/>
      <c r="D9" s="2888">
        <f>ROUND(D6*E9,0)</f>
        <v>0</v>
      </c>
      <c r="E9" s="2892"/>
      <c r="F9" s="2893" t="s">
        <v>2348</v>
      </c>
      <c r="G9" s="2872"/>
      <c r="H9" s="2847"/>
      <c r="I9" s="2848"/>
      <c r="J9" s="3739"/>
      <c r="K9" s="3741"/>
      <c r="L9" s="2882" t="s">
        <v>2349</v>
      </c>
      <c r="M9" s="2883"/>
      <c r="N9" s="2859"/>
      <c r="O9" s="2884"/>
      <c r="P9" s="2884"/>
      <c r="Q9" s="2885">
        <v>365</v>
      </c>
      <c r="R9" s="2886">
        <f t="shared" si="0"/>
        <v>0</v>
      </c>
      <c r="S9" s="2840"/>
      <c r="T9" s="2840"/>
      <c r="U9" s="2840"/>
      <c r="V9" s="2848"/>
    </row>
    <row r="10" spans="1:22" s="2852" customFormat="1" ht="13.15" customHeight="1">
      <c r="A10" s="2887">
        <v>2</v>
      </c>
      <c r="B10" s="3756" t="s">
        <v>2350</v>
      </c>
      <c r="C10" s="3757"/>
      <c r="D10" s="2888">
        <f>ROUND(D6*E10,0)</f>
        <v>0</v>
      </c>
      <c r="E10" s="2892"/>
      <c r="F10" s="2893" t="s">
        <v>2351</v>
      </c>
      <c r="G10" s="2872"/>
      <c r="H10" s="2847"/>
      <c r="I10" s="2848"/>
      <c r="J10" s="3739"/>
      <c r="K10" s="3741"/>
      <c r="L10" s="2882" t="s">
        <v>2352</v>
      </c>
      <c r="M10" s="2883"/>
      <c r="N10" s="2859"/>
      <c r="O10" s="2884"/>
      <c r="P10" s="2884"/>
      <c r="Q10" s="2885">
        <v>365</v>
      </c>
      <c r="R10" s="2886">
        <f t="shared" si="0"/>
        <v>0</v>
      </c>
      <c r="S10" s="2840"/>
      <c r="T10" s="2840"/>
      <c r="U10" s="2840"/>
      <c r="V10" s="2848"/>
    </row>
    <row r="11" spans="1:22" s="2852" customFormat="1" ht="13.15" customHeight="1">
      <c r="A11" s="2887">
        <v>3</v>
      </c>
      <c r="B11" s="3756" t="s">
        <v>2353</v>
      </c>
      <c r="C11" s="3757"/>
      <c r="D11" s="2888">
        <f>D12+D14+D15+D16</f>
        <v>0</v>
      </c>
      <c r="E11" s="2894" t="e">
        <f>D11/D6</f>
        <v>#DIV/0!</v>
      </c>
      <c r="F11" s="2890"/>
      <c r="G11" s="2891"/>
      <c r="H11" s="2847"/>
      <c r="I11" s="2848"/>
      <c r="J11" s="3739"/>
      <c r="K11" s="3741"/>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9" t="s">
        <v>2356</v>
      </c>
      <c r="C12" s="3750"/>
      <c r="D12" s="2896">
        <f>ROUND(D13*1.2%*(1-30%),0)</f>
        <v>0</v>
      </c>
      <c r="E12" s="2897">
        <v>1.2E-2</v>
      </c>
      <c r="F12" s="2890" t="s">
        <v>2357</v>
      </c>
      <c r="G12" s="2891"/>
      <c r="H12" s="2847"/>
      <c r="I12" s="2848"/>
      <c r="J12" s="3739"/>
      <c r="K12" s="3741"/>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9"/>
      <c r="K13" s="3741"/>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9" t="s">
        <v>2362</v>
      </c>
      <c r="C14" s="3750"/>
      <c r="D14" s="2896">
        <f>ROUND(E14*B5/10000,0)</f>
        <v>0</v>
      </c>
      <c r="E14" s="2885"/>
      <c r="F14" s="2890" t="s">
        <v>2363</v>
      </c>
      <c r="G14" s="2891"/>
      <c r="H14" s="2847"/>
      <c r="I14" s="2848"/>
      <c r="J14" s="3739"/>
      <c r="K14" s="3742"/>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9" t="s">
        <v>2366</v>
      </c>
      <c r="C15" s="3750"/>
      <c r="D15" s="2896">
        <f>ROUND(D6*E15,0)</f>
        <v>0</v>
      </c>
      <c r="E15" s="2897">
        <v>5.5E-2</v>
      </c>
      <c r="F15" s="2890" t="s">
        <v>2367</v>
      </c>
      <c r="G15" s="2872"/>
      <c r="H15" s="2847"/>
      <c r="I15" s="2848"/>
      <c r="J15" s="3739">
        <v>2</v>
      </c>
      <c r="K15" s="3740"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9" t="s">
        <v>2375</v>
      </c>
      <c r="C16" s="3750"/>
      <c r="D16" s="2907">
        <f>D6*E16</f>
        <v>0</v>
      </c>
      <c r="E16" s="2908"/>
      <c r="F16" s="2893" t="s">
        <v>2376</v>
      </c>
      <c r="G16" s="2872"/>
      <c r="H16" s="2847"/>
      <c r="I16" s="2848"/>
      <c r="J16" s="3739"/>
      <c r="K16" s="3741"/>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51" t="s">
        <v>2378</v>
      </c>
      <c r="C17" s="3752"/>
      <c r="D17" s="2910">
        <f>ROUND(D6*E17,0)</f>
        <v>0</v>
      </c>
      <c r="E17" s="2911"/>
      <c r="F17" s="2912" t="s">
        <v>2379</v>
      </c>
      <c r="G17" s="2872"/>
      <c r="H17" s="2847"/>
      <c r="I17" s="2848"/>
      <c r="J17" s="3739"/>
      <c r="K17" s="3741"/>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9"/>
      <c r="K18" s="3741"/>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9"/>
      <c r="K19" s="3742"/>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9">
        <v>3</v>
      </c>
      <c r="K20" s="3740"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9"/>
      <c r="K21" s="3741"/>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9"/>
      <c r="K22" s="3741"/>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9"/>
      <c r="K23" s="3741"/>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9"/>
      <c r="K24" s="3742"/>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43">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4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45" t="s">
        <v>2311</v>
      </c>
      <c r="K32" s="3746"/>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47" t="s">
        <v>2321</v>
      </c>
      <c r="K33" s="3748"/>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47" t="s">
        <v>2323</v>
      </c>
      <c r="K34" s="374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9">
        <v>1</v>
      </c>
      <c r="K36" s="3740"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9"/>
      <c r="K37" s="3741"/>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9"/>
      <c r="K38" s="3741"/>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9"/>
      <c r="K39" s="3741"/>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9"/>
      <c r="K40" s="3742"/>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3">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4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8" t="s">
        <v>1654</v>
      </c>
      <c r="C5" s="3759"/>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D61" sqref="D61:D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3373</v>
      </c>
      <c r="E1" s="3425" t="s">
        <v>3371</v>
      </c>
      <c r="F1" s="1878" t="s">
        <v>3372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1068.98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78" t="s">
        <v>1667</v>
      </c>
      <c r="D4" s="3779"/>
      <c r="E4" s="3780" t="s">
        <v>1668</v>
      </c>
      <c r="F4" s="3781"/>
      <c r="G4" s="3778" t="s">
        <v>1669</v>
      </c>
      <c r="H4" s="3779"/>
      <c r="I4" s="3778" t="s">
        <v>1670</v>
      </c>
      <c r="J4" s="3779"/>
      <c r="K4" s="1888" t="s">
        <v>1671</v>
      </c>
      <c r="L4" s="3450"/>
      <c r="M4" s="3451"/>
      <c r="N4" s="3451"/>
      <c r="O4" s="3451"/>
      <c r="P4" s="3782" t="s">
        <v>1672</v>
      </c>
      <c r="Q4" s="3783"/>
      <c r="R4" s="3788" t="s">
        <v>1668</v>
      </c>
      <c r="S4" s="3789"/>
      <c r="T4" s="3788" t="s">
        <v>1669</v>
      </c>
      <c r="U4" s="3789"/>
      <c r="V4" s="3794" t="s">
        <v>1670</v>
      </c>
      <c r="W4" s="3794"/>
      <c r="X4" s="1354"/>
      <c r="Y4" s="3788" t="s">
        <v>1672</v>
      </c>
      <c r="Z4" s="3789"/>
      <c r="AA4" s="3775" t="s">
        <v>1668</v>
      </c>
      <c r="AB4" s="3775" t="s">
        <v>1669</v>
      </c>
      <c r="AC4" s="3775" t="s">
        <v>1670</v>
      </c>
    </row>
    <row r="5" spans="1:29" ht="15">
      <c r="A5" s="358"/>
      <c r="B5" s="359"/>
      <c r="C5" s="3802" t="s">
        <v>3401</v>
      </c>
      <c r="D5" s="3798"/>
      <c r="E5" s="3805" t="str">
        <f>Sheet1!A2</f>
        <v>西铁营万达广场地下一层档口</v>
      </c>
      <c r="F5" s="3806"/>
      <c r="G5" s="3797" t="str">
        <f>Sheet1!A3</f>
        <v>翠林一里东门</v>
      </c>
      <c r="H5" s="3798"/>
      <c r="I5" s="3797" t="str">
        <f>Sheet1!A5</f>
        <v>迦南大厦附近，酒店底商</v>
      </c>
      <c r="J5" s="3798"/>
      <c r="K5" s="1889"/>
      <c r="L5" s="3450"/>
      <c r="M5" s="2715"/>
      <c r="N5" s="2715"/>
      <c r="O5" s="2715"/>
      <c r="P5" s="3784"/>
      <c r="Q5" s="3785"/>
      <c r="R5" s="3790"/>
      <c r="S5" s="3791"/>
      <c r="T5" s="3790"/>
      <c r="U5" s="3791"/>
      <c r="V5" s="3794"/>
      <c r="W5" s="3794"/>
      <c r="X5" s="1354"/>
      <c r="Y5" s="3790"/>
      <c r="Z5" s="3791"/>
      <c r="AA5" s="3776"/>
      <c r="AB5" s="3776"/>
      <c r="AC5" s="3776"/>
    </row>
    <row r="6" spans="1:29" ht="15.75" thickBot="1">
      <c r="A6" s="360"/>
      <c r="B6" s="361"/>
      <c r="C6" s="3795" t="s">
        <v>1677</v>
      </c>
      <c r="D6" s="3796"/>
      <c r="E6" s="3803" t="s">
        <v>1677</v>
      </c>
      <c r="F6" s="3804"/>
      <c r="G6" s="3795" t="s">
        <v>1677</v>
      </c>
      <c r="H6" s="3796"/>
      <c r="I6" s="3795" t="s">
        <v>1677</v>
      </c>
      <c r="J6" s="3796"/>
      <c r="K6" s="1889" t="s">
        <v>1678</v>
      </c>
      <c r="L6" s="2714"/>
      <c r="M6" s="2715"/>
      <c r="N6" s="2715"/>
      <c r="O6" s="2715"/>
      <c r="P6" s="3786"/>
      <c r="Q6" s="3787"/>
      <c r="R6" s="3790"/>
      <c r="S6" s="3791"/>
      <c r="T6" s="3792"/>
      <c r="U6" s="3793"/>
      <c r="V6" s="3794"/>
      <c r="W6" s="3794"/>
      <c r="X6" s="1354"/>
      <c r="Y6" s="3792"/>
      <c r="Z6" s="3793"/>
      <c r="AA6" s="3777"/>
      <c r="AB6" s="3777"/>
      <c r="AC6" s="3777"/>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1890"/>
      <c r="L7" s="2716"/>
      <c r="M7" s="2717"/>
      <c r="N7" s="2717"/>
      <c r="O7" s="2717"/>
      <c r="P7" s="3799" t="s">
        <v>1680</v>
      </c>
      <c r="Q7" s="3801"/>
      <c r="R7" s="700" t="s">
        <v>20</v>
      </c>
      <c r="S7" s="701">
        <f t="shared" ref="S7:S15" si="0">F7</f>
        <v>100</v>
      </c>
      <c r="T7" s="700" t="s">
        <v>20</v>
      </c>
      <c r="U7" s="701">
        <f t="shared" ref="U7:U15" si="1">H7</f>
        <v>100</v>
      </c>
      <c r="V7" s="700" t="s">
        <v>20</v>
      </c>
      <c r="W7" s="701">
        <f t="shared" ref="W7:W15" si="2">J7</f>
        <v>100</v>
      </c>
      <c r="X7" s="702"/>
      <c r="Y7" s="3799" t="s">
        <v>1680</v>
      </c>
      <c r="Z7" s="3800"/>
      <c r="AA7" s="703">
        <f>D7/F7</f>
        <v>1</v>
      </c>
      <c r="AB7" s="703">
        <f>D7/H7</f>
        <v>1</v>
      </c>
      <c r="AC7" s="703">
        <f>D7/J7</f>
        <v>1</v>
      </c>
    </row>
    <row r="8" spans="1:29" s="108" customFormat="1" ht="15.75" thickBot="1">
      <c r="A8" s="362" t="s">
        <v>1681</v>
      </c>
      <c r="B8" s="363"/>
      <c r="C8" s="368" t="s">
        <v>3402</v>
      </c>
      <c r="D8" s="365">
        <v>100</v>
      </c>
      <c r="E8" s="1891"/>
      <c r="F8" s="367">
        <f>SUMIF(61:61,E8,62:62)-SUMIF(61:61,C8,62:62)+100</f>
        <v>0</v>
      </c>
      <c r="G8" s="368"/>
      <c r="H8" s="365">
        <f>SUMIF(61:61,G8,62:62)-SUMIF(61:61,C8,62:62)+100</f>
        <v>0</v>
      </c>
      <c r="I8" s="1891"/>
      <c r="J8" s="365">
        <f>SUMIF(61:61,I8,62:62)-SUMIF(61:61,C8,62:62)+100</f>
        <v>0</v>
      </c>
      <c r="K8" s="1890"/>
      <c r="L8" s="2716"/>
      <c r="M8" s="2717"/>
      <c r="N8" s="2717"/>
      <c r="O8" s="2717"/>
      <c r="P8" s="3799" t="s">
        <v>1683</v>
      </c>
      <c r="Q8" s="3800"/>
      <c r="R8" s="700" t="s">
        <v>20</v>
      </c>
      <c r="S8" s="701">
        <f t="shared" si="0"/>
        <v>0</v>
      </c>
      <c r="T8" s="700" t="s">
        <v>20</v>
      </c>
      <c r="U8" s="701">
        <f t="shared" si="1"/>
        <v>0</v>
      </c>
      <c r="V8" s="700" t="s">
        <v>20</v>
      </c>
      <c r="W8" s="701">
        <f t="shared" si="2"/>
        <v>0</v>
      </c>
      <c r="X8" s="702"/>
      <c r="Y8" s="3799" t="s">
        <v>1683</v>
      </c>
      <c r="Z8" s="3800"/>
      <c r="AA8" s="703" t="e">
        <f t="shared" ref="AA8:AA19" si="3">D8/F8</f>
        <v>#DIV/0!</v>
      </c>
      <c r="AB8" s="703" t="e">
        <f t="shared" ref="AB8:AB19" si="4">D8/H8</f>
        <v>#DIV/0!</v>
      </c>
      <c r="AC8" s="703" t="e">
        <f t="shared" ref="AC8:AC19" si="5">D8/J8</f>
        <v>#DIV/0!</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74"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74"/>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74"/>
      <c r="Q11" s="1342" t="str">
        <f t="shared" si="6"/>
        <v>容积率</v>
      </c>
      <c r="R11" s="700" t="s">
        <v>18</v>
      </c>
      <c r="S11" s="701" t="e">
        <f t="shared" si="0"/>
        <v>#N/A</v>
      </c>
      <c r="T11" s="700" t="s">
        <v>18</v>
      </c>
      <c r="U11" s="701" t="e">
        <f t="shared" si="1"/>
        <v>#N/A</v>
      </c>
      <c r="V11" s="700" t="s">
        <v>18</v>
      </c>
      <c r="W11" s="701" t="e">
        <f t="shared" si="2"/>
        <v>#N/A</v>
      </c>
      <c r="X11" s="702"/>
      <c r="Y11" s="364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74"/>
      <c r="Q12" s="1342">
        <f t="shared" si="6"/>
        <v>111</v>
      </c>
      <c r="R12" s="700" t="s">
        <v>18</v>
      </c>
      <c r="S12" s="701">
        <f t="shared" si="0"/>
        <v>100</v>
      </c>
      <c r="T12" s="700" t="s">
        <v>18</v>
      </c>
      <c r="U12" s="701">
        <f t="shared" si="1"/>
        <v>100</v>
      </c>
      <c r="V12" s="700" t="s">
        <v>18</v>
      </c>
      <c r="W12" s="701">
        <f t="shared" si="2"/>
        <v>100</v>
      </c>
      <c r="X12" s="702"/>
      <c r="Y12" s="364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74"/>
      <c r="Q13" s="1342">
        <f t="shared" si="6"/>
        <v>111</v>
      </c>
      <c r="R13" s="700" t="s">
        <v>18</v>
      </c>
      <c r="S13" s="701">
        <f t="shared" si="0"/>
        <v>100</v>
      </c>
      <c r="T13" s="700" t="s">
        <v>18</v>
      </c>
      <c r="U13" s="701">
        <f t="shared" si="1"/>
        <v>100</v>
      </c>
      <c r="V13" s="700" t="s">
        <v>18</v>
      </c>
      <c r="W13" s="701">
        <f t="shared" si="2"/>
        <v>100</v>
      </c>
      <c r="X13" s="702"/>
      <c r="Y13" s="364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74"/>
      <c r="Q14" s="1342">
        <f t="shared" si="6"/>
        <v>111</v>
      </c>
      <c r="R14" s="700" t="s">
        <v>18</v>
      </c>
      <c r="S14" s="701">
        <f t="shared" si="0"/>
        <v>100</v>
      </c>
      <c r="T14" s="700" t="s">
        <v>18</v>
      </c>
      <c r="U14" s="701">
        <f t="shared" si="1"/>
        <v>100</v>
      </c>
      <c r="V14" s="700" t="s">
        <v>18</v>
      </c>
      <c r="W14" s="701">
        <f t="shared" si="2"/>
        <v>100</v>
      </c>
      <c r="X14" s="702"/>
      <c r="Y14" s="3641"/>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72" t="s">
        <v>1691</v>
      </c>
      <c r="Q15" s="1351" t="str">
        <f t="shared" si="6"/>
        <v>居住社区成熟度</v>
      </c>
      <c r="R15" s="704" t="s">
        <v>18</v>
      </c>
      <c r="S15" s="705">
        <f t="shared" si="0"/>
        <v>100</v>
      </c>
      <c r="T15" s="704" t="s">
        <v>18</v>
      </c>
      <c r="U15" s="705">
        <f t="shared" si="1"/>
        <v>100</v>
      </c>
      <c r="V15" s="704" t="s">
        <v>18</v>
      </c>
      <c r="W15" s="705">
        <f t="shared" si="2"/>
        <v>100</v>
      </c>
      <c r="X15" s="1354"/>
      <c r="Y15" s="376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73"/>
      <c r="Q16" s="1351"/>
      <c r="R16" s="704"/>
      <c r="S16" s="705"/>
      <c r="T16" s="704"/>
      <c r="U16" s="705"/>
      <c r="V16" s="704"/>
      <c r="W16" s="705"/>
      <c r="X16" s="1354"/>
      <c r="Y16" s="3766"/>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73"/>
      <c r="Q17" s="1351" t="str">
        <f>B17</f>
        <v>交通便捷度</v>
      </c>
      <c r="R17" s="704" t="s">
        <v>18</v>
      </c>
      <c r="S17" s="705">
        <f>F17</f>
        <v>100</v>
      </c>
      <c r="T17" s="704" t="s">
        <v>18</v>
      </c>
      <c r="U17" s="705">
        <f>H17</f>
        <v>100</v>
      </c>
      <c r="V17" s="704" t="s">
        <v>18</v>
      </c>
      <c r="W17" s="705">
        <f>J17</f>
        <v>100</v>
      </c>
      <c r="X17" s="1354"/>
      <c r="Y17" s="376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73"/>
      <c r="Q18" s="1351"/>
      <c r="R18" s="704"/>
      <c r="S18" s="705"/>
      <c r="T18" s="704"/>
      <c r="U18" s="705"/>
      <c r="V18" s="704"/>
      <c r="W18" s="705"/>
      <c r="X18" s="1354"/>
      <c r="Y18" s="3766"/>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73"/>
      <c r="Q19" s="1351" t="str">
        <f>B19</f>
        <v>公共配套设施</v>
      </c>
      <c r="R19" s="704" t="s">
        <v>18</v>
      </c>
      <c r="S19" s="705">
        <f>F19</f>
        <v>100</v>
      </c>
      <c r="T19" s="704" t="s">
        <v>18</v>
      </c>
      <c r="U19" s="705">
        <f>H19</f>
        <v>100</v>
      </c>
      <c r="V19" s="704" t="s">
        <v>18</v>
      </c>
      <c r="W19" s="705">
        <f>J19</f>
        <v>100</v>
      </c>
      <c r="X19" s="1354"/>
      <c r="Y19" s="376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73"/>
      <c r="Q20" s="1351"/>
      <c r="R20" s="704"/>
      <c r="S20" s="705"/>
      <c r="T20" s="704"/>
      <c r="U20" s="705"/>
      <c r="V20" s="704"/>
      <c r="W20" s="705"/>
      <c r="X20" s="1354"/>
      <c r="Y20" s="3766"/>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73"/>
      <c r="Q21" s="1351" t="str">
        <f>B21</f>
        <v>基础设施水平</v>
      </c>
      <c r="R21" s="704" t="s">
        <v>14</v>
      </c>
      <c r="S21" s="705">
        <f>F21</f>
        <v>100</v>
      </c>
      <c r="T21" s="704" t="s">
        <v>14</v>
      </c>
      <c r="U21" s="705">
        <f>H21</f>
        <v>100</v>
      </c>
      <c r="V21" s="704" t="s">
        <v>14</v>
      </c>
      <c r="W21" s="705">
        <f>J21</f>
        <v>100</v>
      </c>
      <c r="X21" s="1354"/>
      <c r="Y21" s="376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73"/>
      <c r="Q22" s="1351"/>
      <c r="R22" s="704"/>
      <c r="S22" s="705"/>
      <c r="T22" s="704"/>
      <c r="U22" s="705"/>
      <c r="V22" s="704"/>
      <c r="W22" s="705"/>
      <c r="X22" s="1354"/>
      <c r="Y22" s="3766"/>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73"/>
      <c r="Q23" s="1351" t="str">
        <f>B23</f>
        <v>自然及人文环境</v>
      </c>
      <c r="R23" s="704" t="s">
        <v>18</v>
      </c>
      <c r="S23" s="705">
        <f>F23</f>
        <v>100</v>
      </c>
      <c r="T23" s="704" t="s">
        <v>18</v>
      </c>
      <c r="U23" s="705">
        <f>H23</f>
        <v>100</v>
      </c>
      <c r="V23" s="704" t="s">
        <v>18</v>
      </c>
      <c r="W23" s="705">
        <f>J23</f>
        <v>100</v>
      </c>
      <c r="X23" s="1354"/>
      <c r="Y23" s="376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73"/>
      <c r="Q24" s="1351"/>
      <c r="R24" s="704"/>
      <c r="S24" s="705"/>
      <c r="T24" s="704"/>
      <c r="U24" s="705"/>
      <c r="V24" s="704"/>
      <c r="W24" s="705"/>
      <c r="X24" s="1354"/>
      <c r="Y24" s="376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7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6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73"/>
      <c r="Q26" s="1351" t="str">
        <f t="shared" si="11"/>
        <v>朝向</v>
      </c>
      <c r="R26" s="704" t="s">
        <v>18</v>
      </c>
      <c r="S26" s="705">
        <f t="shared" si="12"/>
        <v>100</v>
      </c>
      <c r="T26" s="704" t="s">
        <v>18</v>
      </c>
      <c r="U26" s="705">
        <f t="shared" si="13"/>
        <v>100</v>
      </c>
      <c r="V26" s="704" t="s">
        <v>18</v>
      </c>
      <c r="W26" s="705">
        <f t="shared" si="14"/>
        <v>100</v>
      </c>
      <c r="X26" s="1354"/>
      <c r="Y26" s="376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73"/>
      <c r="Q27" s="1342">
        <f t="shared" si="11"/>
        <v>111</v>
      </c>
      <c r="R27" s="700" t="s">
        <v>18</v>
      </c>
      <c r="S27" s="701">
        <f t="shared" si="12"/>
        <v>100</v>
      </c>
      <c r="T27" s="700" t="s">
        <v>18</v>
      </c>
      <c r="U27" s="701">
        <f t="shared" si="13"/>
        <v>100</v>
      </c>
      <c r="V27" s="700" t="s">
        <v>18</v>
      </c>
      <c r="W27" s="701">
        <f t="shared" si="14"/>
        <v>100</v>
      </c>
      <c r="X27" s="702"/>
      <c r="Y27" s="376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73"/>
      <c r="Q28" s="1351">
        <f t="shared" si="11"/>
        <v>111</v>
      </c>
      <c r="R28" s="704" t="s">
        <v>18</v>
      </c>
      <c r="S28" s="705">
        <f t="shared" si="12"/>
        <v>100</v>
      </c>
      <c r="T28" s="704" t="s">
        <v>18</v>
      </c>
      <c r="U28" s="705">
        <f t="shared" si="13"/>
        <v>100</v>
      </c>
      <c r="V28" s="704" t="s">
        <v>18</v>
      </c>
      <c r="W28" s="705">
        <f t="shared" si="14"/>
        <v>100</v>
      </c>
      <c r="X28" s="1354"/>
      <c r="Y28" s="376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73"/>
      <c r="Q29" s="1351">
        <f t="shared" si="11"/>
        <v>111</v>
      </c>
      <c r="R29" s="704" t="s">
        <v>18</v>
      </c>
      <c r="S29" s="705">
        <f t="shared" si="12"/>
        <v>100</v>
      </c>
      <c r="T29" s="704" t="s">
        <v>18</v>
      </c>
      <c r="U29" s="705">
        <f t="shared" si="13"/>
        <v>100</v>
      </c>
      <c r="V29" s="704" t="s">
        <v>18</v>
      </c>
      <c r="W29" s="705">
        <f t="shared" si="14"/>
        <v>100</v>
      </c>
      <c r="X29" s="1354"/>
      <c r="Y29" s="376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73"/>
      <c r="Q30" s="1351">
        <f t="shared" si="11"/>
        <v>111</v>
      </c>
      <c r="R30" s="704" t="s">
        <v>18</v>
      </c>
      <c r="S30" s="705">
        <f t="shared" si="12"/>
        <v>100</v>
      </c>
      <c r="T30" s="704" t="s">
        <v>18</v>
      </c>
      <c r="U30" s="705">
        <f t="shared" si="13"/>
        <v>100</v>
      </c>
      <c r="V30" s="704" t="s">
        <v>18</v>
      </c>
      <c r="W30" s="705">
        <f t="shared" si="14"/>
        <v>100</v>
      </c>
      <c r="X30" s="1354"/>
      <c r="Y30" s="376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73"/>
      <c r="Q31" s="1351">
        <f t="shared" si="11"/>
        <v>111</v>
      </c>
      <c r="R31" s="704" t="s">
        <v>18</v>
      </c>
      <c r="S31" s="705">
        <f t="shared" si="12"/>
        <v>100</v>
      </c>
      <c r="T31" s="704" t="s">
        <v>18</v>
      </c>
      <c r="U31" s="705">
        <f t="shared" si="13"/>
        <v>100</v>
      </c>
      <c r="V31" s="704" t="s">
        <v>18</v>
      </c>
      <c r="W31" s="705">
        <f t="shared" si="14"/>
        <v>100</v>
      </c>
      <c r="X31" s="1354"/>
      <c r="Y31" s="376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7" t="s">
        <v>1696</v>
      </c>
      <c r="Q32" s="1351" t="str">
        <f t="shared" si="11"/>
        <v>建筑类型</v>
      </c>
      <c r="R32" s="704" t="s">
        <v>18</v>
      </c>
      <c r="S32" s="705">
        <f t="shared" si="12"/>
        <v>100</v>
      </c>
      <c r="T32" s="704" t="s">
        <v>18</v>
      </c>
      <c r="U32" s="705">
        <f t="shared" si="13"/>
        <v>100</v>
      </c>
      <c r="V32" s="704" t="s">
        <v>18</v>
      </c>
      <c r="W32" s="705">
        <f t="shared" si="14"/>
        <v>100</v>
      </c>
      <c r="X32" s="1354"/>
      <c r="Y32" s="377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8"/>
      <c r="Q33" s="706" t="str">
        <f t="shared" si="11"/>
        <v>项目建筑规模</v>
      </c>
      <c r="R33" s="707" t="s">
        <v>18</v>
      </c>
      <c r="S33" s="708" t="e">
        <f t="shared" si="12"/>
        <v>#N/A</v>
      </c>
      <c r="T33" s="707" t="s">
        <v>18</v>
      </c>
      <c r="U33" s="708" t="e">
        <f t="shared" si="13"/>
        <v>#N/A</v>
      </c>
      <c r="V33" s="707" t="s">
        <v>18</v>
      </c>
      <c r="W33" s="708" t="e">
        <f t="shared" si="14"/>
        <v>#N/A</v>
      </c>
      <c r="X33" s="709"/>
      <c r="Y33" s="3770"/>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8"/>
      <c r="Q34" s="1351" t="str">
        <f t="shared" si="11"/>
        <v>建筑结构</v>
      </c>
      <c r="R34" s="704" t="s">
        <v>18</v>
      </c>
      <c r="S34" s="705">
        <f t="shared" si="12"/>
        <v>100</v>
      </c>
      <c r="T34" s="704" t="s">
        <v>18</v>
      </c>
      <c r="U34" s="705">
        <f t="shared" si="13"/>
        <v>100</v>
      </c>
      <c r="V34" s="704" t="s">
        <v>18</v>
      </c>
      <c r="W34" s="705">
        <f t="shared" si="14"/>
        <v>100</v>
      </c>
      <c r="X34" s="1354"/>
      <c r="Y34" s="377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8"/>
      <c r="Q35" s="1351" t="str">
        <f t="shared" si="11"/>
        <v>建筑品质</v>
      </c>
      <c r="R35" s="704" t="s">
        <v>18</v>
      </c>
      <c r="S35" s="705">
        <f t="shared" si="12"/>
        <v>100</v>
      </c>
      <c r="T35" s="704" t="s">
        <v>18</v>
      </c>
      <c r="U35" s="705">
        <f t="shared" si="13"/>
        <v>100</v>
      </c>
      <c r="V35" s="704" t="s">
        <v>18</v>
      </c>
      <c r="W35" s="705">
        <f t="shared" si="14"/>
        <v>100</v>
      </c>
      <c r="X35" s="1354"/>
      <c r="Y35" s="377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8"/>
      <c r="Q36" s="1351" t="str">
        <f t="shared" si="11"/>
        <v>公共部分装修</v>
      </c>
      <c r="R36" s="704" t="s">
        <v>18</v>
      </c>
      <c r="S36" s="705">
        <f t="shared" si="12"/>
        <v>100</v>
      </c>
      <c r="T36" s="704" t="s">
        <v>18</v>
      </c>
      <c r="U36" s="705">
        <f t="shared" si="13"/>
        <v>100</v>
      </c>
      <c r="V36" s="704" t="s">
        <v>18</v>
      </c>
      <c r="W36" s="705">
        <f t="shared" si="14"/>
        <v>100</v>
      </c>
      <c r="X36" s="1354"/>
      <c r="Y36" s="377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8"/>
      <c r="Q37" s="1342" t="str">
        <f t="shared" si="11"/>
        <v>成新度</v>
      </c>
      <c r="R37" s="700" t="s">
        <v>18</v>
      </c>
      <c r="S37" s="701" t="e">
        <f t="shared" si="12"/>
        <v>#N/A</v>
      </c>
      <c r="T37" s="700" t="s">
        <v>18</v>
      </c>
      <c r="U37" s="701" t="e">
        <f t="shared" si="13"/>
        <v>#N/A</v>
      </c>
      <c r="V37" s="700" t="s">
        <v>18</v>
      </c>
      <c r="W37" s="701" t="e">
        <f t="shared" si="14"/>
        <v>#N/A</v>
      </c>
      <c r="X37" s="702"/>
      <c r="Y37" s="3770"/>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8" t="s">
        <v>1696</v>
      </c>
      <c r="Q38" s="1351" t="str">
        <f t="shared" si="11"/>
        <v>物业管理</v>
      </c>
      <c r="R38" s="704" t="s">
        <v>18</v>
      </c>
      <c r="S38" s="705">
        <f t="shared" si="12"/>
        <v>100</v>
      </c>
      <c r="T38" s="704" t="s">
        <v>18</v>
      </c>
      <c r="U38" s="705">
        <f t="shared" si="13"/>
        <v>100</v>
      </c>
      <c r="V38" s="704" t="s">
        <v>18</v>
      </c>
      <c r="W38" s="705">
        <f t="shared" si="14"/>
        <v>100</v>
      </c>
      <c r="X38" s="1354"/>
      <c r="Y38" s="377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8"/>
      <c r="Q39" s="1351" t="str">
        <f t="shared" si="11"/>
        <v>市政基础设施</v>
      </c>
      <c r="R39" s="704" t="s">
        <v>18</v>
      </c>
      <c r="S39" s="705">
        <f t="shared" si="12"/>
        <v>100</v>
      </c>
      <c r="T39" s="704" t="s">
        <v>18</v>
      </c>
      <c r="U39" s="705">
        <f t="shared" si="13"/>
        <v>100</v>
      </c>
      <c r="V39" s="704" t="s">
        <v>18</v>
      </c>
      <c r="W39" s="705">
        <f t="shared" si="14"/>
        <v>100</v>
      </c>
      <c r="X39" s="1354"/>
      <c r="Y39" s="377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8"/>
      <c r="Q40" s="1351" t="str">
        <f t="shared" si="11"/>
        <v>房型</v>
      </c>
      <c r="R40" s="704" t="s">
        <v>18</v>
      </c>
      <c r="S40" s="705">
        <f t="shared" si="12"/>
        <v>100</v>
      </c>
      <c r="T40" s="704" t="s">
        <v>18</v>
      </c>
      <c r="U40" s="705">
        <f t="shared" si="13"/>
        <v>100</v>
      </c>
      <c r="V40" s="704" t="s">
        <v>18</v>
      </c>
      <c r="W40" s="705">
        <f t="shared" si="14"/>
        <v>100</v>
      </c>
      <c r="X40" s="1354"/>
      <c r="Y40" s="377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8"/>
      <c r="Q41" s="706" t="str">
        <f t="shared" si="11"/>
        <v>单套/主力户型建筑面积</v>
      </c>
      <c r="R41" s="707" t="s">
        <v>18</v>
      </c>
      <c r="S41" s="708">
        <f t="shared" si="12"/>
        <v>100</v>
      </c>
      <c r="T41" s="707" t="s">
        <v>18</v>
      </c>
      <c r="U41" s="708">
        <f t="shared" si="13"/>
        <v>100</v>
      </c>
      <c r="V41" s="707" t="s">
        <v>18</v>
      </c>
      <c r="W41" s="708">
        <f t="shared" si="14"/>
        <v>100</v>
      </c>
      <c r="X41" s="709"/>
      <c r="Y41" s="3770"/>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8"/>
      <c r="Q42" s="1351" t="str">
        <f t="shared" si="11"/>
        <v>内部装修</v>
      </c>
      <c r="R42" s="704" t="s">
        <v>18</v>
      </c>
      <c r="S42" s="705">
        <f t="shared" si="12"/>
        <v>100</v>
      </c>
      <c r="T42" s="704" t="s">
        <v>18</v>
      </c>
      <c r="U42" s="705">
        <f t="shared" si="13"/>
        <v>100</v>
      </c>
      <c r="V42" s="704" t="s">
        <v>18</v>
      </c>
      <c r="W42" s="705">
        <f t="shared" si="14"/>
        <v>100</v>
      </c>
      <c r="X42" s="1354"/>
      <c r="Y42" s="377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8"/>
      <c r="Q43" s="1351" t="str">
        <f t="shared" si="11"/>
        <v>内部装修维护情况</v>
      </c>
      <c r="R43" s="704" t="s">
        <v>18</v>
      </c>
      <c r="S43" s="705">
        <f t="shared" si="12"/>
        <v>100</v>
      </c>
      <c r="T43" s="704" t="s">
        <v>18</v>
      </c>
      <c r="U43" s="705">
        <f t="shared" si="13"/>
        <v>100</v>
      </c>
      <c r="V43" s="704" t="s">
        <v>18</v>
      </c>
      <c r="W43" s="705">
        <f t="shared" si="14"/>
        <v>100</v>
      </c>
      <c r="X43" s="1354"/>
      <c r="Y43" s="377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8"/>
      <c r="Q44" s="1342">
        <f t="shared" si="11"/>
        <v>111</v>
      </c>
      <c r="R44" s="700" t="s">
        <v>18</v>
      </c>
      <c r="S44" s="701">
        <f t="shared" si="12"/>
        <v>100</v>
      </c>
      <c r="T44" s="700" t="s">
        <v>18</v>
      </c>
      <c r="U44" s="701">
        <f t="shared" si="13"/>
        <v>100</v>
      </c>
      <c r="V44" s="700" t="s">
        <v>18</v>
      </c>
      <c r="W44" s="701">
        <f t="shared" si="14"/>
        <v>100</v>
      </c>
      <c r="X44" s="702"/>
      <c r="Y44" s="377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8"/>
      <c r="Q45" s="1351">
        <f t="shared" si="11"/>
        <v>111</v>
      </c>
      <c r="R45" s="704" t="s">
        <v>18</v>
      </c>
      <c r="S45" s="705">
        <f t="shared" si="12"/>
        <v>100</v>
      </c>
      <c r="T45" s="704" t="s">
        <v>18</v>
      </c>
      <c r="U45" s="705">
        <f t="shared" si="13"/>
        <v>100</v>
      </c>
      <c r="V45" s="704" t="s">
        <v>18</v>
      </c>
      <c r="W45" s="705">
        <f t="shared" si="14"/>
        <v>100</v>
      </c>
      <c r="X45" s="1354"/>
      <c r="Y45" s="377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9"/>
      <c r="Q46" s="1351">
        <f t="shared" si="11"/>
        <v>111</v>
      </c>
      <c r="R46" s="704" t="s">
        <v>17</v>
      </c>
      <c r="S46" s="705">
        <f t="shared" si="12"/>
        <v>100</v>
      </c>
      <c r="T46" s="704" t="s">
        <v>17</v>
      </c>
      <c r="U46" s="705">
        <f t="shared" si="13"/>
        <v>100</v>
      </c>
      <c r="V46" s="704" t="s">
        <v>17</v>
      </c>
      <c r="W46" s="705">
        <f t="shared" si="14"/>
        <v>100</v>
      </c>
      <c r="X46" s="1354"/>
      <c r="Y46" s="377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63" t="str">
        <f>A47</f>
        <v>成交单价（元/平方米）</v>
      </c>
      <c r="Q47" s="3763"/>
      <c r="R47" s="3764">
        <f>E47</f>
        <v>0</v>
      </c>
      <c r="S47" s="3764"/>
      <c r="T47" s="3764">
        <f>G47</f>
        <v>0</v>
      </c>
      <c r="U47" s="3764"/>
      <c r="V47" s="3764">
        <f>I47</f>
        <v>0</v>
      </c>
      <c r="W47" s="3764"/>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57" t="s">
        <v>3403</v>
      </c>
      <c r="E61" s="472"/>
      <c r="F61" s="472"/>
      <c r="G61" s="472"/>
      <c r="H61" s="472"/>
      <c r="I61" s="472"/>
      <c r="J61" s="472"/>
      <c r="K61" s="472"/>
      <c r="L61" s="473"/>
      <c r="M61" s="474"/>
      <c r="N61" s="931"/>
      <c r="O61" s="931"/>
      <c r="P61" s="1920"/>
      <c r="Q61" s="453"/>
    </row>
    <row r="62" spans="1:29" s="108" customFormat="1" ht="15.75" thickBot="1">
      <c r="A62" s="470"/>
      <c r="B62" s="459"/>
      <c r="C62" s="460">
        <v>100</v>
      </c>
      <c r="D62" s="461">
        <v>102</v>
      </c>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6" sqref="M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3373</v>
      </c>
      <c r="E1" s="3425" t="s">
        <v>3371</v>
      </c>
      <c r="F1" s="1878" t="s">
        <v>3372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1.1973</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11.2</v>
      </c>
      <c r="C3" s="354" t="s">
        <v>1768</v>
      </c>
      <c r="D3" s="353">
        <f>IF(D1="",'数据-汇总表'!E3,SUMIF('数据-汇总表'!$C19:$C33,D1,'数据-汇总表'!$E19:$E33))</f>
        <v>1068.98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88" t="s">
        <v>1771</v>
      </c>
      <c r="S4" s="3789"/>
      <c r="T4" s="3788" t="s">
        <v>1772</v>
      </c>
      <c r="U4" s="3789"/>
      <c r="V4" s="3794" t="s">
        <v>1773</v>
      </c>
      <c r="W4" s="3794"/>
      <c r="X4" s="1354"/>
      <c r="Y4" s="3788" t="s">
        <v>1775</v>
      </c>
      <c r="Z4" s="3789"/>
      <c r="AA4" s="3775" t="s">
        <v>1771</v>
      </c>
      <c r="AB4" s="3794" t="s">
        <v>1772</v>
      </c>
      <c r="AC4" s="3775" t="s">
        <v>1773</v>
      </c>
    </row>
    <row r="5" spans="1:29" ht="15">
      <c r="A5" s="358"/>
      <c r="B5" s="359"/>
      <c r="C5" s="3797" t="s">
        <v>1673</v>
      </c>
      <c r="D5" s="3798"/>
      <c r="E5" s="3805" t="str">
        <f>Sheet1!A2</f>
        <v>西铁营万达广场地下一层档口</v>
      </c>
      <c r="F5" s="3806"/>
      <c r="G5" s="3797" t="str">
        <f>Sheet1!A3</f>
        <v>翠林一里东门</v>
      </c>
      <c r="H5" s="3798"/>
      <c r="I5" s="3797" t="str">
        <f>Sheet1!A5</f>
        <v>迦南大厦附近，酒店底商</v>
      </c>
      <c r="J5" s="3798"/>
      <c r="K5" s="559"/>
      <c r="L5" s="2714"/>
      <c r="M5" s="2715"/>
      <c r="N5" s="2715"/>
      <c r="O5" s="2715"/>
      <c r="P5" s="3784"/>
      <c r="Q5" s="3785"/>
      <c r="R5" s="3790"/>
      <c r="S5" s="3791"/>
      <c r="T5" s="3790"/>
      <c r="U5" s="3791"/>
      <c r="V5" s="3794"/>
      <c r="W5" s="3794"/>
      <c r="X5" s="1354"/>
      <c r="Y5" s="3790"/>
      <c r="Z5" s="3791"/>
      <c r="AA5" s="3776"/>
      <c r="AB5" s="3794"/>
      <c r="AC5" s="3776"/>
    </row>
    <row r="6" spans="1:29" ht="15.75" thickBot="1">
      <c r="A6" s="360"/>
      <c r="B6" s="361"/>
      <c r="C6" s="3795" t="s">
        <v>1677</v>
      </c>
      <c r="D6" s="3796"/>
      <c r="E6" s="3803" t="s">
        <v>1677</v>
      </c>
      <c r="F6" s="3804"/>
      <c r="G6" s="3795" t="s">
        <v>1677</v>
      </c>
      <c r="H6" s="3796"/>
      <c r="I6" s="3795" t="s">
        <v>1677</v>
      </c>
      <c r="J6" s="3796"/>
      <c r="K6" s="559" t="s">
        <v>1678</v>
      </c>
      <c r="L6" s="2714"/>
      <c r="M6" s="2715"/>
      <c r="N6" s="2715"/>
      <c r="O6" s="2715"/>
      <c r="P6" s="3786"/>
      <c r="Q6" s="3787"/>
      <c r="R6" s="3790"/>
      <c r="S6" s="3791"/>
      <c r="T6" s="3792"/>
      <c r="U6" s="3793"/>
      <c r="V6" s="3794"/>
      <c r="W6" s="3794"/>
      <c r="X6" s="1354"/>
      <c r="Y6" s="3792"/>
      <c r="Z6" s="3793"/>
      <c r="AA6" s="3777"/>
      <c r="AB6" s="3794"/>
      <c r="AC6" s="3777"/>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560"/>
      <c r="L7" s="2716"/>
      <c r="M7" s="2717"/>
      <c r="N7" s="2717"/>
      <c r="O7" s="2717"/>
      <c r="P7" s="3799" t="s">
        <v>1680</v>
      </c>
      <c r="Q7" s="3801"/>
      <c r="R7" s="700" t="s">
        <v>14</v>
      </c>
      <c r="S7" s="701">
        <f t="shared" ref="S7:S15" si="0">F7</f>
        <v>100</v>
      </c>
      <c r="T7" s="700" t="s">
        <v>14</v>
      </c>
      <c r="U7" s="701">
        <f t="shared" ref="U7:U15" si="1">H7</f>
        <v>100</v>
      </c>
      <c r="V7" s="700" t="s">
        <v>14</v>
      </c>
      <c r="W7" s="701">
        <f t="shared" ref="W7:W15" si="2">J7</f>
        <v>100</v>
      </c>
      <c r="X7" s="702"/>
      <c r="Y7" s="3799" t="s">
        <v>1680</v>
      </c>
      <c r="Z7" s="3800"/>
      <c r="AA7" s="703">
        <f>D7/F7</f>
        <v>1</v>
      </c>
      <c r="AB7" s="703">
        <f>D7/H7</f>
        <v>1</v>
      </c>
      <c r="AC7" s="703">
        <f>D7/J7</f>
        <v>1</v>
      </c>
    </row>
    <row r="8" spans="1:29" s="108" customFormat="1" ht="15.75" thickBot="1">
      <c r="A8" s="362" t="s">
        <v>1681</v>
      </c>
      <c r="B8" s="363"/>
      <c r="C8" s="368" t="s">
        <v>3402</v>
      </c>
      <c r="D8" s="365">
        <v>100</v>
      </c>
      <c r="E8" s="368" t="s">
        <v>3422</v>
      </c>
      <c r="F8" s="367">
        <f>SUMIF(61:61,E8,62:62)-SUMIF(61:61,C8,62:62)+100</f>
        <v>102</v>
      </c>
      <c r="G8" s="368" t="s">
        <v>3422</v>
      </c>
      <c r="H8" s="365">
        <f>SUMIF(61:61,G8,62:62)-SUMIF(61:61,C8,62:62)+100</f>
        <v>102</v>
      </c>
      <c r="I8" s="368" t="s">
        <v>3422</v>
      </c>
      <c r="J8" s="365">
        <f>SUMIF(61:61,I8,62:62)-SUMIF(61:61,C8,62:62)+100</f>
        <v>102</v>
      </c>
      <c r="K8" s="560"/>
      <c r="L8" s="2716"/>
      <c r="M8" s="2717"/>
      <c r="N8" s="2717"/>
      <c r="O8" s="2717"/>
      <c r="P8" s="3799" t="s">
        <v>1683</v>
      </c>
      <c r="Q8" s="3800"/>
      <c r="R8" s="700" t="s">
        <v>14</v>
      </c>
      <c r="S8" s="701">
        <f t="shared" si="0"/>
        <v>102</v>
      </c>
      <c r="T8" s="700" t="s">
        <v>14</v>
      </c>
      <c r="U8" s="701">
        <f t="shared" si="1"/>
        <v>102</v>
      </c>
      <c r="V8" s="700" t="s">
        <v>14</v>
      </c>
      <c r="W8" s="701">
        <f t="shared" si="2"/>
        <v>102</v>
      </c>
      <c r="X8" s="702"/>
      <c r="Y8" s="3799" t="s">
        <v>1683</v>
      </c>
      <c r="Z8" s="3800"/>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62" t="s">
        <v>3423</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74"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74"/>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74"/>
      <c r="Q11" s="1342" t="str">
        <f t="shared" si="6"/>
        <v>容积率</v>
      </c>
      <c r="R11" s="700" t="s">
        <v>14</v>
      </c>
      <c r="S11" s="701">
        <f t="shared" si="0"/>
        <v>100</v>
      </c>
      <c r="T11" s="700" t="s">
        <v>14</v>
      </c>
      <c r="U11" s="701">
        <f t="shared" si="1"/>
        <v>100</v>
      </c>
      <c r="V11" s="700" t="s">
        <v>14</v>
      </c>
      <c r="W11" s="701">
        <f t="shared" si="2"/>
        <v>100</v>
      </c>
      <c r="X11" s="702"/>
      <c r="Y11" s="3641"/>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74"/>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74"/>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74"/>
      <c r="Q14" s="1342">
        <f t="shared" si="6"/>
        <v>111</v>
      </c>
      <c r="R14" s="700" t="s">
        <v>14</v>
      </c>
      <c r="S14" s="701">
        <f t="shared" si="0"/>
        <v>100</v>
      </c>
      <c r="T14" s="700" t="s">
        <v>14</v>
      </c>
      <c r="U14" s="701">
        <f t="shared" si="1"/>
        <v>100</v>
      </c>
      <c r="V14" s="700" t="s">
        <v>14</v>
      </c>
      <c r="W14" s="701">
        <f t="shared" si="2"/>
        <v>100</v>
      </c>
      <c r="X14" s="702"/>
      <c r="Y14" s="3641"/>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105</v>
      </c>
      <c r="G15" s="395"/>
      <c r="H15" s="392">
        <f>SUMIF(76:76,G16,77:77)-SUMIF(76:76,C16,77:77)+100</f>
        <v>95</v>
      </c>
      <c r="I15" s="393"/>
      <c r="J15" s="392">
        <f>SUMIF(76:76,I16,77:77)-SUMIF(76:76,C16,77:77)+100</f>
        <v>100</v>
      </c>
      <c r="K15" s="563">
        <v>5</v>
      </c>
      <c r="L15" s="2721"/>
      <c r="M15" s="2715"/>
      <c r="N15" s="2715"/>
      <c r="O15" s="2715"/>
      <c r="P15" s="3772" t="s">
        <v>1691</v>
      </c>
      <c r="Q15" s="1351" t="str">
        <f t="shared" si="6"/>
        <v>商业繁华度</v>
      </c>
      <c r="R15" s="704" t="s">
        <v>14</v>
      </c>
      <c r="S15" s="705">
        <f t="shared" si="0"/>
        <v>105</v>
      </c>
      <c r="T15" s="704" t="s">
        <v>14</v>
      </c>
      <c r="U15" s="705">
        <f t="shared" si="1"/>
        <v>95</v>
      </c>
      <c r="V15" s="704" t="s">
        <v>14</v>
      </c>
      <c r="W15" s="705">
        <f t="shared" si="2"/>
        <v>100</v>
      </c>
      <c r="X15" s="1354"/>
      <c r="Y15" s="3765" t="s">
        <v>1691</v>
      </c>
      <c r="Z15" s="1355" t="str">
        <f t="shared" si="7"/>
        <v>商业繁华度</v>
      </c>
      <c r="AA15" s="1352">
        <f t="shared" si="3"/>
        <v>0.95238095238095233</v>
      </c>
      <c r="AB15" s="1352">
        <f t="shared" si="4"/>
        <v>1.0526315789473684</v>
      </c>
      <c r="AC15" s="1352">
        <f t="shared" si="5"/>
        <v>1</v>
      </c>
    </row>
    <row r="16" spans="1:29" ht="15">
      <c r="A16" s="379"/>
      <c r="B16" s="397"/>
      <c r="C16" s="398" t="s">
        <v>3410</v>
      </c>
      <c r="D16" s="399"/>
      <c r="E16" s="398" t="s">
        <v>3409</v>
      </c>
      <c r="F16" s="400"/>
      <c r="G16" s="398" t="s">
        <v>3411</v>
      </c>
      <c r="H16" s="401"/>
      <c r="I16" s="398" t="s">
        <v>3410</v>
      </c>
      <c r="J16" s="399"/>
      <c r="K16" s="564"/>
      <c r="L16" s="2721"/>
      <c r="M16" s="2715"/>
      <c r="N16" s="2715"/>
      <c r="O16" s="2715"/>
      <c r="P16" s="3773"/>
      <c r="Q16" s="1351"/>
      <c r="R16" s="704"/>
      <c r="S16" s="705"/>
      <c r="T16" s="704"/>
      <c r="U16" s="705"/>
      <c r="V16" s="704"/>
      <c r="W16" s="705"/>
      <c r="X16" s="1354"/>
      <c r="Y16" s="3766"/>
      <c r="Z16" s="1355"/>
      <c r="AA16" s="1352">
        <v>1</v>
      </c>
      <c r="AB16" s="1352">
        <v>1</v>
      </c>
      <c r="AC16" s="1352">
        <v>1</v>
      </c>
    </row>
    <row r="17" spans="1:29" ht="15">
      <c r="A17" s="379"/>
      <c r="B17" s="402" t="s">
        <v>1259</v>
      </c>
      <c r="C17" s="1899">
        <f>估价对象房地状况!C6</f>
        <v>0</v>
      </c>
      <c r="D17" s="401">
        <v>100</v>
      </c>
      <c r="E17" s="403"/>
      <c r="F17" s="404">
        <f>SUMIF(78:78,E18,79:79)-SUMIF(78:78,C18,79:79)+100</f>
        <v>102</v>
      </c>
      <c r="G17" s="405"/>
      <c r="H17" s="406">
        <f>SUMIF(78:78,G18,79:79)-SUMIF(78:78,C18,79:79)+100</f>
        <v>100</v>
      </c>
      <c r="I17" s="403"/>
      <c r="J17" s="406">
        <f>SUMIF(78:78,I18,79:79)-SUMIF(78:78,C18,79:79)+100</f>
        <v>100</v>
      </c>
      <c r="K17" s="563">
        <v>2</v>
      </c>
      <c r="L17" s="2721"/>
      <c r="M17" s="2715"/>
      <c r="N17" s="2715"/>
      <c r="O17" s="2715"/>
      <c r="P17" s="3773"/>
      <c r="Q17" s="1351" t="str">
        <f>B17</f>
        <v>交通便捷度</v>
      </c>
      <c r="R17" s="704" t="s">
        <v>14</v>
      </c>
      <c r="S17" s="705">
        <f>F17</f>
        <v>102</v>
      </c>
      <c r="T17" s="704" t="s">
        <v>14</v>
      </c>
      <c r="U17" s="705">
        <f>H17</f>
        <v>100</v>
      </c>
      <c r="V17" s="704" t="s">
        <v>14</v>
      </c>
      <c r="W17" s="705">
        <f>J17</f>
        <v>100</v>
      </c>
      <c r="X17" s="1354"/>
      <c r="Y17" s="3766"/>
      <c r="Z17" s="1355" t="str">
        <f>Q17</f>
        <v>交通便捷度</v>
      </c>
      <c r="AA17" s="1352">
        <f t="shared" si="3"/>
        <v>0.98039215686274506</v>
      </c>
      <c r="AB17" s="1352">
        <f t="shared" si="4"/>
        <v>1</v>
      </c>
      <c r="AC17" s="1352">
        <f t="shared" si="5"/>
        <v>1</v>
      </c>
    </row>
    <row r="18" spans="1:29" ht="15">
      <c r="A18" s="379"/>
      <c r="B18" s="407"/>
      <c r="C18" s="1900" t="s">
        <v>3410</v>
      </c>
      <c r="D18" s="401"/>
      <c r="E18" s="1902" t="s">
        <v>3409</v>
      </c>
      <c r="F18" s="404"/>
      <c r="G18" s="1901" t="s">
        <v>3410</v>
      </c>
      <c r="H18" s="399"/>
      <c r="I18" s="1902" t="s">
        <v>3410</v>
      </c>
      <c r="J18" s="399"/>
      <c r="K18" s="564"/>
      <c r="L18" s="2721"/>
      <c r="M18" s="2715"/>
      <c r="N18" s="2715"/>
      <c r="O18" s="2715"/>
      <c r="P18" s="3773"/>
      <c r="Q18" s="1351"/>
      <c r="R18" s="704"/>
      <c r="S18" s="705"/>
      <c r="T18" s="704"/>
      <c r="U18" s="705"/>
      <c r="V18" s="704"/>
      <c r="W18" s="705"/>
      <c r="X18" s="1354"/>
      <c r="Y18" s="3766"/>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773"/>
      <c r="Q19" s="1351" t="str">
        <f>B19</f>
        <v>公共配套设施</v>
      </c>
      <c r="R19" s="704" t="s">
        <v>14</v>
      </c>
      <c r="S19" s="705">
        <f>F19</f>
        <v>100</v>
      </c>
      <c r="T19" s="704" t="s">
        <v>14</v>
      </c>
      <c r="U19" s="705">
        <f>H19</f>
        <v>100</v>
      </c>
      <c r="V19" s="704" t="s">
        <v>14</v>
      </c>
      <c r="W19" s="705">
        <f>J19</f>
        <v>100</v>
      </c>
      <c r="X19" s="1354"/>
      <c r="Y19" s="3766"/>
      <c r="Z19" s="1355" t="str">
        <f>Q19</f>
        <v>公共配套设施</v>
      </c>
      <c r="AA19" s="1352">
        <f t="shared" si="3"/>
        <v>1</v>
      </c>
      <c r="AB19" s="1352">
        <f t="shared" si="4"/>
        <v>1</v>
      </c>
      <c r="AC19" s="1352">
        <f t="shared" si="5"/>
        <v>1</v>
      </c>
    </row>
    <row r="20" spans="1:29" ht="15">
      <c r="A20" s="379"/>
      <c r="B20" s="407"/>
      <c r="C20" s="1900" t="s">
        <v>3410</v>
      </c>
      <c r="D20" s="399"/>
      <c r="E20" s="1900" t="s">
        <v>3410</v>
      </c>
      <c r="F20" s="400"/>
      <c r="G20" s="1900" t="s">
        <v>3410</v>
      </c>
      <c r="H20" s="399"/>
      <c r="I20" s="1900" t="s">
        <v>3410</v>
      </c>
      <c r="J20" s="399"/>
      <c r="K20" s="564"/>
      <c r="L20" s="2721"/>
      <c r="M20" s="2715"/>
      <c r="N20" s="2715"/>
      <c r="O20" s="2715"/>
      <c r="P20" s="3773"/>
      <c r="Q20" s="1351"/>
      <c r="R20" s="704"/>
      <c r="S20" s="705"/>
      <c r="T20" s="704"/>
      <c r="U20" s="705"/>
      <c r="V20" s="704"/>
      <c r="W20" s="705"/>
      <c r="X20" s="1354"/>
      <c r="Y20" s="3766"/>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773"/>
      <c r="Q21" s="1351" t="str">
        <f>B21</f>
        <v>基础设施水平</v>
      </c>
      <c r="R21" s="704" t="s">
        <v>14</v>
      </c>
      <c r="S21" s="705">
        <f>F21</f>
        <v>100</v>
      </c>
      <c r="T21" s="704" t="s">
        <v>14</v>
      </c>
      <c r="U21" s="705">
        <f>H21</f>
        <v>100</v>
      </c>
      <c r="V21" s="704" t="s">
        <v>14</v>
      </c>
      <c r="W21" s="705">
        <f>J21</f>
        <v>100</v>
      </c>
      <c r="X21" s="1354"/>
      <c r="Y21" s="3766"/>
      <c r="Z21" s="1355" t="str">
        <f>Q21</f>
        <v>基础设施水平</v>
      </c>
      <c r="AA21" s="1352">
        <f t="shared" ref="AA21" si="8">D21/F21</f>
        <v>1</v>
      </c>
      <c r="AB21" s="1352">
        <f t="shared" ref="AB21" si="9">D21/H21</f>
        <v>1</v>
      </c>
      <c r="AC21" s="1352">
        <f t="shared" ref="AC21" si="10">D21/J21</f>
        <v>1</v>
      </c>
    </row>
    <row r="22" spans="1:29" ht="15">
      <c r="A22" s="379"/>
      <c r="B22" s="1130"/>
      <c r="C22" s="1900" t="s">
        <v>3424</v>
      </c>
      <c r="D22" s="399"/>
      <c r="E22" s="1900" t="s">
        <v>3424</v>
      </c>
      <c r="F22" s="400"/>
      <c r="G22" s="1900" t="s">
        <v>3424</v>
      </c>
      <c r="H22" s="399"/>
      <c r="I22" s="1900" t="s">
        <v>3424</v>
      </c>
      <c r="J22" s="399"/>
      <c r="K22" s="1129"/>
      <c r="L22" s="2721"/>
      <c r="M22" s="2715"/>
      <c r="N22" s="2715"/>
      <c r="O22" s="2715"/>
      <c r="P22" s="3773"/>
      <c r="Q22" s="1351"/>
      <c r="R22" s="704"/>
      <c r="S22" s="705"/>
      <c r="T22" s="704"/>
      <c r="U22" s="705"/>
      <c r="V22" s="704"/>
      <c r="W22" s="705"/>
      <c r="X22" s="1354"/>
      <c r="Y22" s="3766"/>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773"/>
      <c r="Q23" s="1351" t="str">
        <f>B23</f>
        <v>自然及人文环境</v>
      </c>
      <c r="R23" s="704" t="s">
        <v>14</v>
      </c>
      <c r="S23" s="705">
        <f>F23</f>
        <v>100</v>
      </c>
      <c r="T23" s="704" t="s">
        <v>14</v>
      </c>
      <c r="U23" s="705">
        <f>H23</f>
        <v>100</v>
      </c>
      <c r="V23" s="704" t="s">
        <v>14</v>
      </c>
      <c r="W23" s="705">
        <f>J23</f>
        <v>100</v>
      </c>
      <c r="X23" s="1354"/>
      <c r="Y23" s="3766"/>
      <c r="Z23" s="1355" t="str">
        <f>Q23</f>
        <v>自然及人文环境</v>
      </c>
      <c r="AA23" s="1352">
        <f t="shared" si="3"/>
        <v>1</v>
      </c>
      <c r="AB23" s="1352">
        <f t="shared" si="4"/>
        <v>1</v>
      </c>
      <c r="AC23" s="1352">
        <f t="shared" si="5"/>
        <v>1</v>
      </c>
    </row>
    <row r="24" spans="1:29" ht="15">
      <c r="A24" s="379"/>
      <c r="B24" s="407"/>
      <c r="C24" s="398" t="s">
        <v>3410</v>
      </c>
      <c r="D24" s="399"/>
      <c r="E24" s="398" t="s">
        <v>3410</v>
      </c>
      <c r="F24" s="400"/>
      <c r="G24" s="398" t="s">
        <v>3410</v>
      </c>
      <c r="H24" s="399"/>
      <c r="I24" s="398" t="s">
        <v>3410</v>
      </c>
      <c r="J24" s="399"/>
      <c r="K24" s="564"/>
      <c r="L24" s="2721"/>
      <c r="M24" s="2715"/>
      <c r="N24" s="2715"/>
      <c r="O24" s="2715"/>
      <c r="P24" s="3773"/>
      <c r="Q24" s="1351"/>
      <c r="R24" s="704"/>
      <c r="S24" s="705"/>
      <c r="T24" s="704"/>
      <c r="U24" s="705"/>
      <c r="V24" s="704"/>
      <c r="W24" s="705"/>
      <c r="X24" s="1354"/>
      <c r="Y24" s="3766"/>
      <c r="Z24" s="1355"/>
      <c r="AA24" s="1352">
        <v>1</v>
      </c>
      <c r="AB24" s="1352">
        <v>1</v>
      </c>
      <c r="AC24" s="1352">
        <v>1</v>
      </c>
    </row>
    <row r="25" spans="1:29" ht="15">
      <c r="A25" s="379"/>
      <c r="B25" s="375" t="s">
        <v>1780</v>
      </c>
      <c r="C25" s="565" t="s">
        <v>3425</v>
      </c>
      <c r="D25" s="386">
        <v>100</v>
      </c>
      <c r="E25" s="565" t="s">
        <v>3425</v>
      </c>
      <c r="F25" s="412">
        <f>SUMIF(86:86,E25,87:87)-SUMIF(86:86,C25,87:87)+100</f>
        <v>100</v>
      </c>
      <c r="G25" s="565" t="s">
        <v>3426</v>
      </c>
      <c r="H25" s="386">
        <f>SUMIF(86:86,G25,87:87)-SUMIF(86:86,C25,87:87)+100</f>
        <v>97</v>
      </c>
      <c r="I25" s="565" t="s">
        <v>3426</v>
      </c>
      <c r="J25" s="386">
        <f>SUMIF(86:86,I25,87:87)-SUMIF(86:86,C25,87:87)+100</f>
        <v>97</v>
      </c>
      <c r="K25" s="561">
        <v>3</v>
      </c>
      <c r="L25" s="2721"/>
      <c r="M25" s="2715"/>
      <c r="N25" s="2715"/>
      <c r="O25" s="2715"/>
      <c r="P25" s="3773"/>
      <c r="Q25" s="1351" t="str">
        <f t="shared" ref="Q25:Q46" si="11">B25</f>
        <v>临街状况</v>
      </c>
      <c r="R25" s="704" t="s">
        <v>14</v>
      </c>
      <c r="S25" s="705">
        <f>F25</f>
        <v>100</v>
      </c>
      <c r="T25" s="704" t="s">
        <v>14</v>
      </c>
      <c r="U25" s="705">
        <f>H25</f>
        <v>97</v>
      </c>
      <c r="V25" s="704" t="s">
        <v>14</v>
      </c>
      <c r="W25" s="705">
        <f>J25</f>
        <v>97</v>
      </c>
      <c r="X25" s="1354"/>
      <c r="Y25" s="3766"/>
      <c r="Z25" s="1355" t="str">
        <f>Q25</f>
        <v>临街状况</v>
      </c>
      <c r="AA25" s="1352">
        <f t="shared" si="3"/>
        <v>1</v>
      </c>
      <c r="AB25" s="1352">
        <f t="shared" si="4"/>
        <v>1.0309278350515463</v>
      </c>
      <c r="AC25" s="1352">
        <f t="shared" si="5"/>
        <v>1.0309278350515463</v>
      </c>
    </row>
    <row r="26" spans="1:29" ht="15">
      <c r="A26" s="379"/>
      <c r="B26" s="1132" t="s">
        <v>1781</v>
      </c>
      <c r="C26" s="3463" t="s">
        <v>3449</v>
      </c>
      <c r="D26" s="386">
        <v>100</v>
      </c>
      <c r="E26" s="3463" t="s">
        <v>3449</v>
      </c>
      <c r="F26" s="412">
        <f>SUMIF(88:88,E26,89:89)-SUMIF(88:88,C26,89:89)+100</f>
        <v>100</v>
      </c>
      <c r="G26" s="3463" t="s">
        <v>3449</v>
      </c>
      <c r="H26" s="386">
        <f>SUMIF(88:88,G26,89:89)-SUMIF(88:88,C26,89:89)+100</f>
        <v>100</v>
      </c>
      <c r="I26" s="3463" t="s">
        <v>3449</v>
      </c>
      <c r="J26" s="386">
        <f>SUMIF(88:88,I26,89:89)-SUMIF(88:88,C26,89:89)+100</f>
        <v>100</v>
      </c>
      <c r="K26" s="562"/>
      <c r="L26" s="2721"/>
      <c r="M26" s="2715"/>
      <c r="N26" s="2715"/>
      <c r="O26" s="2715"/>
      <c r="P26" s="3773"/>
      <c r="Q26" s="1351" t="str">
        <f t="shared" si="11"/>
        <v>平面位置/可视性</v>
      </c>
      <c r="R26" s="704" t="s">
        <v>14</v>
      </c>
      <c r="S26" s="705">
        <f>F26</f>
        <v>100</v>
      </c>
      <c r="T26" s="704" t="s">
        <v>14</v>
      </c>
      <c r="U26" s="705">
        <f>H26</f>
        <v>100</v>
      </c>
      <c r="V26" s="704" t="s">
        <v>14</v>
      </c>
      <c r="W26" s="705">
        <f>J26</f>
        <v>100</v>
      </c>
      <c r="X26" s="1354"/>
      <c r="Y26" s="3766"/>
      <c r="Z26" s="1355" t="str">
        <f>Q26</f>
        <v>平面位置/可视性</v>
      </c>
      <c r="AA26" s="1352">
        <f t="shared" si="3"/>
        <v>1</v>
      </c>
      <c r="AB26" s="1352">
        <f t="shared" si="4"/>
        <v>1</v>
      </c>
      <c r="AC26" s="1352">
        <f t="shared" si="5"/>
        <v>1</v>
      </c>
    </row>
    <row r="27" spans="1:29" s="108" customFormat="1" ht="15">
      <c r="A27" s="382"/>
      <c r="B27" s="402" t="s">
        <v>1782</v>
      </c>
      <c r="C27" s="1955" t="s">
        <v>3410</v>
      </c>
      <c r="D27" s="413">
        <v>100</v>
      </c>
      <c r="E27" s="1955" t="s">
        <v>3409</v>
      </c>
      <c r="F27" s="415">
        <f>SUMIF(90:90,E27,91:91)-SUMIF(90:90,C27,91:91)+100</f>
        <v>103</v>
      </c>
      <c r="G27" s="1955" t="s">
        <v>3410</v>
      </c>
      <c r="H27" s="413">
        <f>SUMIF(90:90,G27,91:91)-SUMIF(90:90,C27,91:91)+100</f>
        <v>100</v>
      </c>
      <c r="I27" s="1955" t="s">
        <v>3410</v>
      </c>
      <c r="J27" s="413">
        <f>SUMIF(90:90,I27,91:91)-SUMIF(90:90,C27,91:91)+100</f>
        <v>100</v>
      </c>
      <c r="K27" s="561">
        <v>3</v>
      </c>
      <c r="L27" s="2716"/>
      <c r="M27" s="2717"/>
      <c r="N27" s="2717"/>
      <c r="O27" s="2717"/>
      <c r="P27" s="3773"/>
      <c r="Q27" s="1342" t="str">
        <f t="shared" si="11"/>
        <v>人流量</v>
      </c>
      <c r="R27" s="700" t="s">
        <v>14</v>
      </c>
      <c r="S27" s="701">
        <f>F27</f>
        <v>103</v>
      </c>
      <c r="T27" s="700" t="s">
        <v>14</v>
      </c>
      <c r="U27" s="701">
        <f>H27</f>
        <v>100</v>
      </c>
      <c r="V27" s="700" t="s">
        <v>14</v>
      </c>
      <c r="W27" s="701">
        <f>J27</f>
        <v>100</v>
      </c>
      <c r="X27" s="702"/>
      <c r="Y27" s="3766"/>
      <c r="Z27" s="52" t="str">
        <f>Q27</f>
        <v>人流量</v>
      </c>
      <c r="AA27" s="1352">
        <f>D27/F27</f>
        <v>0.970873786407767</v>
      </c>
      <c r="AB27" s="1352">
        <f>D27/H27</f>
        <v>1</v>
      </c>
      <c r="AC27" s="1352">
        <f>D27/J27</f>
        <v>1</v>
      </c>
    </row>
    <row r="28" spans="1:29" ht="15.75" thickBot="1">
      <c r="A28" s="379"/>
      <c r="B28" s="375" t="s">
        <v>1783</v>
      </c>
      <c r="C28" s="565" t="s">
        <v>3431</v>
      </c>
      <c r="D28" s="386">
        <v>100</v>
      </c>
      <c r="E28" s="565" t="s">
        <v>3428</v>
      </c>
      <c r="F28" s="412">
        <f>SUMIF(92:92,E28,93:93)-SUMIF(92:92,C28,93:93)+100</f>
        <v>80</v>
      </c>
      <c r="G28" s="565" t="s">
        <v>3427</v>
      </c>
      <c r="H28" s="386">
        <f>SUMIF(92:92,G28,93:93)-SUMIF(92:92,C28,93:93)+100</f>
        <v>120</v>
      </c>
      <c r="I28" s="565" t="s">
        <v>3427</v>
      </c>
      <c r="J28" s="386">
        <f>SUMIF(92:92,I28,93:93)-SUMIF(92:92,C28,93:93)+100</f>
        <v>120</v>
      </c>
      <c r="K28" s="562"/>
      <c r="L28" s="2721"/>
      <c r="M28" s="2715"/>
      <c r="N28" s="2715"/>
      <c r="O28" s="2715"/>
      <c r="P28" s="3773"/>
      <c r="Q28" s="1351" t="str">
        <f t="shared" si="11"/>
        <v>楼层</v>
      </c>
      <c r="R28" s="704" t="s">
        <v>14</v>
      </c>
      <c r="S28" s="705">
        <f t="shared" ref="S28:S46" si="12">F28</f>
        <v>80</v>
      </c>
      <c r="T28" s="704" t="s">
        <v>14</v>
      </c>
      <c r="U28" s="705">
        <f t="shared" ref="U28:U46" si="13">H28</f>
        <v>120</v>
      </c>
      <c r="V28" s="704" t="s">
        <v>14</v>
      </c>
      <c r="W28" s="705">
        <f t="shared" ref="W28:W46" si="14">J28</f>
        <v>120</v>
      </c>
      <c r="X28" s="1354"/>
      <c r="Y28" s="3766"/>
      <c r="Z28" s="1355" t="str">
        <f t="shared" ref="Z28:Z46" si="15">Q28</f>
        <v>楼层</v>
      </c>
      <c r="AA28" s="1352">
        <f t="shared" si="3"/>
        <v>1.25</v>
      </c>
      <c r="AB28" s="1352">
        <f t="shared" si="4"/>
        <v>0.83333333333333337</v>
      </c>
      <c r="AC28" s="1352">
        <f t="shared" si="5"/>
        <v>0.83333333333333337</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73"/>
      <c r="Q29" s="1351">
        <f t="shared" si="11"/>
        <v>111</v>
      </c>
      <c r="R29" s="704" t="s">
        <v>14</v>
      </c>
      <c r="S29" s="705">
        <f t="shared" si="12"/>
        <v>100</v>
      </c>
      <c r="T29" s="704" t="s">
        <v>14</v>
      </c>
      <c r="U29" s="705">
        <f t="shared" si="13"/>
        <v>100</v>
      </c>
      <c r="V29" s="704" t="s">
        <v>14</v>
      </c>
      <c r="W29" s="705">
        <f t="shared" si="14"/>
        <v>100</v>
      </c>
      <c r="X29" s="1354"/>
      <c r="Y29" s="3766"/>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73"/>
      <c r="Q30" s="1351">
        <f t="shared" si="11"/>
        <v>111</v>
      </c>
      <c r="R30" s="704" t="s">
        <v>14</v>
      </c>
      <c r="S30" s="705">
        <f t="shared" si="12"/>
        <v>100</v>
      </c>
      <c r="T30" s="704" t="s">
        <v>14</v>
      </c>
      <c r="U30" s="705">
        <f t="shared" si="13"/>
        <v>100</v>
      </c>
      <c r="V30" s="704" t="s">
        <v>14</v>
      </c>
      <c r="W30" s="705">
        <f t="shared" si="14"/>
        <v>100</v>
      </c>
      <c r="X30" s="1354"/>
      <c r="Y30" s="3766"/>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73"/>
      <c r="Q31" s="1351">
        <f t="shared" si="11"/>
        <v>111</v>
      </c>
      <c r="R31" s="704" t="s">
        <v>14</v>
      </c>
      <c r="S31" s="705">
        <f t="shared" si="12"/>
        <v>100</v>
      </c>
      <c r="T31" s="704" t="s">
        <v>14</v>
      </c>
      <c r="U31" s="705">
        <f t="shared" si="13"/>
        <v>100</v>
      </c>
      <c r="V31" s="704" t="s">
        <v>14</v>
      </c>
      <c r="W31" s="705">
        <f t="shared" si="14"/>
        <v>100</v>
      </c>
      <c r="X31" s="1354"/>
      <c r="Y31" s="3766"/>
      <c r="Z31" s="1355">
        <f t="shared" si="15"/>
        <v>111</v>
      </c>
      <c r="AA31" s="1352">
        <f t="shared" si="3"/>
        <v>1</v>
      </c>
      <c r="AB31" s="1352">
        <f t="shared" si="4"/>
        <v>1</v>
      </c>
      <c r="AC31" s="1352">
        <f t="shared" si="5"/>
        <v>1</v>
      </c>
    </row>
    <row r="32" spans="1:29" ht="15">
      <c r="A32" s="391" t="s">
        <v>1694</v>
      </c>
      <c r="B32" s="63" t="s">
        <v>1784</v>
      </c>
      <c r="C32" s="1909" t="s">
        <v>3437</v>
      </c>
      <c r="D32" s="418">
        <v>100</v>
      </c>
      <c r="E32" s="1909" t="s">
        <v>3433</v>
      </c>
      <c r="F32" s="412">
        <f>SUMIF(100:100,E32,101:101)-SUMIF(100:100,C32,101:101)+100</f>
        <v>104</v>
      </c>
      <c r="G32" s="1909" t="s">
        <v>3437</v>
      </c>
      <c r="H32" s="386">
        <f>SUMIF(100:100,G32,101:101)-SUMIF(100:100,C32,101:101)+100</f>
        <v>100</v>
      </c>
      <c r="I32" s="1909" t="s">
        <v>3435</v>
      </c>
      <c r="J32" s="418">
        <f>SUMIF(100:100,I32,101:101)-SUMIF(100:100,C32,101:101)+100</f>
        <v>102</v>
      </c>
      <c r="K32" s="561">
        <v>2</v>
      </c>
      <c r="L32" s="2721"/>
      <c r="M32" s="2715"/>
      <c r="N32" s="2715"/>
      <c r="O32" s="2715"/>
      <c r="P32" s="3767" t="s">
        <v>1696</v>
      </c>
      <c r="Q32" s="1351" t="str">
        <f t="shared" si="11"/>
        <v>商业类型</v>
      </c>
      <c r="R32" s="704" t="s">
        <v>14</v>
      </c>
      <c r="S32" s="705">
        <f t="shared" si="12"/>
        <v>104</v>
      </c>
      <c r="T32" s="704" t="s">
        <v>14</v>
      </c>
      <c r="U32" s="705">
        <f t="shared" si="13"/>
        <v>100</v>
      </c>
      <c r="V32" s="704" t="s">
        <v>14</v>
      </c>
      <c r="W32" s="705">
        <f t="shared" si="14"/>
        <v>102</v>
      </c>
      <c r="X32" s="1354"/>
      <c r="Y32" s="3770" t="s">
        <v>1696</v>
      </c>
      <c r="Z32" s="1355" t="str">
        <f t="shared" si="15"/>
        <v>商业类型</v>
      </c>
      <c r="AA32" s="1352">
        <f t="shared" si="3"/>
        <v>0.96153846153846156</v>
      </c>
      <c r="AB32" s="1352">
        <f t="shared" si="4"/>
        <v>1</v>
      </c>
      <c r="AC32" s="1352">
        <f t="shared" si="5"/>
        <v>0.98039215686274506</v>
      </c>
    </row>
    <row r="33" spans="1:29" s="422" customFormat="1" ht="15">
      <c r="A33" s="419"/>
      <c r="B33" s="375" t="s">
        <v>1697</v>
      </c>
      <c r="C33" s="420">
        <f>'数据-汇总表'!E31</f>
        <v>1068.98</v>
      </c>
      <c r="D33" s="127">
        <v>100</v>
      </c>
      <c r="E33" s="381">
        <f>Sheet1!D2</f>
        <v>37</v>
      </c>
      <c r="F33" s="376">
        <f>LOOKUP(E33,103:103,104:104)-LOOKUP(C33,103:103,104:104)+100</f>
        <v>104</v>
      </c>
      <c r="G33" s="380">
        <v>25</v>
      </c>
      <c r="H33" s="127">
        <f>LOOKUP(G33,103:103,104:104)-LOOKUP(C33,103:103,104:104)+100</f>
        <v>104</v>
      </c>
      <c r="I33" s="380">
        <f>Sheet1!D5</f>
        <v>170</v>
      </c>
      <c r="J33" s="127">
        <f>LOOKUP(I33,103:103,104:104)-LOOKUP(C33,103:103,104:104)+100</f>
        <v>103</v>
      </c>
      <c r="K33" s="562"/>
      <c r="L33" s="2720"/>
      <c r="M33" s="2722"/>
      <c r="N33" s="2722"/>
      <c r="O33" s="2722"/>
      <c r="P33" s="3768"/>
      <c r="Q33" s="706" t="str">
        <f t="shared" si="11"/>
        <v>项目建筑规模</v>
      </c>
      <c r="R33" s="707" t="s">
        <v>14</v>
      </c>
      <c r="S33" s="708">
        <f t="shared" si="12"/>
        <v>104</v>
      </c>
      <c r="T33" s="707" t="s">
        <v>14</v>
      </c>
      <c r="U33" s="708">
        <f t="shared" si="13"/>
        <v>104</v>
      </c>
      <c r="V33" s="707" t="s">
        <v>14</v>
      </c>
      <c r="W33" s="708">
        <f t="shared" si="14"/>
        <v>103</v>
      </c>
      <c r="X33" s="709"/>
      <c r="Y33" s="3770"/>
      <c r="Z33" s="710" t="str">
        <f t="shared" si="15"/>
        <v>项目建筑规模</v>
      </c>
      <c r="AA33" s="1352">
        <f t="shared" si="3"/>
        <v>0.96153846153846156</v>
      </c>
      <c r="AB33" s="1352">
        <f t="shared" si="4"/>
        <v>0.96153846153846156</v>
      </c>
      <c r="AC33" s="1352">
        <f t="shared" si="5"/>
        <v>0.970873786407767</v>
      </c>
    </row>
    <row r="34" spans="1:29" ht="15">
      <c r="A34" s="423"/>
      <c r="B34" s="375" t="s">
        <v>1698</v>
      </c>
      <c r="C34" s="1911" t="s">
        <v>3439</v>
      </c>
      <c r="D34" s="386">
        <v>100</v>
      </c>
      <c r="E34" s="1911" t="s">
        <v>3439</v>
      </c>
      <c r="F34" s="412">
        <f>SUMIF(105:105,E34,106:106)-SUMIF(105:105,C34,106:106)+100</f>
        <v>100</v>
      </c>
      <c r="G34" s="1911" t="s">
        <v>3439</v>
      </c>
      <c r="H34" s="386">
        <f>SUMIF(105:105,G34,106:106)-SUMIF(105:105,C34,106:106)+100</f>
        <v>100</v>
      </c>
      <c r="I34" s="1911" t="s">
        <v>3439</v>
      </c>
      <c r="J34" s="386">
        <f>SUMIF(105:105,I34,106:106)-SUMIF(105:105,C34,106:106)+100</f>
        <v>100</v>
      </c>
      <c r="K34" s="561">
        <v>2</v>
      </c>
      <c r="L34" s="2721"/>
      <c r="M34" s="2715"/>
      <c r="N34" s="2715"/>
      <c r="O34" s="2715"/>
      <c r="P34" s="3768"/>
      <c r="Q34" s="1351" t="str">
        <f t="shared" si="11"/>
        <v>建筑结构</v>
      </c>
      <c r="R34" s="704" t="s">
        <v>14</v>
      </c>
      <c r="S34" s="705">
        <f t="shared" si="12"/>
        <v>100</v>
      </c>
      <c r="T34" s="704" t="s">
        <v>14</v>
      </c>
      <c r="U34" s="705">
        <f t="shared" si="13"/>
        <v>100</v>
      </c>
      <c r="V34" s="704" t="s">
        <v>14</v>
      </c>
      <c r="W34" s="705">
        <f t="shared" si="14"/>
        <v>100</v>
      </c>
      <c r="X34" s="1354"/>
      <c r="Y34" s="3770"/>
      <c r="Z34" s="1355" t="str">
        <f t="shared" si="15"/>
        <v>建筑结构</v>
      </c>
      <c r="AA34" s="1352">
        <f t="shared" si="3"/>
        <v>1</v>
      </c>
      <c r="AB34" s="1352">
        <f t="shared" si="4"/>
        <v>1</v>
      </c>
      <c r="AC34" s="1352">
        <f t="shared" si="5"/>
        <v>1</v>
      </c>
    </row>
    <row r="35" spans="1:29" ht="15">
      <c r="A35" s="423"/>
      <c r="B35" s="375" t="s">
        <v>1785</v>
      </c>
      <c r="C35" s="1905" t="s">
        <v>3440</v>
      </c>
      <c r="D35" s="386">
        <v>100</v>
      </c>
      <c r="E35" s="1905" t="s">
        <v>3448</v>
      </c>
      <c r="F35" s="412">
        <f>SUMIF(107:107,E35,108:108)-SUMIF(107:107,C35,108:108)+100</f>
        <v>102</v>
      </c>
      <c r="G35" s="1905" t="s">
        <v>3440</v>
      </c>
      <c r="H35" s="386">
        <f>SUMIF(107:107,G35,108:108)-SUMIF(107:107,C35,108:108)+100</f>
        <v>100</v>
      </c>
      <c r="I35" s="1905" t="s">
        <v>3440</v>
      </c>
      <c r="J35" s="386">
        <f>SUMIF(107:107,I35,108:108)-SUMIF(107:107,C35,108:108)+100</f>
        <v>100</v>
      </c>
      <c r="K35" s="561">
        <v>2</v>
      </c>
      <c r="L35" s="2721"/>
      <c r="M35" s="2715"/>
      <c r="N35" s="2715"/>
      <c r="O35" s="2715"/>
      <c r="P35" s="3768"/>
      <c r="Q35" s="1351" t="str">
        <f t="shared" si="11"/>
        <v>公共部分装修</v>
      </c>
      <c r="R35" s="704" t="s">
        <v>14</v>
      </c>
      <c r="S35" s="705">
        <f t="shared" si="12"/>
        <v>102</v>
      </c>
      <c r="T35" s="704" t="s">
        <v>14</v>
      </c>
      <c r="U35" s="705">
        <f t="shared" si="13"/>
        <v>100</v>
      </c>
      <c r="V35" s="704" t="s">
        <v>14</v>
      </c>
      <c r="W35" s="705">
        <f t="shared" si="14"/>
        <v>100</v>
      </c>
      <c r="X35" s="1354"/>
      <c r="Y35" s="3770"/>
      <c r="Z35" s="1355" t="str">
        <f t="shared" si="15"/>
        <v>公共部分装修</v>
      </c>
      <c r="AA35" s="1352">
        <f t="shared" si="3"/>
        <v>0.98039215686274506</v>
      </c>
      <c r="AB35" s="1352">
        <f t="shared" si="4"/>
        <v>1</v>
      </c>
      <c r="AC35" s="1352">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768"/>
      <c r="Q36" s="1351" t="str">
        <f t="shared" si="11"/>
        <v>成新度</v>
      </c>
      <c r="R36" s="704" t="s">
        <v>14</v>
      </c>
      <c r="S36" s="705">
        <f t="shared" si="12"/>
        <v>100</v>
      </c>
      <c r="T36" s="704" t="s">
        <v>14</v>
      </c>
      <c r="U36" s="705">
        <f t="shared" si="13"/>
        <v>100</v>
      </c>
      <c r="V36" s="704" t="s">
        <v>14</v>
      </c>
      <c r="W36" s="705">
        <f t="shared" si="14"/>
        <v>100</v>
      </c>
      <c r="X36" s="1354"/>
      <c r="Y36" s="3770"/>
      <c r="Z36" s="1355" t="str">
        <f t="shared" si="15"/>
        <v>成新度</v>
      </c>
      <c r="AA36" s="1352">
        <f t="shared" si="3"/>
        <v>1</v>
      </c>
      <c r="AB36" s="1352">
        <f t="shared" si="4"/>
        <v>1</v>
      </c>
      <c r="AC36" s="1352">
        <f t="shared" si="5"/>
        <v>1</v>
      </c>
    </row>
    <row r="37" spans="1:29" s="108" customFormat="1" ht="15">
      <c r="A37" s="424"/>
      <c r="B37" s="375" t="s">
        <v>1787</v>
      </c>
      <c r="C37" s="1905" t="s">
        <v>3441</v>
      </c>
      <c r="D37" s="127">
        <v>100</v>
      </c>
      <c r="E37" s="1905" t="s">
        <v>3441</v>
      </c>
      <c r="F37" s="412">
        <f>SUMIF(112:112,E37,113:113)-SUMIF(112:112,C37,113:113)+100</f>
        <v>100</v>
      </c>
      <c r="G37" s="1905" t="s">
        <v>3441</v>
      </c>
      <c r="H37" s="386">
        <f>SUMIF(112:112,G37,113:113)-SUMIF(112:112,C37,113:113)+100</f>
        <v>100</v>
      </c>
      <c r="I37" s="1905" t="s">
        <v>3441</v>
      </c>
      <c r="J37" s="386">
        <f>SUMIF(112:112,I37,113:113)-SUMIF(112:112,C37,113:113)+100</f>
        <v>100</v>
      </c>
      <c r="K37" s="561">
        <v>1</v>
      </c>
      <c r="L37" s="2716"/>
      <c r="M37" s="2717"/>
      <c r="N37" s="2717"/>
      <c r="O37" s="2717"/>
      <c r="P37" s="3768"/>
      <c r="Q37" s="1342" t="str">
        <f t="shared" si="11"/>
        <v>市政基础设施</v>
      </c>
      <c r="R37" s="700" t="s">
        <v>14</v>
      </c>
      <c r="S37" s="701">
        <f t="shared" si="12"/>
        <v>100</v>
      </c>
      <c r="T37" s="700" t="s">
        <v>14</v>
      </c>
      <c r="U37" s="701">
        <f t="shared" si="13"/>
        <v>100</v>
      </c>
      <c r="V37" s="700" t="s">
        <v>14</v>
      </c>
      <c r="W37" s="701">
        <f t="shared" si="14"/>
        <v>100</v>
      </c>
      <c r="X37" s="702"/>
      <c r="Y37" s="3770"/>
      <c r="Z37" s="52" t="str">
        <f t="shared" si="15"/>
        <v>市政基础设施</v>
      </c>
      <c r="AA37" s="703">
        <f t="shared" si="3"/>
        <v>1</v>
      </c>
      <c r="AB37" s="703">
        <f t="shared" si="4"/>
        <v>1</v>
      </c>
      <c r="AC37" s="703">
        <f t="shared" si="5"/>
        <v>1</v>
      </c>
    </row>
    <row r="38" spans="1:29" ht="15">
      <c r="A38" s="423"/>
      <c r="B38" s="375" t="s">
        <v>1788</v>
      </c>
      <c r="C38" s="1905" t="s">
        <v>3444</v>
      </c>
      <c r="D38" s="386">
        <v>100</v>
      </c>
      <c r="E38" s="1905" t="s">
        <v>3442</v>
      </c>
      <c r="F38" s="412">
        <f>SUMIF(114:114,E38,115:115)-SUMIF(114:114,C38,115:115)+100</f>
        <v>102</v>
      </c>
      <c r="G38" s="1905" t="s">
        <v>3442</v>
      </c>
      <c r="H38" s="386">
        <f>SUMIF(114:114,G38,115:115)-SUMIF(114:114,C38,115:115)+100</f>
        <v>102</v>
      </c>
      <c r="I38" s="1905" t="s">
        <v>3442</v>
      </c>
      <c r="J38" s="386">
        <f>SUMIF(114:114,I38,115:115)-SUMIF(114:114,C38,115:115)+100</f>
        <v>102</v>
      </c>
      <c r="K38" s="561">
        <v>2</v>
      </c>
      <c r="L38" s="2721"/>
      <c r="M38" s="2715"/>
      <c r="N38" s="2715"/>
      <c r="O38" s="2715"/>
      <c r="P38" s="3768" t="s">
        <v>1696</v>
      </c>
      <c r="Q38" s="1351" t="str">
        <f t="shared" si="11"/>
        <v>业态</v>
      </c>
      <c r="R38" s="704" t="s">
        <v>14</v>
      </c>
      <c r="S38" s="705">
        <f t="shared" si="12"/>
        <v>102</v>
      </c>
      <c r="T38" s="704" t="s">
        <v>14</v>
      </c>
      <c r="U38" s="705">
        <f t="shared" si="13"/>
        <v>102</v>
      </c>
      <c r="V38" s="704" t="s">
        <v>14</v>
      </c>
      <c r="W38" s="705">
        <f t="shared" si="14"/>
        <v>102</v>
      </c>
      <c r="X38" s="1354"/>
      <c r="Y38" s="3770" t="s">
        <v>1696</v>
      </c>
      <c r="Z38" s="1355" t="str">
        <f t="shared" si="15"/>
        <v>业态</v>
      </c>
      <c r="AA38" s="1352">
        <f t="shared" si="3"/>
        <v>0.98039215686274506</v>
      </c>
      <c r="AB38" s="1352">
        <f t="shared" si="4"/>
        <v>0.98039215686274506</v>
      </c>
      <c r="AC38" s="1352">
        <f t="shared" si="5"/>
        <v>0.98039215686274506</v>
      </c>
    </row>
    <row r="39" spans="1:29" ht="15">
      <c r="A39" s="423"/>
      <c r="B39" s="375" t="s">
        <v>1789</v>
      </c>
      <c r="C39" s="1905" t="s">
        <v>3446</v>
      </c>
      <c r="D39" s="386">
        <v>100</v>
      </c>
      <c r="E39" s="1905" t="s">
        <v>3446</v>
      </c>
      <c r="F39" s="412">
        <f>SUMIF(116:116,E39,117:117)-SUMIF(116:116,C39,117:117)+100</f>
        <v>100</v>
      </c>
      <c r="G39" s="1905" t="s">
        <v>3446</v>
      </c>
      <c r="H39" s="386">
        <f>SUMIF(116:116,G39,117:117)-SUMIF(116:116,C39,117:117)+100</f>
        <v>100</v>
      </c>
      <c r="I39" s="1905" t="s">
        <v>3446</v>
      </c>
      <c r="J39" s="386">
        <f>SUMIF(116:116,I39,117:117)-SUMIF(116:116,C39,117:117)+100</f>
        <v>100</v>
      </c>
      <c r="K39" s="561">
        <v>1</v>
      </c>
      <c r="L39" s="2721"/>
      <c r="M39" s="2715"/>
      <c r="N39" s="2715"/>
      <c r="O39" s="2715"/>
      <c r="P39" s="3768"/>
      <c r="Q39" s="1351" t="str">
        <f t="shared" si="11"/>
        <v>层高</v>
      </c>
      <c r="R39" s="704" t="s">
        <v>14</v>
      </c>
      <c r="S39" s="705">
        <f t="shared" si="12"/>
        <v>100</v>
      </c>
      <c r="T39" s="704" t="s">
        <v>14</v>
      </c>
      <c r="U39" s="705">
        <f t="shared" si="13"/>
        <v>100</v>
      </c>
      <c r="V39" s="704" t="s">
        <v>14</v>
      </c>
      <c r="W39" s="705">
        <f t="shared" si="14"/>
        <v>100</v>
      </c>
      <c r="X39" s="1354"/>
      <c r="Y39" s="3770"/>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68"/>
      <c r="Q40" s="1351" t="str">
        <f t="shared" si="11"/>
        <v>单套建筑面积</v>
      </c>
      <c r="R40" s="704" t="s">
        <v>14</v>
      </c>
      <c r="S40" s="705">
        <f t="shared" si="12"/>
        <v>100</v>
      </c>
      <c r="T40" s="704" t="s">
        <v>14</v>
      </c>
      <c r="U40" s="705">
        <f t="shared" si="13"/>
        <v>100</v>
      </c>
      <c r="V40" s="704" t="s">
        <v>14</v>
      </c>
      <c r="W40" s="705">
        <f t="shared" si="14"/>
        <v>100</v>
      </c>
      <c r="X40" s="1354"/>
      <c r="Y40" s="3770"/>
      <c r="Z40" s="1355" t="str">
        <f t="shared" si="15"/>
        <v>单套建筑面积</v>
      </c>
      <c r="AA40" s="1352">
        <f t="shared" si="3"/>
        <v>1</v>
      </c>
      <c r="AB40" s="1352">
        <f t="shared" si="4"/>
        <v>1</v>
      </c>
      <c r="AC40" s="1352">
        <f t="shared" si="5"/>
        <v>1</v>
      </c>
    </row>
    <row r="41" spans="1:29" s="422" customFormat="1" ht="15">
      <c r="A41" s="419"/>
      <c r="B41" s="1353" t="s">
        <v>1791</v>
      </c>
      <c r="C41" s="565" t="s">
        <v>3447</v>
      </c>
      <c r="D41" s="386">
        <v>100</v>
      </c>
      <c r="E41" s="565" t="s">
        <v>3447</v>
      </c>
      <c r="F41" s="412">
        <f>SUMIF(120:120,E41,121:121)-SUMIF(120:120,C41,121:121)+100</f>
        <v>100</v>
      </c>
      <c r="G41" s="565" t="s">
        <v>3447</v>
      </c>
      <c r="H41" s="386">
        <f>SUMIF(120:120,G41,121:121)-SUMIF(120:120,C41,121:121)+100</f>
        <v>100</v>
      </c>
      <c r="I41" s="565" t="s">
        <v>3447</v>
      </c>
      <c r="J41" s="386">
        <f>SUMIF(120:120,I41,121:121)-SUMIF(120:120,C41,121:121)+100</f>
        <v>100</v>
      </c>
      <c r="K41" s="561">
        <v>2</v>
      </c>
      <c r="L41" s="2720"/>
      <c r="M41" s="2722"/>
      <c r="N41" s="2722"/>
      <c r="O41" s="2722"/>
      <c r="P41" s="3768"/>
      <c r="Q41" s="706" t="str">
        <f t="shared" si="11"/>
        <v>进深比</v>
      </c>
      <c r="R41" s="707" t="s">
        <v>14</v>
      </c>
      <c r="S41" s="708">
        <f t="shared" si="12"/>
        <v>100</v>
      </c>
      <c r="T41" s="707" t="s">
        <v>14</v>
      </c>
      <c r="U41" s="708">
        <f t="shared" si="13"/>
        <v>100</v>
      </c>
      <c r="V41" s="707" t="s">
        <v>14</v>
      </c>
      <c r="W41" s="708">
        <f t="shared" si="14"/>
        <v>100</v>
      </c>
      <c r="X41" s="709"/>
      <c r="Y41" s="3770"/>
      <c r="Z41" s="710" t="str">
        <f t="shared" si="15"/>
        <v>进深比</v>
      </c>
      <c r="AA41" s="1352">
        <f t="shared" si="3"/>
        <v>1</v>
      </c>
      <c r="AB41" s="1352">
        <f t="shared" si="4"/>
        <v>1</v>
      </c>
      <c r="AC41" s="1352">
        <f t="shared" si="5"/>
        <v>1</v>
      </c>
    </row>
    <row r="42" spans="1:29" ht="15">
      <c r="A42" s="423"/>
      <c r="B42" s="375" t="s">
        <v>1792</v>
      </c>
      <c r="C42" s="1905" t="s">
        <v>3440</v>
      </c>
      <c r="D42" s="386">
        <v>100</v>
      </c>
      <c r="E42" s="1905" t="s">
        <v>3440</v>
      </c>
      <c r="F42" s="412">
        <f>SUMIF(122:122,E42,123:123)-SUMIF(122:122,C42,123:123)+100</f>
        <v>100</v>
      </c>
      <c r="G42" s="1905" t="s">
        <v>3440</v>
      </c>
      <c r="H42" s="386">
        <f>SUMIF(122:122,G42,123:123)-SUMIF(122:122,C42,123:123)+100</f>
        <v>100</v>
      </c>
      <c r="I42" s="1905" t="s">
        <v>3440</v>
      </c>
      <c r="J42" s="386">
        <f>SUMIF(122:122,I42,123:123)-SUMIF(122:122,C42,123:123)+100</f>
        <v>100</v>
      </c>
      <c r="K42" s="561">
        <v>2</v>
      </c>
      <c r="L42" s="2721"/>
      <c r="M42" s="2715"/>
      <c r="N42" s="2715"/>
      <c r="O42" s="2715"/>
      <c r="P42" s="3768"/>
      <c r="Q42" s="1351" t="str">
        <f t="shared" si="11"/>
        <v>内部装修</v>
      </c>
      <c r="R42" s="704" t="s">
        <v>14</v>
      </c>
      <c r="S42" s="705">
        <f t="shared" si="12"/>
        <v>100</v>
      </c>
      <c r="T42" s="704" t="s">
        <v>14</v>
      </c>
      <c r="U42" s="705">
        <f t="shared" si="13"/>
        <v>100</v>
      </c>
      <c r="V42" s="704" t="s">
        <v>14</v>
      </c>
      <c r="W42" s="705">
        <f t="shared" si="14"/>
        <v>100</v>
      </c>
      <c r="X42" s="1354"/>
      <c r="Y42" s="3770"/>
      <c r="Z42" s="1355" t="str">
        <f t="shared" si="15"/>
        <v>内部装修</v>
      </c>
      <c r="AA42" s="1352">
        <f t="shared" si="3"/>
        <v>1</v>
      </c>
      <c r="AB42" s="1352">
        <f t="shared" si="4"/>
        <v>1</v>
      </c>
      <c r="AC42" s="1352">
        <f t="shared" si="5"/>
        <v>1</v>
      </c>
    </row>
    <row r="43" spans="1:29" ht="15.75" thickBot="1">
      <c r="A43" s="423"/>
      <c r="B43" s="375" t="s">
        <v>1707</v>
      </c>
      <c r="C43" s="1905" t="s">
        <v>3410</v>
      </c>
      <c r="D43" s="386">
        <v>100</v>
      </c>
      <c r="E43" s="1905" t="s">
        <v>3410</v>
      </c>
      <c r="F43" s="412">
        <f>SUMIF(124:124,E43,125:125)-SUMIF(124:124,C43,125:125)+100</f>
        <v>100</v>
      </c>
      <c r="G43" s="1905" t="s">
        <v>3410</v>
      </c>
      <c r="H43" s="386">
        <f>SUMIF(124:124,G43,125:125)-SUMIF(124:124,C43,125:125)+100</f>
        <v>100</v>
      </c>
      <c r="I43" s="1905" t="s">
        <v>3410</v>
      </c>
      <c r="J43" s="386">
        <f>SUMIF(124:124,I43,125:125)-SUMIF(124:124,C43,125:125)+100</f>
        <v>100</v>
      </c>
      <c r="K43" s="561">
        <v>2</v>
      </c>
      <c r="L43" s="2721"/>
      <c r="M43" s="2715"/>
      <c r="N43" s="2715"/>
      <c r="O43" s="2715"/>
      <c r="P43" s="3768"/>
      <c r="Q43" s="1351" t="str">
        <f t="shared" si="11"/>
        <v>内部装修维护情况</v>
      </c>
      <c r="R43" s="704" t="s">
        <v>14</v>
      </c>
      <c r="S43" s="705">
        <f t="shared" si="12"/>
        <v>100</v>
      </c>
      <c r="T43" s="704" t="s">
        <v>14</v>
      </c>
      <c r="U43" s="705">
        <f t="shared" si="13"/>
        <v>100</v>
      </c>
      <c r="V43" s="704" t="s">
        <v>14</v>
      </c>
      <c r="W43" s="705">
        <f t="shared" si="14"/>
        <v>100</v>
      </c>
      <c r="X43" s="1354"/>
      <c r="Y43" s="3770"/>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8"/>
      <c r="Q44" s="1342">
        <f t="shared" si="11"/>
        <v>111</v>
      </c>
      <c r="R44" s="700" t="s">
        <v>14</v>
      </c>
      <c r="S44" s="701">
        <f t="shared" si="12"/>
        <v>100</v>
      </c>
      <c r="T44" s="700" t="s">
        <v>14</v>
      </c>
      <c r="U44" s="701">
        <f t="shared" si="13"/>
        <v>100</v>
      </c>
      <c r="V44" s="700" t="s">
        <v>14</v>
      </c>
      <c r="W44" s="701">
        <f t="shared" si="14"/>
        <v>100</v>
      </c>
      <c r="X44" s="702"/>
      <c r="Y44" s="3770"/>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8"/>
      <c r="Q45" s="1351">
        <f t="shared" si="11"/>
        <v>111</v>
      </c>
      <c r="R45" s="704" t="s">
        <v>14</v>
      </c>
      <c r="S45" s="705">
        <f t="shared" si="12"/>
        <v>100</v>
      </c>
      <c r="T45" s="704" t="s">
        <v>14</v>
      </c>
      <c r="U45" s="705">
        <f t="shared" si="13"/>
        <v>100</v>
      </c>
      <c r="V45" s="704" t="s">
        <v>14</v>
      </c>
      <c r="W45" s="705">
        <f t="shared" si="14"/>
        <v>100</v>
      </c>
      <c r="X45" s="1354"/>
      <c r="Y45" s="3770"/>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9"/>
      <c r="Q46" s="1351">
        <f t="shared" si="11"/>
        <v>111</v>
      </c>
      <c r="R46" s="704" t="s">
        <v>14</v>
      </c>
      <c r="S46" s="705">
        <f t="shared" si="12"/>
        <v>100</v>
      </c>
      <c r="T46" s="704" t="s">
        <v>14</v>
      </c>
      <c r="U46" s="705">
        <f t="shared" si="13"/>
        <v>100</v>
      </c>
      <c r="V46" s="704" t="s">
        <v>14</v>
      </c>
      <c r="W46" s="705">
        <f t="shared" si="14"/>
        <v>100</v>
      </c>
      <c r="X46" s="1354"/>
      <c r="Y46" s="3771"/>
      <c r="Z46" s="1355">
        <f t="shared" si="15"/>
        <v>111</v>
      </c>
      <c r="AA46" s="1352">
        <f t="shared" si="3"/>
        <v>1</v>
      </c>
      <c r="AB46" s="1352">
        <f t="shared" si="4"/>
        <v>1</v>
      </c>
      <c r="AC46" s="1352">
        <f t="shared" si="5"/>
        <v>1</v>
      </c>
    </row>
    <row r="47" spans="1:29" ht="15">
      <c r="A47" s="430" t="s">
        <v>1708</v>
      </c>
      <c r="B47" s="431"/>
      <c r="C47" s="1153" t="s">
        <v>0</v>
      </c>
      <c r="D47" s="1154"/>
      <c r="E47" s="1155">
        <f>ROUND(Sheet1!E2,2)</f>
        <v>13.33</v>
      </c>
      <c r="F47" s="1156"/>
      <c r="G47" s="1157">
        <f>ROUND(Sheet1!E3,2)</f>
        <v>13.33</v>
      </c>
      <c r="H47" s="1158"/>
      <c r="I47" s="1155">
        <f>ROUND(Sheet1!E5,2)</f>
        <v>12</v>
      </c>
      <c r="J47" s="1158"/>
      <c r="K47" s="713"/>
      <c r="L47" s="2723"/>
      <c r="M47" s="2724"/>
      <c r="N47" s="2715"/>
      <c r="O47" s="2724"/>
      <c r="P47" s="3763" t="str">
        <f>A47</f>
        <v>成交单价（元/平方米）</v>
      </c>
      <c r="Q47" s="3763"/>
      <c r="R47" s="3794">
        <f>E47</f>
        <v>13.33</v>
      </c>
      <c r="S47" s="3794"/>
      <c r="T47" s="3794">
        <f>G47</f>
        <v>13.33</v>
      </c>
      <c r="U47" s="3794"/>
      <c r="V47" s="3794">
        <f>I47</f>
        <v>12</v>
      </c>
      <c r="W47" s="3794"/>
      <c r="X47" s="689"/>
      <c r="Y47" s="711"/>
      <c r="Z47" s="689"/>
      <c r="AA47" s="689"/>
      <c r="AB47" s="689"/>
      <c r="AC47" s="689"/>
    </row>
    <row r="48" spans="1:29" ht="15.75" thickBot="1">
      <c r="A48" s="437" t="s">
        <v>1793</v>
      </c>
      <c r="B48" s="438"/>
      <c r="C48" s="1159">
        <f>R49</f>
        <v>11.2</v>
      </c>
      <c r="D48" s="2316" t="s">
        <v>2138</v>
      </c>
      <c r="E48" s="1160">
        <f>R48</f>
        <v>13.2</v>
      </c>
      <c r="F48" s="2317"/>
      <c r="G48" s="1159">
        <f>T48</f>
        <v>11.1</v>
      </c>
      <c r="H48" s="2317"/>
      <c r="I48" s="1160">
        <f>V48</f>
        <v>9.4</v>
      </c>
      <c r="J48" s="2317"/>
      <c r="K48" s="2319">
        <f>F48+H48+J48</f>
        <v>0</v>
      </c>
      <c r="L48" s="2723"/>
      <c r="M48" s="2724"/>
      <c r="N48" s="2715"/>
      <c r="O48" s="2724"/>
      <c r="P48" s="3763" t="str">
        <f>A48</f>
        <v>比较价值（元/平方米）</v>
      </c>
      <c r="Q48" s="3763"/>
      <c r="R48" s="3764">
        <f>IF(F1="售价",ROUND(PRODUCT(R47,AA7:AA46),0),ROUND(PRODUCT(R47,AA7:AA46),1))</f>
        <v>13.2</v>
      </c>
      <c r="S48" s="3764"/>
      <c r="T48" s="3764">
        <f>IF(F1="售价",ROUND(PRODUCT(T47,AB7:AB46),0),ROUND(PRODUCT(T47,AB7:AB46),1))</f>
        <v>11.1</v>
      </c>
      <c r="U48" s="3764"/>
      <c r="V48" s="3764">
        <f>IF(F1="售价",ROUND(PRODUCT(V47,AC7:AC46),0),ROUND(PRODUCT(V47,AC7:AC46),1))</f>
        <v>9.4</v>
      </c>
      <c r="W48" s="3764"/>
      <c r="X48" s="689"/>
      <c r="Y48" s="689"/>
      <c r="Z48" s="689"/>
      <c r="AA48" s="689"/>
      <c r="AB48" s="689"/>
      <c r="AC48" s="689"/>
    </row>
    <row r="49" spans="1:29" ht="15.75" thickBot="1">
      <c r="A49" s="441" t="s">
        <v>1794</v>
      </c>
      <c r="B49" s="442"/>
      <c r="C49" s="1162">
        <f>R49</f>
        <v>11.2</v>
      </c>
      <c r="D49" s="1162"/>
      <c r="E49" s="1162"/>
      <c r="F49" s="1162"/>
      <c r="G49" s="1162"/>
      <c r="H49" s="1162"/>
      <c r="I49" s="1162"/>
      <c r="J49" s="1162"/>
      <c r="K49" s="714"/>
      <c r="L49" s="2723"/>
      <c r="M49" s="2724"/>
      <c r="N49" s="2715"/>
      <c r="O49" s="2724"/>
      <c r="P49" s="3760" t="str">
        <f>A49</f>
        <v>估价对象XX用房的比较价值（楼面单价，元/平方米）</v>
      </c>
      <c r="Q49" s="3761"/>
      <c r="R49" s="3762">
        <f>IF(F1="售价",ROUND(IF(D48="简单平均",AVERAGE(R48:V48),R48*F48+T48*H48+V48*J48),0),ROUND(IF(D48="简单平均",AVERAGE(R48:V48),R48*F48+T48*H48+V48*J48),1))</f>
        <v>11.2</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9.8484848484849952E-3</v>
      </c>
      <c r="F52" s="449" t="str">
        <f>IF(OR(E52&gt;=0.3,E52&lt;=-0.3),"超过30%","")</f>
        <v/>
      </c>
      <c r="G52" s="448">
        <f>IF(G47&lt;G48,G48/G47-1,G47/G48-1)</f>
        <v>0.20090090090090085</v>
      </c>
      <c r="H52" s="449" t="str">
        <f>IF(OR(G52&gt;=0.3,G52&lt;=-0.3),"超过30%","")</f>
        <v/>
      </c>
      <c r="I52" s="448">
        <f>IF(I47&lt;I48,I48/I47-1,I47/I48-1)</f>
        <v>0.27659574468085091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0.18918918918918926</v>
      </c>
      <c r="F53" s="449" t="str">
        <f>IF(OR(E53&gt;=0.2,E53&lt;=-0.2),"超过20%","")</f>
        <v/>
      </c>
      <c r="G53" s="448">
        <f>IF(G48&lt;I48,I48/G48-1,G48/I48-1)</f>
        <v>0.18085106382978711</v>
      </c>
      <c r="H53" s="449" t="str">
        <f>IF(OR(G53&gt;=0.2,G53&lt;=-0.2),"超过20%","")</f>
        <v/>
      </c>
      <c r="I53" s="448">
        <f>IF(I48&lt;E48,E48/I48-1,I48/E48-1)</f>
        <v>0.40425531914893598</v>
      </c>
      <c r="J53" s="449" t="str">
        <f>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0.11083333333333334</v>
      </c>
      <c r="H54" s="449" t="str">
        <f>IF(OR(G54&gt;=0.3,G54&lt;=-0.3),"超过30%","")</f>
        <v/>
      </c>
      <c r="I54" s="448">
        <f>IF(I47&lt;E47,E47/I47-1,I47/E47-1)</f>
        <v>0.11083333333333334</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7" t="s">
        <v>3403</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8" t="s">
        <v>3404</v>
      </c>
      <c r="D86" s="3458" t="s">
        <v>3405</v>
      </c>
      <c r="E86" s="3458" t="s">
        <v>3406</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8" t="s">
        <v>3407</v>
      </c>
      <c r="D88" s="3458" t="s">
        <v>3408</v>
      </c>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3409</v>
      </c>
      <c r="D90" s="503" t="s">
        <v>3410</v>
      </c>
      <c r="E90" s="503" t="s">
        <v>3411</v>
      </c>
      <c r="F90" s="503" t="s">
        <v>3412</v>
      </c>
      <c r="G90" s="503" t="s">
        <v>3413</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3414</v>
      </c>
      <c r="D92" s="503" t="s">
        <v>3429</v>
      </c>
      <c r="E92" s="3459" t="s">
        <v>3430</v>
      </c>
      <c r="F92" s="3458" t="s">
        <v>3432</v>
      </c>
      <c r="G92" s="3458"/>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f>(C93+E93)/2</f>
        <v>80</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3434</v>
      </c>
      <c r="D100" s="3460" t="s">
        <v>3436</v>
      </c>
      <c r="E100" s="3460" t="s">
        <v>3438</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1000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3415</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8" t="s">
        <v>3416</v>
      </c>
      <c r="D107" s="3458" t="s">
        <v>3417</v>
      </c>
      <c r="E107" s="3458" t="s">
        <v>3450</v>
      </c>
      <c r="F107" s="3461" t="s">
        <v>3451</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8" t="s">
        <v>3418</v>
      </c>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3443</v>
      </c>
      <c r="D114" s="3458" t="s">
        <v>3445</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8" t="s">
        <v>3419</v>
      </c>
      <c r="D116" s="3458" t="s">
        <v>3420</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61" t="s">
        <v>3421</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3416</v>
      </c>
      <c r="D122" s="3458" t="s">
        <v>3417</v>
      </c>
      <c r="E122" s="3458" t="s">
        <v>3452</v>
      </c>
      <c r="F122" s="3461" t="s">
        <v>3451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1068.98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813" t="s">
        <v>1775</v>
      </c>
      <c r="Q4" s="3814"/>
      <c r="R4" s="3817" t="s">
        <v>1771</v>
      </c>
      <c r="S4" s="3818"/>
      <c r="T4" s="3817" t="s">
        <v>1772</v>
      </c>
      <c r="U4" s="3818"/>
      <c r="V4" s="3819" t="s">
        <v>1773</v>
      </c>
      <c r="W4" s="3819"/>
      <c r="X4" s="1957"/>
      <c r="Y4" s="3817" t="s">
        <v>1775</v>
      </c>
      <c r="Z4" s="3818"/>
      <c r="AA4" s="3821" t="s">
        <v>1771</v>
      </c>
      <c r="AB4" s="3821" t="s">
        <v>1772</v>
      </c>
      <c r="AC4" s="3810" t="s">
        <v>1773</v>
      </c>
    </row>
    <row r="5" spans="1:29" ht="15">
      <c r="A5" s="358"/>
      <c r="B5" s="359"/>
      <c r="C5" s="3797" t="s">
        <v>1673</v>
      </c>
      <c r="D5" s="3798"/>
      <c r="E5" s="3805" t="s">
        <v>1674</v>
      </c>
      <c r="F5" s="3806"/>
      <c r="G5" s="3797" t="s">
        <v>1675</v>
      </c>
      <c r="H5" s="3798"/>
      <c r="I5" s="3797" t="s">
        <v>1676</v>
      </c>
      <c r="J5" s="3798"/>
      <c r="K5" s="559"/>
      <c r="L5" s="2714"/>
      <c r="M5" s="2715"/>
      <c r="N5" s="2715"/>
      <c r="O5" s="2715"/>
      <c r="P5" s="3815"/>
      <c r="Q5" s="3785"/>
      <c r="R5" s="3790"/>
      <c r="S5" s="3791"/>
      <c r="T5" s="3790"/>
      <c r="U5" s="3791"/>
      <c r="V5" s="3794"/>
      <c r="W5" s="3794"/>
      <c r="X5" s="1354"/>
      <c r="Y5" s="3790"/>
      <c r="Z5" s="3791"/>
      <c r="AA5" s="3776"/>
      <c r="AB5" s="3776"/>
      <c r="AC5" s="3811"/>
    </row>
    <row r="6" spans="1:29" ht="15.75" thickBot="1">
      <c r="A6" s="360"/>
      <c r="B6" s="361"/>
      <c r="C6" s="3795" t="s">
        <v>1677</v>
      </c>
      <c r="D6" s="3796"/>
      <c r="E6" s="3803" t="s">
        <v>1677</v>
      </c>
      <c r="F6" s="3804"/>
      <c r="G6" s="3795" t="s">
        <v>1677</v>
      </c>
      <c r="H6" s="3796"/>
      <c r="I6" s="3795" t="s">
        <v>1677</v>
      </c>
      <c r="J6" s="3796"/>
      <c r="K6" s="559" t="s">
        <v>1678</v>
      </c>
      <c r="L6" s="2714"/>
      <c r="M6" s="2715"/>
      <c r="N6" s="2715"/>
      <c r="O6" s="2715"/>
      <c r="P6" s="3816"/>
      <c r="Q6" s="3787"/>
      <c r="R6" s="3790"/>
      <c r="S6" s="3791"/>
      <c r="T6" s="3792"/>
      <c r="U6" s="3793"/>
      <c r="V6" s="3794"/>
      <c r="W6" s="3794"/>
      <c r="X6" s="1354"/>
      <c r="Y6" s="3792"/>
      <c r="Z6" s="3793"/>
      <c r="AA6" s="3777"/>
      <c r="AB6" s="3777"/>
      <c r="AC6" s="3812"/>
    </row>
    <row r="7" spans="1:29" s="108" customFormat="1" ht="15.75" thickBot="1">
      <c r="A7" s="362" t="s">
        <v>1679</v>
      </c>
      <c r="B7" s="363"/>
      <c r="C7" s="364">
        <f>'数据-取费表'!B2</f>
        <v>45062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20" t="s">
        <v>1680</v>
      </c>
      <c r="Q7" s="3801"/>
      <c r="R7" s="700" t="s">
        <v>14</v>
      </c>
      <c r="S7" s="701">
        <f t="shared" ref="S7:S15" si="0">F7</f>
        <v>0</v>
      </c>
      <c r="T7" s="700" t="s">
        <v>14</v>
      </c>
      <c r="U7" s="701">
        <f t="shared" ref="U7:U15" si="1">H7</f>
        <v>0</v>
      </c>
      <c r="V7" s="700" t="s">
        <v>14</v>
      </c>
      <c r="W7" s="701">
        <f t="shared" ref="W7:W15" si="2">J7</f>
        <v>0</v>
      </c>
      <c r="X7" s="702"/>
      <c r="Y7" s="3799" t="s">
        <v>1680</v>
      </c>
      <c r="Z7" s="3800"/>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20" t="s">
        <v>1683</v>
      </c>
      <c r="Q8" s="3800"/>
      <c r="R8" s="700" t="s">
        <v>14</v>
      </c>
      <c r="S8" s="701">
        <f t="shared" si="0"/>
        <v>100</v>
      </c>
      <c r="T8" s="700" t="s">
        <v>14</v>
      </c>
      <c r="U8" s="701">
        <f t="shared" si="1"/>
        <v>100</v>
      </c>
      <c r="V8" s="700" t="s">
        <v>14</v>
      </c>
      <c r="W8" s="701">
        <f t="shared" si="2"/>
        <v>100</v>
      </c>
      <c r="X8" s="702"/>
      <c r="Y8" s="3799" t="s">
        <v>1683</v>
      </c>
      <c r="Z8" s="3800"/>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74"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74"/>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74"/>
      <c r="Q11" s="1342" t="str">
        <f t="shared" si="6"/>
        <v>容积率</v>
      </c>
      <c r="R11" s="700" t="s">
        <v>14</v>
      </c>
      <c r="S11" s="701">
        <f t="shared" si="0"/>
        <v>100</v>
      </c>
      <c r="T11" s="700" t="s">
        <v>14</v>
      </c>
      <c r="U11" s="701">
        <f t="shared" si="1"/>
        <v>100</v>
      </c>
      <c r="V11" s="700" t="s">
        <v>14</v>
      </c>
      <c r="W11" s="701">
        <f t="shared" si="2"/>
        <v>100</v>
      </c>
      <c r="X11" s="702"/>
      <c r="Y11" s="364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74"/>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74"/>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74"/>
      <c r="Q14" s="1342">
        <f t="shared" si="6"/>
        <v>111</v>
      </c>
      <c r="R14" s="700" t="s">
        <v>14</v>
      </c>
      <c r="S14" s="701">
        <f t="shared" si="0"/>
        <v>100</v>
      </c>
      <c r="T14" s="700" t="s">
        <v>14</v>
      </c>
      <c r="U14" s="701">
        <f t="shared" si="1"/>
        <v>100</v>
      </c>
      <c r="V14" s="700" t="s">
        <v>14</v>
      </c>
      <c r="W14" s="701">
        <f t="shared" si="2"/>
        <v>100</v>
      </c>
      <c r="X14" s="702"/>
      <c r="Y14" s="3641"/>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72" t="s">
        <v>1691</v>
      </c>
      <c r="Q15" s="1351" t="str">
        <f t="shared" si="6"/>
        <v>办公集聚程度</v>
      </c>
      <c r="R15" s="704" t="s">
        <v>14</v>
      </c>
      <c r="S15" s="705">
        <f t="shared" si="0"/>
        <v>100</v>
      </c>
      <c r="T15" s="704" t="s">
        <v>14</v>
      </c>
      <c r="U15" s="705">
        <f t="shared" si="1"/>
        <v>100</v>
      </c>
      <c r="V15" s="704" t="s">
        <v>14</v>
      </c>
      <c r="W15" s="705">
        <f t="shared" si="2"/>
        <v>100</v>
      </c>
      <c r="X15" s="1354"/>
      <c r="Y15" s="3765"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73"/>
      <c r="Q16" s="1351"/>
      <c r="R16" s="704"/>
      <c r="S16" s="705"/>
      <c r="T16" s="704"/>
      <c r="U16" s="705"/>
      <c r="V16" s="704"/>
      <c r="W16" s="705"/>
      <c r="X16" s="1354"/>
      <c r="Y16" s="3766"/>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73"/>
      <c r="Q17" s="1351" t="str">
        <f>B17</f>
        <v>交通便捷度</v>
      </c>
      <c r="R17" s="704" t="s">
        <v>14</v>
      </c>
      <c r="S17" s="705">
        <f>F17</f>
        <v>100</v>
      </c>
      <c r="T17" s="704" t="s">
        <v>14</v>
      </c>
      <c r="U17" s="705">
        <f>H17</f>
        <v>100</v>
      </c>
      <c r="V17" s="704" t="s">
        <v>14</v>
      </c>
      <c r="W17" s="705">
        <f>J17</f>
        <v>100</v>
      </c>
      <c r="X17" s="1354"/>
      <c r="Y17" s="3766"/>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73"/>
      <c r="Q18" s="1351"/>
      <c r="R18" s="704"/>
      <c r="S18" s="705"/>
      <c r="T18" s="704"/>
      <c r="U18" s="705"/>
      <c r="V18" s="704"/>
      <c r="W18" s="705"/>
      <c r="X18" s="1354"/>
      <c r="Y18" s="3766"/>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73"/>
      <c r="Q19" s="1351" t="str">
        <f>B19</f>
        <v>公共配套设施</v>
      </c>
      <c r="R19" s="704" t="s">
        <v>14</v>
      </c>
      <c r="S19" s="705">
        <f>F19</f>
        <v>100</v>
      </c>
      <c r="T19" s="704" t="s">
        <v>14</v>
      </c>
      <c r="U19" s="705">
        <f>H19</f>
        <v>100</v>
      </c>
      <c r="V19" s="704" t="s">
        <v>14</v>
      </c>
      <c r="W19" s="705">
        <f>J19</f>
        <v>100</v>
      </c>
      <c r="X19" s="1354"/>
      <c r="Y19" s="3766"/>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73"/>
      <c r="Q20" s="1351"/>
      <c r="R20" s="704"/>
      <c r="S20" s="705"/>
      <c r="T20" s="704"/>
      <c r="U20" s="705"/>
      <c r="V20" s="704"/>
      <c r="W20" s="705"/>
      <c r="X20" s="1354"/>
      <c r="Y20" s="3766"/>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73"/>
      <c r="Q21" s="1351" t="str">
        <f>B21</f>
        <v>基础设施水平</v>
      </c>
      <c r="R21" s="704" t="s">
        <v>14</v>
      </c>
      <c r="S21" s="705">
        <f>F21</f>
        <v>100</v>
      </c>
      <c r="T21" s="704" t="s">
        <v>14</v>
      </c>
      <c r="U21" s="705">
        <f>H21</f>
        <v>100</v>
      </c>
      <c r="V21" s="704" t="s">
        <v>14</v>
      </c>
      <c r="W21" s="705">
        <f>J21</f>
        <v>100</v>
      </c>
      <c r="X21" s="1354"/>
      <c r="Y21" s="3766"/>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73"/>
      <c r="Q22" s="1351"/>
      <c r="R22" s="704"/>
      <c r="S22" s="705"/>
      <c r="T22" s="704"/>
      <c r="U22" s="705"/>
      <c r="V22" s="704"/>
      <c r="W22" s="705"/>
      <c r="X22" s="1354"/>
      <c r="Y22" s="3766"/>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73"/>
      <c r="Q23" s="1351" t="str">
        <f>B23</f>
        <v>环境质量</v>
      </c>
      <c r="R23" s="704" t="s">
        <v>14</v>
      </c>
      <c r="S23" s="705">
        <f>F23</f>
        <v>100</v>
      </c>
      <c r="T23" s="704" t="s">
        <v>14</v>
      </c>
      <c r="U23" s="705">
        <f>H23</f>
        <v>100</v>
      </c>
      <c r="V23" s="704" t="s">
        <v>14</v>
      </c>
      <c r="W23" s="705">
        <f>J23</f>
        <v>100</v>
      </c>
      <c r="X23" s="1354"/>
      <c r="Y23" s="3766"/>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73"/>
      <c r="Q24" s="1351"/>
      <c r="R24" s="704"/>
      <c r="S24" s="705"/>
      <c r="T24" s="704"/>
      <c r="U24" s="705"/>
      <c r="V24" s="704"/>
      <c r="W24" s="705"/>
      <c r="X24" s="1354"/>
      <c r="Y24" s="3766"/>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73"/>
      <c r="Q25" s="1351" t="str">
        <f>B25</f>
        <v>毗邻道路的类型与等级</v>
      </c>
      <c r="R25" s="704" t="s">
        <v>14</v>
      </c>
      <c r="S25" s="705">
        <f>F25</f>
        <v>100</v>
      </c>
      <c r="T25" s="704" t="s">
        <v>14</v>
      </c>
      <c r="U25" s="705">
        <f>H25</f>
        <v>100</v>
      </c>
      <c r="V25" s="704" t="s">
        <v>14</v>
      </c>
      <c r="W25" s="705">
        <f>J25</f>
        <v>100</v>
      </c>
      <c r="X25" s="1354"/>
      <c r="Y25" s="3766"/>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73"/>
      <c r="Q26" s="1351"/>
      <c r="R26" s="704"/>
      <c r="S26" s="705"/>
      <c r="T26" s="704"/>
      <c r="U26" s="705"/>
      <c r="V26" s="704"/>
      <c r="W26" s="705"/>
      <c r="X26" s="1354"/>
      <c r="Y26" s="3766"/>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73"/>
      <c r="Q27" s="1351" t="str">
        <f t="shared" ref="Q27:Q47" si="11">B27</f>
        <v>楼层</v>
      </c>
      <c r="R27" s="704" t="s">
        <v>14</v>
      </c>
      <c r="S27" s="705">
        <f>F27</f>
        <v>100</v>
      </c>
      <c r="T27" s="704" t="s">
        <v>14</v>
      </c>
      <c r="U27" s="705">
        <f>H27</f>
        <v>100</v>
      </c>
      <c r="V27" s="704" t="s">
        <v>14</v>
      </c>
      <c r="W27" s="705">
        <f>J27</f>
        <v>100</v>
      </c>
      <c r="X27" s="1354"/>
      <c r="Y27" s="3766"/>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73"/>
      <c r="Q28" s="1342" t="str">
        <f t="shared" si="11"/>
        <v>朝向</v>
      </c>
      <c r="R28" s="700" t="s">
        <v>14</v>
      </c>
      <c r="S28" s="701">
        <f>F28</f>
        <v>100</v>
      </c>
      <c r="T28" s="700" t="s">
        <v>14</v>
      </c>
      <c r="U28" s="701">
        <f>H28</f>
        <v>100</v>
      </c>
      <c r="V28" s="700" t="s">
        <v>14</v>
      </c>
      <c r="W28" s="701">
        <f>J28</f>
        <v>100</v>
      </c>
      <c r="X28" s="702"/>
      <c r="Y28" s="376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73"/>
      <c r="Q29" s="1351">
        <f t="shared" si="11"/>
        <v>111</v>
      </c>
      <c r="R29" s="704" t="s">
        <v>14</v>
      </c>
      <c r="S29" s="705">
        <f t="shared" ref="S29:S47" si="12">F29</f>
        <v>100</v>
      </c>
      <c r="T29" s="704" t="s">
        <v>14</v>
      </c>
      <c r="U29" s="705">
        <f t="shared" ref="U29:U47" si="13">H29</f>
        <v>100</v>
      </c>
      <c r="V29" s="704" t="s">
        <v>14</v>
      </c>
      <c r="W29" s="705">
        <f t="shared" ref="W29:W47" si="14">J29</f>
        <v>100</v>
      </c>
      <c r="X29" s="1354"/>
      <c r="Y29" s="376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73"/>
      <c r="Q30" s="1351">
        <f t="shared" si="11"/>
        <v>111</v>
      </c>
      <c r="R30" s="704" t="s">
        <v>14</v>
      </c>
      <c r="S30" s="705">
        <f t="shared" si="12"/>
        <v>100</v>
      </c>
      <c r="T30" s="704" t="s">
        <v>14</v>
      </c>
      <c r="U30" s="705">
        <f t="shared" si="13"/>
        <v>100</v>
      </c>
      <c r="V30" s="704" t="s">
        <v>14</v>
      </c>
      <c r="W30" s="705">
        <f t="shared" si="14"/>
        <v>100</v>
      </c>
      <c r="X30" s="1354"/>
      <c r="Y30" s="376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73"/>
      <c r="Q31" s="1351">
        <f t="shared" si="11"/>
        <v>111</v>
      </c>
      <c r="R31" s="704" t="s">
        <v>14</v>
      </c>
      <c r="S31" s="705">
        <f t="shared" si="12"/>
        <v>100</v>
      </c>
      <c r="T31" s="704" t="s">
        <v>14</v>
      </c>
      <c r="U31" s="705">
        <f t="shared" si="13"/>
        <v>100</v>
      </c>
      <c r="V31" s="704" t="s">
        <v>14</v>
      </c>
      <c r="W31" s="705">
        <f t="shared" si="14"/>
        <v>100</v>
      </c>
      <c r="X31" s="1354"/>
      <c r="Y31" s="3766"/>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73"/>
      <c r="Q32" s="1351">
        <f t="shared" si="11"/>
        <v>111</v>
      </c>
      <c r="R32" s="704" t="s">
        <v>14</v>
      </c>
      <c r="S32" s="705">
        <f t="shared" si="12"/>
        <v>100</v>
      </c>
      <c r="T32" s="704" t="s">
        <v>14</v>
      </c>
      <c r="U32" s="705">
        <f t="shared" si="13"/>
        <v>100</v>
      </c>
      <c r="V32" s="704" t="s">
        <v>14</v>
      </c>
      <c r="W32" s="705">
        <f t="shared" si="14"/>
        <v>100</v>
      </c>
      <c r="X32" s="1354"/>
      <c r="Y32" s="376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7" t="s">
        <v>1696</v>
      </c>
      <c r="Q33" s="1351" t="str">
        <f t="shared" si="11"/>
        <v>建筑类型</v>
      </c>
      <c r="R33" s="704" t="s">
        <v>14</v>
      </c>
      <c r="S33" s="705">
        <f t="shared" si="12"/>
        <v>100</v>
      </c>
      <c r="T33" s="704" t="s">
        <v>14</v>
      </c>
      <c r="U33" s="705">
        <f t="shared" si="13"/>
        <v>100</v>
      </c>
      <c r="V33" s="704" t="s">
        <v>14</v>
      </c>
      <c r="W33" s="705">
        <f t="shared" si="14"/>
        <v>100</v>
      </c>
      <c r="X33" s="1354"/>
      <c r="Y33" s="377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8"/>
      <c r="Q34" s="706" t="str">
        <f t="shared" si="11"/>
        <v>项目建筑规模</v>
      </c>
      <c r="R34" s="707" t="s">
        <v>14</v>
      </c>
      <c r="S34" s="708" t="e">
        <f t="shared" si="12"/>
        <v>#N/A</v>
      </c>
      <c r="T34" s="707" t="s">
        <v>14</v>
      </c>
      <c r="U34" s="708" t="e">
        <f t="shared" si="13"/>
        <v>#N/A</v>
      </c>
      <c r="V34" s="707" t="s">
        <v>14</v>
      </c>
      <c r="W34" s="708" t="e">
        <f t="shared" si="14"/>
        <v>#N/A</v>
      </c>
      <c r="X34" s="709"/>
      <c r="Y34" s="3770"/>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8"/>
      <c r="Q35" s="1351" t="str">
        <f t="shared" si="11"/>
        <v>建筑结构</v>
      </c>
      <c r="R35" s="704" t="s">
        <v>14</v>
      </c>
      <c r="S35" s="705">
        <f t="shared" si="12"/>
        <v>100</v>
      </c>
      <c r="T35" s="704" t="s">
        <v>14</v>
      </c>
      <c r="U35" s="705">
        <f t="shared" si="13"/>
        <v>100</v>
      </c>
      <c r="V35" s="704" t="s">
        <v>14</v>
      </c>
      <c r="W35" s="705">
        <f t="shared" si="14"/>
        <v>100</v>
      </c>
      <c r="X35" s="1354"/>
      <c r="Y35" s="377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8"/>
      <c r="Q36" s="1351" t="str">
        <f t="shared" si="11"/>
        <v>公共部分装修</v>
      </c>
      <c r="R36" s="704" t="s">
        <v>14</v>
      </c>
      <c r="S36" s="705">
        <f t="shared" si="12"/>
        <v>100</v>
      </c>
      <c r="T36" s="704" t="s">
        <v>14</v>
      </c>
      <c r="U36" s="705">
        <f t="shared" si="13"/>
        <v>100</v>
      </c>
      <c r="V36" s="704" t="s">
        <v>14</v>
      </c>
      <c r="W36" s="705">
        <f t="shared" si="14"/>
        <v>100</v>
      </c>
      <c r="X36" s="1354"/>
      <c r="Y36" s="377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8"/>
      <c r="Q37" s="1351" t="str">
        <f t="shared" si="11"/>
        <v>成新度</v>
      </c>
      <c r="R37" s="704" t="s">
        <v>14</v>
      </c>
      <c r="S37" s="705" t="e">
        <f t="shared" si="12"/>
        <v>#N/A</v>
      </c>
      <c r="T37" s="704" t="s">
        <v>14</v>
      </c>
      <c r="U37" s="705" t="e">
        <f t="shared" si="13"/>
        <v>#N/A</v>
      </c>
      <c r="V37" s="704" t="s">
        <v>14</v>
      </c>
      <c r="W37" s="705" t="e">
        <f t="shared" si="14"/>
        <v>#N/A</v>
      </c>
      <c r="X37" s="1354"/>
      <c r="Y37" s="377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8"/>
      <c r="Q38" s="1342" t="str">
        <f t="shared" si="11"/>
        <v>写字楼等级</v>
      </c>
      <c r="R38" s="700" t="s">
        <v>14</v>
      </c>
      <c r="S38" s="701">
        <f t="shared" si="12"/>
        <v>100</v>
      </c>
      <c r="T38" s="700" t="s">
        <v>14</v>
      </c>
      <c r="U38" s="701">
        <f t="shared" si="13"/>
        <v>100</v>
      </c>
      <c r="V38" s="700" t="s">
        <v>14</v>
      </c>
      <c r="W38" s="701">
        <f t="shared" si="14"/>
        <v>100</v>
      </c>
      <c r="X38" s="702"/>
      <c r="Y38" s="3770"/>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8" t="s">
        <v>1696</v>
      </c>
      <c r="Q39" s="1351" t="str">
        <f t="shared" si="11"/>
        <v>物业管理</v>
      </c>
      <c r="R39" s="704" t="s">
        <v>14</v>
      </c>
      <c r="S39" s="705">
        <f t="shared" si="12"/>
        <v>100</v>
      </c>
      <c r="T39" s="704" t="s">
        <v>14</v>
      </c>
      <c r="U39" s="705">
        <f t="shared" si="13"/>
        <v>100</v>
      </c>
      <c r="V39" s="704" t="s">
        <v>14</v>
      </c>
      <c r="W39" s="705">
        <f t="shared" si="14"/>
        <v>100</v>
      </c>
      <c r="X39" s="1354"/>
      <c r="Y39" s="377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8"/>
      <c r="Q40" s="1351" t="str">
        <f t="shared" si="11"/>
        <v>市政基础设施</v>
      </c>
      <c r="R40" s="704" t="s">
        <v>14</v>
      </c>
      <c r="S40" s="705">
        <f t="shared" si="12"/>
        <v>100</v>
      </c>
      <c r="T40" s="704" t="s">
        <v>14</v>
      </c>
      <c r="U40" s="705">
        <f t="shared" si="13"/>
        <v>100</v>
      </c>
      <c r="V40" s="704" t="s">
        <v>14</v>
      </c>
      <c r="W40" s="705">
        <f t="shared" si="14"/>
        <v>100</v>
      </c>
      <c r="X40" s="1354"/>
      <c r="Y40" s="377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8"/>
      <c r="Q41" s="1351" t="str">
        <f t="shared" si="11"/>
        <v>层高</v>
      </c>
      <c r="R41" s="704" t="s">
        <v>14</v>
      </c>
      <c r="S41" s="705">
        <f t="shared" si="12"/>
        <v>100</v>
      </c>
      <c r="T41" s="704" t="s">
        <v>14</v>
      </c>
      <c r="U41" s="705">
        <f t="shared" si="13"/>
        <v>100</v>
      </c>
      <c r="V41" s="704" t="s">
        <v>14</v>
      </c>
      <c r="W41" s="705">
        <f t="shared" si="14"/>
        <v>100</v>
      </c>
      <c r="X41" s="1354"/>
      <c r="Y41" s="377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8"/>
      <c r="Q42" s="706" t="str">
        <f t="shared" si="11"/>
        <v>单套建筑面积</v>
      </c>
      <c r="R42" s="707" t="s">
        <v>14</v>
      </c>
      <c r="S42" s="708">
        <f t="shared" si="12"/>
        <v>100</v>
      </c>
      <c r="T42" s="707" t="s">
        <v>14</v>
      </c>
      <c r="U42" s="708">
        <f t="shared" si="13"/>
        <v>100</v>
      </c>
      <c r="V42" s="707" t="s">
        <v>14</v>
      </c>
      <c r="W42" s="708">
        <f t="shared" si="14"/>
        <v>100</v>
      </c>
      <c r="X42" s="709"/>
      <c r="Y42" s="3770"/>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8"/>
      <c r="Q43" s="1351" t="str">
        <f t="shared" si="11"/>
        <v>内部装修</v>
      </c>
      <c r="R43" s="704" t="s">
        <v>14</v>
      </c>
      <c r="S43" s="705">
        <f t="shared" si="12"/>
        <v>100</v>
      </c>
      <c r="T43" s="704" t="s">
        <v>14</v>
      </c>
      <c r="U43" s="705">
        <f t="shared" si="13"/>
        <v>100</v>
      </c>
      <c r="V43" s="704" t="s">
        <v>14</v>
      </c>
      <c r="W43" s="705">
        <f t="shared" si="14"/>
        <v>100</v>
      </c>
      <c r="X43" s="1354"/>
      <c r="Y43" s="377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8"/>
      <c r="Q44" s="1351" t="str">
        <f t="shared" si="11"/>
        <v>内部装修维护情况</v>
      </c>
      <c r="R44" s="704" t="s">
        <v>14</v>
      </c>
      <c r="S44" s="705">
        <f t="shared" si="12"/>
        <v>100</v>
      </c>
      <c r="T44" s="704" t="s">
        <v>14</v>
      </c>
      <c r="U44" s="705">
        <f t="shared" si="13"/>
        <v>100</v>
      </c>
      <c r="V44" s="704" t="s">
        <v>14</v>
      </c>
      <c r="W44" s="705">
        <f t="shared" si="14"/>
        <v>100</v>
      </c>
      <c r="X44" s="1354"/>
      <c r="Y44" s="377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8"/>
      <c r="Q45" s="1342">
        <f t="shared" si="11"/>
        <v>111</v>
      </c>
      <c r="R45" s="700" t="s">
        <v>14</v>
      </c>
      <c r="S45" s="701">
        <f t="shared" si="12"/>
        <v>100</v>
      </c>
      <c r="T45" s="700" t="s">
        <v>14</v>
      </c>
      <c r="U45" s="701">
        <f t="shared" si="13"/>
        <v>100</v>
      </c>
      <c r="V45" s="700" t="s">
        <v>14</v>
      </c>
      <c r="W45" s="701">
        <f t="shared" si="14"/>
        <v>100</v>
      </c>
      <c r="X45" s="702"/>
      <c r="Y45" s="3770"/>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8"/>
      <c r="Q46" s="1351">
        <f t="shared" si="11"/>
        <v>111</v>
      </c>
      <c r="R46" s="704" t="s">
        <v>14</v>
      </c>
      <c r="S46" s="705">
        <f t="shared" si="12"/>
        <v>100</v>
      </c>
      <c r="T46" s="704" t="s">
        <v>14</v>
      </c>
      <c r="U46" s="705">
        <f t="shared" si="13"/>
        <v>100</v>
      </c>
      <c r="V46" s="704" t="s">
        <v>14</v>
      </c>
      <c r="W46" s="705">
        <f t="shared" si="14"/>
        <v>100</v>
      </c>
      <c r="X46" s="1354"/>
      <c r="Y46" s="377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9"/>
      <c r="Q47" s="1351">
        <f t="shared" si="11"/>
        <v>111</v>
      </c>
      <c r="R47" s="704" t="s">
        <v>14</v>
      </c>
      <c r="S47" s="705">
        <f t="shared" si="12"/>
        <v>100</v>
      </c>
      <c r="T47" s="704" t="s">
        <v>14</v>
      </c>
      <c r="U47" s="705">
        <f t="shared" si="13"/>
        <v>100</v>
      </c>
      <c r="V47" s="704" t="s">
        <v>14</v>
      </c>
      <c r="W47" s="705">
        <f t="shared" si="14"/>
        <v>100</v>
      </c>
      <c r="X47" s="1354"/>
      <c r="Y47" s="377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74" t="str">
        <f>A48</f>
        <v>成交单价（元/平方米）</v>
      </c>
      <c r="Q48" s="3763"/>
      <c r="R48" s="3764">
        <f>E48</f>
        <v>0</v>
      </c>
      <c r="S48" s="3764"/>
      <c r="T48" s="3764">
        <f>G48</f>
        <v>0</v>
      </c>
      <c r="U48" s="3764"/>
      <c r="V48" s="3764">
        <f>I48</f>
        <v>0</v>
      </c>
      <c r="W48" s="3764"/>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74" t="str">
        <f>A49</f>
        <v>比较价值（元/平方米）</v>
      </c>
      <c r="Q49" s="3763"/>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807" t="str">
        <f>A50</f>
        <v>估价对象XX用房的比较价值（楼面单价，元/平方米）</v>
      </c>
      <c r="Q50" s="3808"/>
      <c r="R50" s="3809" t="e">
        <f>IF(F1="售价",ROUND(IF(D49="简单平均",AVERAGE(R49:V49),R49*F49+T49*H49+V49*J49),0),ROUND(IF(D49="简单平均",AVERAGE(R49:V49),R49*F49+T49*H49+V49*J49),1))</f>
        <v>#DIV/0!</v>
      </c>
      <c r="S50" s="3809"/>
      <c r="T50" s="3809"/>
      <c r="U50" s="3809"/>
      <c r="V50" s="3809"/>
      <c r="W50" s="380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1068.98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78" t="s">
        <v>1770</v>
      </c>
      <c r="D4" s="3779"/>
      <c r="E4" s="3780" t="s">
        <v>1771</v>
      </c>
      <c r="F4" s="3781"/>
      <c r="G4" s="3778" t="s">
        <v>1772</v>
      </c>
      <c r="H4" s="3779"/>
      <c r="I4" s="3778" t="s">
        <v>1773</v>
      </c>
      <c r="J4" s="3779"/>
      <c r="K4" s="559" t="s">
        <v>1774</v>
      </c>
      <c r="L4" s="912"/>
      <c r="M4" s="913"/>
      <c r="N4" s="913"/>
      <c r="O4" s="913"/>
      <c r="P4" s="3782" t="s">
        <v>1775</v>
      </c>
      <c r="Q4" s="3783"/>
      <c r="R4" s="3788" t="s">
        <v>1771</v>
      </c>
      <c r="S4" s="3789"/>
      <c r="T4" s="3788" t="s">
        <v>1772</v>
      </c>
      <c r="U4" s="3789"/>
      <c r="V4" s="3794" t="s">
        <v>1773</v>
      </c>
      <c r="W4" s="3794"/>
      <c r="X4" s="1354"/>
      <c r="Y4" s="3788" t="s">
        <v>1775</v>
      </c>
      <c r="Z4" s="3789"/>
      <c r="AA4" s="3775" t="s">
        <v>1771</v>
      </c>
      <c r="AB4" s="3776" t="s">
        <v>1772</v>
      </c>
      <c r="AC4" s="3775" t="s">
        <v>1773</v>
      </c>
    </row>
    <row r="5" spans="1:29" ht="15">
      <c r="A5" s="358"/>
      <c r="B5" s="359"/>
      <c r="C5" s="3797" t="s">
        <v>1673</v>
      </c>
      <c r="D5" s="3798"/>
      <c r="E5" s="3805" t="s">
        <v>1674</v>
      </c>
      <c r="F5" s="3806"/>
      <c r="G5" s="3797" t="s">
        <v>1675</v>
      </c>
      <c r="H5" s="3798"/>
      <c r="I5" s="3797" t="s">
        <v>1676</v>
      </c>
      <c r="J5" s="3798"/>
      <c r="K5" s="559"/>
      <c r="L5" s="912"/>
      <c r="M5" s="913"/>
      <c r="N5" s="913"/>
      <c r="O5" s="913"/>
      <c r="P5" s="3784"/>
      <c r="Q5" s="3785"/>
      <c r="R5" s="3790"/>
      <c r="S5" s="3791"/>
      <c r="T5" s="3790"/>
      <c r="U5" s="3791"/>
      <c r="V5" s="3794"/>
      <c r="W5" s="3794"/>
      <c r="X5" s="1354"/>
      <c r="Y5" s="3790"/>
      <c r="Z5" s="3791"/>
      <c r="AA5" s="3776"/>
      <c r="AB5" s="3776"/>
      <c r="AC5" s="3776"/>
    </row>
    <row r="6" spans="1:29" ht="15.75" thickBot="1">
      <c r="A6" s="360"/>
      <c r="B6" s="361"/>
      <c r="C6" s="3795" t="s">
        <v>1677</v>
      </c>
      <c r="D6" s="3796"/>
      <c r="E6" s="3803" t="s">
        <v>1677</v>
      </c>
      <c r="F6" s="3804"/>
      <c r="G6" s="3795" t="s">
        <v>1677</v>
      </c>
      <c r="H6" s="3796"/>
      <c r="I6" s="3795" t="s">
        <v>1677</v>
      </c>
      <c r="J6" s="3796"/>
      <c r="K6" s="559" t="s">
        <v>1678</v>
      </c>
      <c r="L6" s="912"/>
      <c r="M6" s="913"/>
      <c r="N6" s="913"/>
      <c r="O6" s="913"/>
      <c r="P6" s="3786"/>
      <c r="Q6" s="3787"/>
      <c r="R6" s="3790"/>
      <c r="S6" s="3791"/>
      <c r="T6" s="3792"/>
      <c r="U6" s="3793"/>
      <c r="V6" s="3794"/>
      <c r="W6" s="3794"/>
      <c r="X6" s="1354"/>
      <c r="Y6" s="3792"/>
      <c r="Z6" s="3793"/>
      <c r="AA6" s="3777"/>
      <c r="AB6" s="3777"/>
      <c r="AC6" s="3777"/>
    </row>
    <row r="7" spans="1:29" s="108" customFormat="1" ht="15.75" thickBot="1">
      <c r="A7" s="362" t="s">
        <v>1679</v>
      </c>
      <c r="B7" s="363"/>
      <c r="C7" s="364">
        <f>'数据-取费表'!B2</f>
        <v>45062</v>
      </c>
      <c r="D7" s="365">
        <v>100</v>
      </c>
      <c r="E7" s="366"/>
      <c r="F7" s="367">
        <f>SUMIF(52:52,YEAR(E7)&amp;"-"&amp;MONTH(E7),53:53)</f>
        <v>0</v>
      </c>
      <c r="G7" s="366"/>
      <c r="H7" s="365">
        <f>SUMIF(52:52,YEAR(G7)&amp;"-"&amp;MONTH(G7),53:53)</f>
        <v>0</v>
      </c>
      <c r="I7" s="366"/>
      <c r="J7" s="365">
        <f>SUMIF(52:52,YEAR(I7)&amp;"-"&amp;MONTH(I7),53:53)</f>
        <v>0</v>
      </c>
      <c r="K7" s="560"/>
      <c r="L7" s="914"/>
      <c r="M7" s="915"/>
      <c r="N7" s="915"/>
      <c r="O7" s="915"/>
      <c r="P7" s="3799" t="s">
        <v>1680</v>
      </c>
      <c r="Q7" s="3801"/>
      <c r="R7" s="700" t="s">
        <v>14</v>
      </c>
      <c r="S7" s="701">
        <f t="shared" ref="S7:S15" si="0">F7</f>
        <v>0</v>
      </c>
      <c r="T7" s="700" t="s">
        <v>14</v>
      </c>
      <c r="U7" s="701">
        <f t="shared" ref="U7:U15" si="1">H7</f>
        <v>0</v>
      </c>
      <c r="V7" s="700" t="s">
        <v>14</v>
      </c>
      <c r="W7" s="701">
        <f t="shared" ref="W7:W15" si="2">J7</f>
        <v>0</v>
      </c>
      <c r="X7" s="702"/>
      <c r="Y7" s="3799" t="s">
        <v>1680</v>
      </c>
      <c r="Z7" s="380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99" t="s">
        <v>1683</v>
      </c>
      <c r="Q8" s="3800"/>
      <c r="R8" s="700" t="s">
        <v>14</v>
      </c>
      <c r="S8" s="701">
        <f t="shared" si="0"/>
        <v>100</v>
      </c>
      <c r="T8" s="700" t="s">
        <v>14</v>
      </c>
      <c r="U8" s="701">
        <f t="shared" si="1"/>
        <v>100</v>
      </c>
      <c r="V8" s="700" t="s">
        <v>14</v>
      </c>
      <c r="W8" s="701">
        <f t="shared" si="2"/>
        <v>100</v>
      </c>
      <c r="X8" s="702"/>
      <c r="Y8" s="3799" t="s">
        <v>1683</v>
      </c>
      <c r="Z8" s="380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63"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63"/>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63"/>
      <c r="Q11" s="1342" t="str">
        <f t="shared" si="6"/>
        <v>容积率</v>
      </c>
      <c r="R11" s="700" t="s">
        <v>14</v>
      </c>
      <c r="S11" s="701">
        <f t="shared" si="0"/>
        <v>100</v>
      </c>
      <c r="T11" s="700" t="s">
        <v>14</v>
      </c>
      <c r="U11" s="701">
        <f t="shared" si="1"/>
        <v>100</v>
      </c>
      <c r="V11" s="700" t="s">
        <v>14</v>
      </c>
      <c r="W11" s="701">
        <f t="shared" si="2"/>
        <v>100</v>
      </c>
      <c r="X11" s="702"/>
      <c r="Y11" s="364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63"/>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63"/>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63"/>
      <c r="Q14" s="1342">
        <f t="shared" si="6"/>
        <v>111</v>
      </c>
      <c r="R14" s="700" t="s">
        <v>14</v>
      </c>
      <c r="S14" s="701">
        <f t="shared" si="0"/>
        <v>100</v>
      </c>
      <c r="T14" s="700" t="s">
        <v>14</v>
      </c>
      <c r="U14" s="701">
        <f t="shared" si="1"/>
        <v>100</v>
      </c>
      <c r="V14" s="700" t="s">
        <v>14</v>
      </c>
      <c r="W14" s="701">
        <f t="shared" si="2"/>
        <v>100</v>
      </c>
      <c r="X14" s="702"/>
      <c r="Y14" s="3641"/>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65" t="s">
        <v>1691</v>
      </c>
      <c r="Q15" s="1351" t="str">
        <f t="shared" si="6"/>
        <v>产业集聚程度</v>
      </c>
      <c r="R15" s="704" t="s">
        <v>14</v>
      </c>
      <c r="S15" s="705">
        <f t="shared" si="0"/>
        <v>100</v>
      </c>
      <c r="T15" s="704" t="s">
        <v>14</v>
      </c>
      <c r="U15" s="705">
        <f t="shared" si="1"/>
        <v>100</v>
      </c>
      <c r="V15" s="704" t="s">
        <v>14</v>
      </c>
      <c r="W15" s="705">
        <f t="shared" si="2"/>
        <v>100</v>
      </c>
      <c r="X15" s="1354"/>
      <c r="Y15" s="376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66"/>
      <c r="Q16" s="1351"/>
      <c r="R16" s="704"/>
      <c r="S16" s="705"/>
      <c r="T16" s="704"/>
      <c r="U16" s="705"/>
      <c r="V16" s="704"/>
      <c r="W16" s="705"/>
      <c r="X16" s="1354"/>
      <c r="Y16" s="3766"/>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66"/>
      <c r="Q17" s="1351" t="str">
        <f>B17</f>
        <v>交通便捷度</v>
      </c>
      <c r="R17" s="704" t="s">
        <v>14</v>
      </c>
      <c r="S17" s="705">
        <f>F17</f>
        <v>100</v>
      </c>
      <c r="T17" s="704" t="s">
        <v>14</v>
      </c>
      <c r="U17" s="705">
        <f>H17</f>
        <v>100</v>
      </c>
      <c r="V17" s="704" t="s">
        <v>14</v>
      </c>
      <c r="W17" s="705">
        <f>J17</f>
        <v>100</v>
      </c>
      <c r="X17" s="1354"/>
      <c r="Y17" s="37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66"/>
      <c r="Q18" s="1351"/>
      <c r="R18" s="704"/>
      <c r="S18" s="705"/>
      <c r="T18" s="704"/>
      <c r="U18" s="705"/>
      <c r="V18" s="704"/>
      <c r="W18" s="705"/>
      <c r="X18" s="1354"/>
      <c r="Y18" s="3766"/>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66"/>
      <c r="Q19" s="1351" t="str">
        <f>B19</f>
        <v>公共配套设施</v>
      </c>
      <c r="R19" s="704" t="s">
        <v>14</v>
      </c>
      <c r="S19" s="705">
        <f>F19</f>
        <v>100</v>
      </c>
      <c r="T19" s="704" t="s">
        <v>14</v>
      </c>
      <c r="U19" s="705">
        <f>H19</f>
        <v>100</v>
      </c>
      <c r="V19" s="704" t="s">
        <v>14</v>
      </c>
      <c r="W19" s="705">
        <f>J19</f>
        <v>100</v>
      </c>
      <c r="X19" s="1354"/>
      <c r="Y19" s="37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66"/>
      <c r="Q20" s="1351"/>
      <c r="R20" s="704"/>
      <c r="S20" s="705"/>
      <c r="T20" s="704"/>
      <c r="U20" s="705"/>
      <c r="V20" s="704"/>
      <c r="W20" s="705"/>
      <c r="X20" s="1354"/>
      <c r="Y20" s="3766"/>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66"/>
      <c r="Q21" s="1351" t="str">
        <f>B21</f>
        <v>基础设施水平</v>
      </c>
      <c r="R21" s="704" t="s">
        <v>14</v>
      </c>
      <c r="S21" s="705">
        <f>F21</f>
        <v>100</v>
      </c>
      <c r="T21" s="704" t="s">
        <v>14</v>
      </c>
      <c r="U21" s="705">
        <f>H21</f>
        <v>100</v>
      </c>
      <c r="V21" s="704" t="s">
        <v>14</v>
      </c>
      <c r="W21" s="705">
        <f>J21</f>
        <v>100</v>
      </c>
      <c r="X21" s="1354"/>
      <c r="Y21" s="376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66"/>
      <c r="Q22" s="1351"/>
      <c r="R22" s="704"/>
      <c r="S22" s="705"/>
      <c r="T22" s="704"/>
      <c r="U22" s="705"/>
      <c r="V22" s="704"/>
      <c r="W22" s="705"/>
      <c r="X22" s="1354"/>
      <c r="Y22" s="3766"/>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66"/>
      <c r="Q23" s="1351" t="str">
        <f>B23</f>
        <v>环境质量</v>
      </c>
      <c r="R23" s="704" t="s">
        <v>14</v>
      </c>
      <c r="S23" s="705">
        <f>F23</f>
        <v>100</v>
      </c>
      <c r="T23" s="704" t="s">
        <v>14</v>
      </c>
      <c r="U23" s="705">
        <f>H23</f>
        <v>100</v>
      </c>
      <c r="V23" s="704" t="s">
        <v>14</v>
      </c>
      <c r="W23" s="705">
        <f>J23</f>
        <v>100</v>
      </c>
      <c r="X23" s="1354"/>
      <c r="Y23" s="376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66"/>
      <c r="Q24" s="1351"/>
      <c r="R24" s="704"/>
      <c r="S24" s="705"/>
      <c r="T24" s="704"/>
      <c r="U24" s="705"/>
      <c r="V24" s="704"/>
      <c r="W24" s="705"/>
      <c r="X24" s="1354"/>
      <c r="Y24" s="376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66"/>
      <c r="Q25" s="1351">
        <f>B25</f>
        <v>111</v>
      </c>
      <c r="R25" s="704" t="s">
        <v>14</v>
      </c>
      <c r="S25" s="705">
        <f>F25</f>
        <v>100</v>
      </c>
      <c r="T25" s="704" t="s">
        <v>14</v>
      </c>
      <c r="U25" s="705">
        <f>H25</f>
        <v>100</v>
      </c>
      <c r="V25" s="704" t="s">
        <v>14</v>
      </c>
      <c r="W25" s="705">
        <f>J25</f>
        <v>100</v>
      </c>
      <c r="X25" s="1354"/>
      <c r="Y25" s="376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66"/>
      <c r="Q26" s="1351">
        <f t="shared" ref="Q26:Q40" si="11">B26</f>
        <v>111</v>
      </c>
      <c r="R26" s="704" t="s">
        <v>14</v>
      </c>
      <c r="S26" s="705">
        <f>F26</f>
        <v>100</v>
      </c>
      <c r="T26" s="704" t="s">
        <v>14</v>
      </c>
      <c r="U26" s="705">
        <f>H26</f>
        <v>100</v>
      </c>
      <c r="V26" s="704" t="s">
        <v>14</v>
      </c>
      <c r="W26" s="705">
        <f>J26</f>
        <v>100</v>
      </c>
      <c r="X26" s="1354"/>
      <c r="Y26" s="376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66"/>
      <c r="Q27" s="1342">
        <f t="shared" si="11"/>
        <v>111</v>
      </c>
      <c r="R27" s="700" t="s">
        <v>14</v>
      </c>
      <c r="S27" s="701">
        <f>F27</f>
        <v>100</v>
      </c>
      <c r="T27" s="700" t="s">
        <v>14</v>
      </c>
      <c r="U27" s="701">
        <f>H27</f>
        <v>100</v>
      </c>
      <c r="V27" s="700" t="s">
        <v>14</v>
      </c>
      <c r="W27" s="701">
        <f>J27</f>
        <v>100</v>
      </c>
      <c r="X27" s="702"/>
      <c r="Y27" s="376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66"/>
      <c r="Q28" s="1351">
        <f t="shared" si="11"/>
        <v>111</v>
      </c>
      <c r="R28" s="704" t="s">
        <v>14</v>
      </c>
      <c r="S28" s="705">
        <f t="shared" ref="S28:S40" si="12">F28</f>
        <v>100</v>
      </c>
      <c r="T28" s="704" t="s">
        <v>14</v>
      </c>
      <c r="U28" s="705">
        <f t="shared" ref="U28:U40" si="13">H28</f>
        <v>100</v>
      </c>
      <c r="V28" s="704" t="s">
        <v>14</v>
      </c>
      <c r="W28" s="705">
        <f t="shared" ref="W28:W40" si="14">J28</f>
        <v>100</v>
      </c>
      <c r="X28" s="1354"/>
      <c r="Y28" s="376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22" t="s">
        <v>1696</v>
      </c>
      <c r="Q29" s="1351" t="str">
        <f t="shared" si="11"/>
        <v>建筑类型</v>
      </c>
      <c r="R29" s="704" t="s">
        <v>14</v>
      </c>
      <c r="S29" s="705">
        <f t="shared" si="12"/>
        <v>100</v>
      </c>
      <c r="T29" s="704" t="s">
        <v>14</v>
      </c>
      <c r="U29" s="705">
        <f t="shared" si="13"/>
        <v>100</v>
      </c>
      <c r="V29" s="704" t="s">
        <v>14</v>
      </c>
      <c r="W29" s="705">
        <f t="shared" si="14"/>
        <v>100</v>
      </c>
      <c r="X29" s="1354"/>
      <c r="Y29" s="377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70"/>
      <c r="Q30" s="706" t="str">
        <f t="shared" si="11"/>
        <v>项目建筑规模</v>
      </c>
      <c r="R30" s="707" t="s">
        <v>14</v>
      </c>
      <c r="S30" s="708" t="e">
        <f t="shared" si="12"/>
        <v>#N/A</v>
      </c>
      <c r="T30" s="707" t="s">
        <v>14</v>
      </c>
      <c r="U30" s="708" t="e">
        <f t="shared" si="13"/>
        <v>#N/A</v>
      </c>
      <c r="V30" s="707" t="s">
        <v>14</v>
      </c>
      <c r="W30" s="708" t="e">
        <f t="shared" si="14"/>
        <v>#N/A</v>
      </c>
      <c r="X30" s="709"/>
      <c r="Y30" s="3770"/>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70"/>
      <c r="Q31" s="1351" t="str">
        <f t="shared" si="11"/>
        <v>建筑结构</v>
      </c>
      <c r="R31" s="704" t="s">
        <v>14</v>
      </c>
      <c r="S31" s="705">
        <f t="shared" si="12"/>
        <v>100</v>
      </c>
      <c r="T31" s="704" t="s">
        <v>14</v>
      </c>
      <c r="U31" s="705">
        <f t="shared" si="13"/>
        <v>100</v>
      </c>
      <c r="V31" s="704" t="s">
        <v>14</v>
      </c>
      <c r="W31" s="705">
        <f t="shared" si="14"/>
        <v>100</v>
      </c>
      <c r="X31" s="1354"/>
      <c r="Y31" s="377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70"/>
      <c r="Q32" s="1351" t="str">
        <f t="shared" si="11"/>
        <v>公共部分装修</v>
      </c>
      <c r="R32" s="704" t="s">
        <v>14</v>
      </c>
      <c r="S32" s="705">
        <f t="shared" si="12"/>
        <v>100</v>
      </c>
      <c r="T32" s="704" t="s">
        <v>14</v>
      </c>
      <c r="U32" s="705">
        <f t="shared" si="13"/>
        <v>100</v>
      </c>
      <c r="V32" s="704" t="s">
        <v>14</v>
      </c>
      <c r="W32" s="705">
        <f t="shared" si="14"/>
        <v>100</v>
      </c>
      <c r="X32" s="1354"/>
      <c r="Y32" s="377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70"/>
      <c r="Q33" s="1351" t="str">
        <f t="shared" si="11"/>
        <v>成新度</v>
      </c>
      <c r="R33" s="704" t="s">
        <v>14</v>
      </c>
      <c r="S33" s="705" t="e">
        <f t="shared" si="12"/>
        <v>#N/A</v>
      </c>
      <c r="T33" s="704" t="s">
        <v>14</v>
      </c>
      <c r="U33" s="705" t="e">
        <f t="shared" si="13"/>
        <v>#N/A</v>
      </c>
      <c r="V33" s="704" t="s">
        <v>14</v>
      </c>
      <c r="W33" s="705" t="e">
        <f t="shared" si="14"/>
        <v>#N/A</v>
      </c>
      <c r="X33" s="1354"/>
      <c r="Y33" s="377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70"/>
      <c r="Q34" s="1342" t="str">
        <f t="shared" si="11"/>
        <v>物业管理</v>
      </c>
      <c r="R34" s="700" t="s">
        <v>14</v>
      </c>
      <c r="S34" s="701">
        <f t="shared" si="12"/>
        <v>100</v>
      </c>
      <c r="T34" s="700" t="s">
        <v>14</v>
      </c>
      <c r="U34" s="701">
        <f t="shared" si="13"/>
        <v>100</v>
      </c>
      <c r="V34" s="700" t="s">
        <v>14</v>
      </c>
      <c r="W34" s="701">
        <f t="shared" si="14"/>
        <v>100</v>
      </c>
      <c r="X34" s="702"/>
      <c r="Y34" s="3770"/>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70" t="s">
        <v>1696</v>
      </c>
      <c r="Q35" s="1351" t="str">
        <f t="shared" si="11"/>
        <v>市政基础设施</v>
      </c>
      <c r="R35" s="704" t="s">
        <v>14</v>
      </c>
      <c r="S35" s="705">
        <f t="shared" si="12"/>
        <v>100</v>
      </c>
      <c r="T35" s="704" t="s">
        <v>14</v>
      </c>
      <c r="U35" s="705">
        <f t="shared" si="13"/>
        <v>100</v>
      </c>
      <c r="V35" s="704" t="s">
        <v>14</v>
      </c>
      <c r="W35" s="705">
        <f t="shared" si="14"/>
        <v>100</v>
      </c>
      <c r="X35" s="1354"/>
      <c r="Y35" s="377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70"/>
      <c r="Q36" s="1351" t="str">
        <f t="shared" si="11"/>
        <v>内部装修</v>
      </c>
      <c r="R36" s="704" t="s">
        <v>14</v>
      </c>
      <c r="S36" s="705">
        <f t="shared" si="12"/>
        <v>100</v>
      </c>
      <c r="T36" s="704" t="s">
        <v>14</v>
      </c>
      <c r="U36" s="705">
        <f t="shared" si="13"/>
        <v>100</v>
      </c>
      <c r="V36" s="704" t="s">
        <v>14</v>
      </c>
      <c r="W36" s="705">
        <f t="shared" si="14"/>
        <v>100</v>
      </c>
      <c r="X36" s="1354"/>
      <c r="Y36" s="377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70"/>
      <c r="Q37" s="1351" t="str">
        <f t="shared" si="11"/>
        <v>内部装修状况</v>
      </c>
      <c r="R37" s="704" t="s">
        <v>14</v>
      </c>
      <c r="S37" s="705">
        <f t="shared" si="12"/>
        <v>100</v>
      </c>
      <c r="T37" s="704" t="s">
        <v>14</v>
      </c>
      <c r="U37" s="705">
        <f t="shared" si="13"/>
        <v>100</v>
      </c>
      <c r="V37" s="704" t="s">
        <v>14</v>
      </c>
      <c r="W37" s="705">
        <f t="shared" si="14"/>
        <v>100</v>
      </c>
      <c r="X37" s="1354"/>
      <c r="Y37" s="377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70"/>
      <c r="Q38" s="706">
        <f t="shared" si="11"/>
        <v>111</v>
      </c>
      <c r="R38" s="707" t="s">
        <v>14</v>
      </c>
      <c r="S38" s="708">
        <f t="shared" si="12"/>
        <v>100</v>
      </c>
      <c r="T38" s="707" t="s">
        <v>14</v>
      </c>
      <c r="U38" s="708">
        <f t="shared" si="13"/>
        <v>100</v>
      </c>
      <c r="V38" s="707" t="s">
        <v>14</v>
      </c>
      <c r="W38" s="708">
        <f t="shared" si="14"/>
        <v>100</v>
      </c>
      <c r="X38" s="709"/>
      <c r="Y38" s="377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70"/>
      <c r="Q39" s="1351">
        <f t="shared" si="11"/>
        <v>111</v>
      </c>
      <c r="R39" s="704" t="s">
        <v>14</v>
      </c>
      <c r="S39" s="705">
        <f t="shared" si="12"/>
        <v>100</v>
      </c>
      <c r="T39" s="704" t="s">
        <v>14</v>
      </c>
      <c r="U39" s="705">
        <f t="shared" si="13"/>
        <v>100</v>
      </c>
      <c r="V39" s="704" t="s">
        <v>14</v>
      </c>
      <c r="W39" s="705">
        <f t="shared" si="14"/>
        <v>100</v>
      </c>
      <c r="X39" s="1354"/>
      <c r="Y39" s="377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71"/>
      <c r="Q40" s="1351">
        <f t="shared" si="11"/>
        <v>111</v>
      </c>
      <c r="R40" s="704" t="s">
        <v>14</v>
      </c>
      <c r="S40" s="705">
        <f t="shared" si="12"/>
        <v>100</v>
      </c>
      <c r="T40" s="704" t="s">
        <v>14</v>
      </c>
      <c r="U40" s="705">
        <f t="shared" si="13"/>
        <v>100</v>
      </c>
      <c r="V40" s="704" t="s">
        <v>14</v>
      </c>
      <c r="W40" s="705">
        <f t="shared" si="14"/>
        <v>100</v>
      </c>
      <c r="X40" s="1354"/>
      <c r="Y40" s="377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63" t="str">
        <f>A41</f>
        <v>成交单价（元/平方米）</v>
      </c>
      <c r="Q41" s="3763"/>
      <c r="R41" s="3764">
        <f>E41</f>
        <v>0</v>
      </c>
      <c r="S41" s="3764"/>
      <c r="T41" s="3764">
        <f>G41</f>
        <v>0</v>
      </c>
      <c r="U41" s="3764"/>
      <c r="V41" s="3764">
        <f>I41</f>
        <v>0</v>
      </c>
      <c r="W41" s="3764"/>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63" t="str">
        <f>A42</f>
        <v>比较价值（元/平方米）</v>
      </c>
      <c r="Q42" s="3763"/>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88" t="s">
        <v>1771</v>
      </c>
      <c r="S4" s="3789"/>
      <c r="T4" s="3788" t="s">
        <v>1772</v>
      </c>
      <c r="U4" s="3789"/>
      <c r="V4" s="3794" t="s">
        <v>1773</v>
      </c>
      <c r="W4" s="3794"/>
      <c r="X4" s="1354"/>
      <c r="Y4" s="3788" t="s">
        <v>1775</v>
      </c>
      <c r="Z4" s="3789"/>
      <c r="AA4" s="3775" t="s">
        <v>1771</v>
      </c>
      <c r="AB4" s="3776" t="s">
        <v>1772</v>
      </c>
      <c r="AC4" s="3775" t="s">
        <v>1773</v>
      </c>
    </row>
    <row r="5" spans="1:29" ht="15">
      <c r="A5" s="358"/>
      <c r="B5" s="359"/>
      <c r="C5" s="3797" t="s">
        <v>1673</v>
      </c>
      <c r="D5" s="3798"/>
      <c r="E5" s="3805" t="s">
        <v>1674</v>
      </c>
      <c r="F5" s="3806"/>
      <c r="G5" s="3797" t="s">
        <v>1675</v>
      </c>
      <c r="H5" s="3798"/>
      <c r="I5" s="3797" t="s">
        <v>1676</v>
      </c>
      <c r="J5" s="3798"/>
      <c r="K5" s="559"/>
      <c r="L5" s="2714"/>
      <c r="M5" s="2715"/>
      <c r="N5" s="2715"/>
      <c r="O5" s="2715"/>
      <c r="P5" s="3784"/>
      <c r="Q5" s="3785"/>
      <c r="R5" s="3790"/>
      <c r="S5" s="3791"/>
      <c r="T5" s="3790"/>
      <c r="U5" s="3791"/>
      <c r="V5" s="3794"/>
      <c r="W5" s="3794"/>
      <c r="X5" s="1354"/>
      <c r="Y5" s="3790"/>
      <c r="Z5" s="3791"/>
      <c r="AA5" s="3776"/>
      <c r="AB5" s="3776"/>
      <c r="AC5" s="3776"/>
    </row>
    <row r="6" spans="1:29" ht="15.75" thickBot="1">
      <c r="A6" s="360"/>
      <c r="B6" s="361"/>
      <c r="C6" s="3795" t="s">
        <v>1677</v>
      </c>
      <c r="D6" s="3796"/>
      <c r="E6" s="3803" t="s">
        <v>1677</v>
      </c>
      <c r="F6" s="3804"/>
      <c r="G6" s="3795" t="s">
        <v>1677</v>
      </c>
      <c r="H6" s="3796"/>
      <c r="I6" s="3795" t="s">
        <v>1677</v>
      </c>
      <c r="J6" s="3796"/>
      <c r="K6" s="559" t="s">
        <v>1678</v>
      </c>
      <c r="L6" s="2714"/>
      <c r="M6" s="2715"/>
      <c r="N6" s="2715"/>
      <c r="O6" s="2715"/>
      <c r="P6" s="3786"/>
      <c r="Q6" s="3787"/>
      <c r="R6" s="3790"/>
      <c r="S6" s="3791"/>
      <c r="T6" s="3792"/>
      <c r="U6" s="3793"/>
      <c r="V6" s="3794"/>
      <c r="W6" s="3794"/>
      <c r="X6" s="1354"/>
      <c r="Y6" s="3792"/>
      <c r="Z6" s="3793"/>
      <c r="AA6" s="3777"/>
      <c r="AB6" s="3777"/>
      <c r="AC6" s="3777"/>
    </row>
    <row r="7" spans="1:29" s="108" customFormat="1" ht="15.75" thickBot="1">
      <c r="A7" s="362" t="s">
        <v>1679</v>
      </c>
      <c r="B7" s="363"/>
      <c r="C7" s="364">
        <f>'数据-取费表'!B2</f>
        <v>45062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99" t="s">
        <v>1680</v>
      </c>
      <c r="Q7" s="3801"/>
      <c r="R7" s="700" t="s">
        <v>14</v>
      </c>
      <c r="S7" s="701">
        <f t="shared" ref="S7:S14" si="0">F7</f>
        <v>0</v>
      </c>
      <c r="T7" s="700" t="s">
        <v>14</v>
      </c>
      <c r="U7" s="701">
        <f t="shared" ref="U7:U14" si="1">H7</f>
        <v>0</v>
      </c>
      <c r="V7" s="700" t="s">
        <v>14</v>
      </c>
      <c r="W7" s="701">
        <f t="shared" ref="W7:W14" si="2">J7</f>
        <v>0</v>
      </c>
      <c r="X7" s="702"/>
      <c r="Y7" s="3799" t="s">
        <v>1680</v>
      </c>
      <c r="Z7" s="380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99" t="s">
        <v>1683</v>
      </c>
      <c r="Q8" s="3800"/>
      <c r="R8" s="700" t="s">
        <v>14</v>
      </c>
      <c r="S8" s="701">
        <f t="shared" si="0"/>
        <v>100</v>
      </c>
      <c r="T8" s="700" t="s">
        <v>14</v>
      </c>
      <c r="U8" s="701">
        <f t="shared" si="1"/>
        <v>100</v>
      </c>
      <c r="V8" s="700" t="s">
        <v>14</v>
      </c>
      <c r="W8" s="701">
        <f t="shared" si="2"/>
        <v>100</v>
      </c>
      <c r="X8" s="702"/>
      <c r="Y8" s="3799" t="s">
        <v>1683</v>
      </c>
      <c r="Z8" s="380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63" t="s">
        <v>1686</v>
      </c>
      <c r="Q9" s="1342" t="str">
        <f t="shared" ref="Q9:Q14" si="6">B9</f>
        <v>用途</v>
      </c>
      <c r="R9" s="700" t="s">
        <v>14</v>
      </c>
      <c r="S9" s="701">
        <f t="shared" si="0"/>
        <v>100</v>
      </c>
      <c r="T9" s="700" t="s">
        <v>14</v>
      </c>
      <c r="U9" s="701">
        <f t="shared" si="1"/>
        <v>100</v>
      </c>
      <c r="V9" s="700" t="s">
        <v>14</v>
      </c>
      <c r="W9" s="701">
        <f t="shared" si="2"/>
        <v>100</v>
      </c>
      <c r="X9" s="702"/>
      <c r="Y9" s="3641"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63"/>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63"/>
      <c r="Q11" s="1342">
        <f t="shared" si="6"/>
        <v>111</v>
      </c>
      <c r="R11" s="700" t="s">
        <v>14</v>
      </c>
      <c r="S11" s="701">
        <f t="shared" si="0"/>
        <v>100</v>
      </c>
      <c r="T11" s="700" t="s">
        <v>14</v>
      </c>
      <c r="U11" s="701">
        <f t="shared" si="1"/>
        <v>100</v>
      </c>
      <c r="V11" s="700" t="s">
        <v>14</v>
      </c>
      <c r="W11" s="701">
        <f t="shared" si="2"/>
        <v>100</v>
      </c>
      <c r="X11" s="702"/>
      <c r="Y11" s="364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63"/>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63"/>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65" t="s">
        <v>1691</v>
      </c>
      <c r="Q14" s="1351" t="str">
        <f t="shared" si="6"/>
        <v>交通便捷度</v>
      </c>
      <c r="R14" s="704" t="s">
        <v>14</v>
      </c>
      <c r="S14" s="705">
        <f t="shared" si="0"/>
        <v>100</v>
      </c>
      <c r="T14" s="704" t="s">
        <v>14</v>
      </c>
      <c r="U14" s="705">
        <f t="shared" si="1"/>
        <v>100</v>
      </c>
      <c r="V14" s="704" t="s">
        <v>14</v>
      </c>
      <c r="W14" s="705">
        <f t="shared" si="2"/>
        <v>100</v>
      </c>
      <c r="X14" s="1354"/>
      <c r="Y14" s="3765"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66"/>
      <c r="Q15" s="1351"/>
      <c r="R15" s="704"/>
      <c r="S15" s="705"/>
      <c r="T15" s="704"/>
      <c r="U15" s="705"/>
      <c r="V15" s="704"/>
      <c r="W15" s="705"/>
      <c r="X15" s="1354"/>
      <c r="Y15" s="3766"/>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66"/>
      <c r="Q16" s="1351" t="str">
        <f>B16</f>
        <v>公共配套设施</v>
      </c>
      <c r="R16" s="704" t="s">
        <v>14</v>
      </c>
      <c r="S16" s="705">
        <f>F16</f>
        <v>100</v>
      </c>
      <c r="T16" s="704" t="s">
        <v>14</v>
      </c>
      <c r="U16" s="705">
        <f>H16</f>
        <v>100</v>
      </c>
      <c r="V16" s="704" t="s">
        <v>14</v>
      </c>
      <c r="W16" s="705">
        <f>J16</f>
        <v>100</v>
      </c>
      <c r="X16" s="1354"/>
      <c r="Y16" s="3766"/>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66"/>
      <c r="Q17" s="1351"/>
      <c r="R17" s="704"/>
      <c r="S17" s="705"/>
      <c r="T17" s="704"/>
      <c r="U17" s="705"/>
      <c r="V17" s="704"/>
      <c r="W17" s="705"/>
      <c r="X17" s="1354"/>
      <c r="Y17" s="3766"/>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66"/>
      <c r="Q18" s="1351" t="str">
        <f>B18</f>
        <v>基础设施水平</v>
      </c>
      <c r="R18" s="704" t="s">
        <v>14</v>
      </c>
      <c r="S18" s="705">
        <f>F18</f>
        <v>100</v>
      </c>
      <c r="T18" s="704" t="s">
        <v>14</v>
      </c>
      <c r="U18" s="705">
        <f>H18</f>
        <v>100</v>
      </c>
      <c r="V18" s="704" t="s">
        <v>14</v>
      </c>
      <c r="W18" s="705">
        <f>J18</f>
        <v>100</v>
      </c>
      <c r="X18" s="1354"/>
      <c r="Y18" s="3766"/>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66"/>
      <c r="Q19" s="1351"/>
      <c r="R19" s="704"/>
      <c r="S19" s="705"/>
      <c r="T19" s="704"/>
      <c r="U19" s="705"/>
      <c r="V19" s="704"/>
      <c r="W19" s="705"/>
      <c r="X19" s="1354"/>
      <c r="Y19" s="3766"/>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66"/>
      <c r="Q20" s="1351" t="str">
        <f>B20</f>
        <v>自然及人文环境</v>
      </c>
      <c r="R20" s="704" t="s">
        <v>14</v>
      </c>
      <c r="S20" s="705">
        <f>F20</f>
        <v>100</v>
      </c>
      <c r="T20" s="704" t="s">
        <v>14</v>
      </c>
      <c r="U20" s="705">
        <f>H20</f>
        <v>100</v>
      </c>
      <c r="V20" s="704" t="s">
        <v>14</v>
      </c>
      <c r="W20" s="705">
        <f>J20</f>
        <v>100</v>
      </c>
      <c r="X20" s="1354"/>
      <c r="Y20" s="3766"/>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66"/>
      <c r="Q21" s="1351"/>
      <c r="R21" s="704"/>
      <c r="S21" s="705"/>
      <c r="T21" s="704"/>
      <c r="U21" s="705"/>
      <c r="V21" s="704"/>
      <c r="W21" s="705"/>
      <c r="X21" s="1354"/>
      <c r="Y21" s="3766"/>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66"/>
      <c r="Q22" s="1351" t="str">
        <f>B22</f>
        <v>楼层</v>
      </c>
      <c r="R22" s="704" t="s">
        <v>14</v>
      </c>
      <c r="S22" s="705">
        <f>F22</f>
        <v>100</v>
      </c>
      <c r="T22" s="704" t="s">
        <v>14</v>
      </c>
      <c r="U22" s="705">
        <f>H22</f>
        <v>100</v>
      </c>
      <c r="V22" s="704" t="s">
        <v>14</v>
      </c>
      <c r="W22" s="705">
        <f>J22</f>
        <v>100</v>
      </c>
      <c r="X22" s="1354"/>
      <c r="Y22" s="3766"/>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66"/>
      <c r="Q23" s="1351">
        <f>B23</f>
        <v>111</v>
      </c>
      <c r="R23" s="704" t="s">
        <v>14</v>
      </c>
      <c r="S23" s="705">
        <f>F23</f>
        <v>100</v>
      </c>
      <c r="T23" s="704" t="s">
        <v>14</v>
      </c>
      <c r="U23" s="705">
        <f>H23</f>
        <v>100</v>
      </c>
      <c r="V23" s="704" t="s">
        <v>14</v>
      </c>
      <c r="W23" s="705">
        <f>J23</f>
        <v>100</v>
      </c>
      <c r="X23" s="1354"/>
      <c r="Y23" s="3766"/>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66"/>
      <c r="Q24" s="1351">
        <f t="shared" ref="Q24:Q36" si="11">B24</f>
        <v>111</v>
      </c>
      <c r="R24" s="704" t="s">
        <v>14</v>
      </c>
      <c r="S24" s="705">
        <f>F24</f>
        <v>100</v>
      </c>
      <c r="T24" s="704" t="s">
        <v>14</v>
      </c>
      <c r="U24" s="705">
        <f>H24</f>
        <v>100</v>
      </c>
      <c r="V24" s="704" t="s">
        <v>14</v>
      </c>
      <c r="W24" s="705">
        <f>J24</f>
        <v>100</v>
      </c>
      <c r="X24" s="1354"/>
      <c r="Y24" s="3766"/>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66"/>
      <c r="Q25" s="1342">
        <f t="shared" si="11"/>
        <v>111</v>
      </c>
      <c r="R25" s="700" t="s">
        <v>14</v>
      </c>
      <c r="S25" s="701">
        <f>F25</f>
        <v>100</v>
      </c>
      <c r="T25" s="700" t="s">
        <v>14</v>
      </c>
      <c r="U25" s="701">
        <f>H25</f>
        <v>100</v>
      </c>
      <c r="V25" s="700" t="s">
        <v>14</v>
      </c>
      <c r="W25" s="701">
        <f>J25</f>
        <v>100</v>
      </c>
      <c r="X25" s="702"/>
      <c r="Y25" s="3766"/>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2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70"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70"/>
      <c r="Q27" s="706" t="str">
        <f t="shared" si="11"/>
        <v>项目停车位配比</v>
      </c>
      <c r="R27" s="707" t="s">
        <v>14</v>
      </c>
      <c r="S27" s="708">
        <f t="shared" si="12"/>
        <v>100</v>
      </c>
      <c r="T27" s="707" t="s">
        <v>14</v>
      </c>
      <c r="U27" s="708">
        <f t="shared" si="13"/>
        <v>100</v>
      </c>
      <c r="V27" s="707" t="s">
        <v>14</v>
      </c>
      <c r="W27" s="708">
        <f t="shared" si="14"/>
        <v>100</v>
      </c>
      <c r="X27" s="709"/>
      <c r="Y27" s="3770"/>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70"/>
      <c r="Q28" s="1351" t="str">
        <f t="shared" si="11"/>
        <v>公共部分装修</v>
      </c>
      <c r="R28" s="704" t="s">
        <v>14</v>
      </c>
      <c r="S28" s="705">
        <f t="shared" si="12"/>
        <v>100</v>
      </c>
      <c r="T28" s="704" t="s">
        <v>14</v>
      </c>
      <c r="U28" s="705">
        <f t="shared" si="13"/>
        <v>100</v>
      </c>
      <c r="V28" s="704" t="s">
        <v>14</v>
      </c>
      <c r="W28" s="705">
        <f t="shared" si="14"/>
        <v>100</v>
      </c>
      <c r="X28" s="1354"/>
      <c r="Y28" s="3770"/>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70"/>
      <c r="Q29" s="1351" t="str">
        <f t="shared" si="11"/>
        <v>成新率</v>
      </c>
      <c r="R29" s="704" t="s">
        <v>14</v>
      </c>
      <c r="S29" s="705" t="e">
        <f t="shared" si="12"/>
        <v>#N/A</v>
      </c>
      <c r="T29" s="704" t="s">
        <v>14</v>
      </c>
      <c r="U29" s="705" t="e">
        <f t="shared" si="13"/>
        <v>#N/A</v>
      </c>
      <c r="V29" s="704" t="s">
        <v>14</v>
      </c>
      <c r="W29" s="705" t="e">
        <f t="shared" si="14"/>
        <v>#N/A</v>
      </c>
      <c r="X29" s="1354"/>
      <c r="Y29" s="3770"/>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70"/>
      <c r="Q30" s="1351" t="str">
        <f t="shared" si="11"/>
        <v>物业等级</v>
      </c>
      <c r="R30" s="704" t="s">
        <v>14</v>
      </c>
      <c r="S30" s="705">
        <f t="shared" si="12"/>
        <v>100</v>
      </c>
      <c r="T30" s="704" t="s">
        <v>14</v>
      </c>
      <c r="U30" s="705">
        <f t="shared" si="13"/>
        <v>100</v>
      </c>
      <c r="V30" s="704" t="s">
        <v>14</v>
      </c>
      <c r="W30" s="705">
        <f t="shared" si="14"/>
        <v>100</v>
      </c>
      <c r="X30" s="1354"/>
      <c r="Y30" s="3770"/>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70"/>
      <c r="Q31" s="1342" t="str">
        <f t="shared" si="11"/>
        <v>停车位面积</v>
      </c>
      <c r="R31" s="700" t="s">
        <v>14</v>
      </c>
      <c r="S31" s="701" t="e">
        <f t="shared" si="12"/>
        <v>#N/A</v>
      </c>
      <c r="T31" s="700" t="s">
        <v>14</v>
      </c>
      <c r="U31" s="701" t="e">
        <f t="shared" si="13"/>
        <v>#N/A</v>
      </c>
      <c r="V31" s="700" t="s">
        <v>14</v>
      </c>
      <c r="W31" s="701" t="e">
        <f t="shared" si="14"/>
        <v>#N/A</v>
      </c>
      <c r="X31" s="702"/>
      <c r="Y31" s="3770"/>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70" t="s">
        <v>1696</v>
      </c>
      <c r="Q32" s="1351" t="str">
        <f t="shared" si="11"/>
        <v>车位类型</v>
      </c>
      <c r="R32" s="704" t="s">
        <v>14</v>
      </c>
      <c r="S32" s="705">
        <f t="shared" si="12"/>
        <v>100</v>
      </c>
      <c r="T32" s="704" t="s">
        <v>14</v>
      </c>
      <c r="U32" s="705">
        <f t="shared" si="13"/>
        <v>100</v>
      </c>
      <c r="V32" s="704" t="s">
        <v>14</v>
      </c>
      <c r="W32" s="705">
        <f t="shared" si="14"/>
        <v>100</v>
      </c>
      <c r="X32" s="1354"/>
      <c r="Y32" s="3770"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70"/>
      <c r="Q33" s="1351" t="str">
        <f t="shared" si="11"/>
        <v>是否直接入户</v>
      </c>
      <c r="R33" s="704" t="s">
        <v>14</v>
      </c>
      <c r="S33" s="705">
        <f t="shared" si="12"/>
        <v>100</v>
      </c>
      <c r="T33" s="704" t="s">
        <v>14</v>
      </c>
      <c r="U33" s="705">
        <f t="shared" si="13"/>
        <v>100</v>
      </c>
      <c r="V33" s="704" t="s">
        <v>14</v>
      </c>
      <c r="W33" s="705">
        <f t="shared" si="14"/>
        <v>100</v>
      </c>
      <c r="X33" s="1354"/>
      <c r="Y33" s="3770"/>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70"/>
      <c r="Q34" s="1351">
        <f t="shared" si="11"/>
        <v>111</v>
      </c>
      <c r="R34" s="704" t="s">
        <v>14</v>
      </c>
      <c r="S34" s="705">
        <f t="shared" si="12"/>
        <v>100</v>
      </c>
      <c r="T34" s="704" t="s">
        <v>14</v>
      </c>
      <c r="U34" s="705">
        <f t="shared" si="13"/>
        <v>100</v>
      </c>
      <c r="V34" s="704" t="s">
        <v>14</v>
      </c>
      <c r="W34" s="705">
        <f t="shared" si="14"/>
        <v>100</v>
      </c>
      <c r="X34" s="1354"/>
      <c r="Y34" s="3770"/>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70"/>
      <c r="Q35" s="706">
        <f t="shared" si="11"/>
        <v>111</v>
      </c>
      <c r="R35" s="707" t="s">
        <v>14</v>
      </c>
      <c r="S35" s="708">
        <f t="shared" si="12"/>
        <v>100</v>
      </c>
      <c r="T35" s="707" t="s">
        <v>14</v>
      </c>
      <c r="U35" s="708">
        <f t="shared" si="13"/>
        <v>100</v>
      </c>
      <c r="V35" s="707" t="s">
        <v>14</v>
      </c>
      <c r="W35" s="708">
        <f t="shared" si="14"/>
        <v>100</v>
      </c>
      <c r="X35" s="709"/>
      <c r="Y35" s="3770"/>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70"/>
      <c r="Q36" s="1351">
        <f t="shared" si="11"/>
        <v>111</v>
      </c>
      <c r="R36" s="704" t="s">
        <v>14</v>
      </c>
      <c r="S36" s="705">
        <f t="shared" si="12"/>
        <v>100</v>
      </c>
      <c r="T36" s="704" t="s">
        <v>14</v>
      </c>
      <c r="U36" s="705">
        <f t="shared" si="13"/>
        <v>100</v>
      </c>
      <c r="V36" s="704" t="s">
        <v>14</v>
      </c>
      <c r="W36" s="705">
        <f t="shared" si="14"/>
        <v>100</v>
      </c>
      <c r="X36" s="1354"/>
      <c r="Y36" s="3770"/>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7"/>
      <c r="L37" s="2723"/>
      <c r="M37" s="2724"/>
      <c r="N37" s="2715"/>
      <c r="O37" s="2724"/>
      <c r="P37" s="3763" t="str">
        <f>A37</f>
        <v>成交单价</v>
      </c>
      <c r="Q37" s="3763"/>
      <c r="R37" s="3764">
        <f>E37</f>
        <v>0</v>
      </c>
      <c r="S37" s="3764"/>
      <c r="T37" s="3764">
        <f>G37</f>
        <v>0</v>
      </c>
      <c r="U37" s="3764"/>
      <c r="V37" s="3764">
        <f>I37</f>
        <v>0</v>
      </c>
      <c r="W37" s="3764"/>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63" t="str">
        <f>A38</f>
        <v>比较价值（元/平方米）</v>
      </c>
      <c r="Q38" s="3763"/>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60" t="str">
        <f>A39</f>
        <v>估价对象XX用房的比较价值（楼面单价，元/平方米）</v>
      </c>
      <c r="Q39" s="3761"/>
      <c r="R39" s="3823" t="e">
        <f>IF(F1="售价",ROUND(IF(D38="简单平均",AVERAGE(R38:W38),R38*F38+T38*H38+V38*J38),0),ROUND(IF(D38="简单平均",AVERAGE(R38:V38),R38*F38+T38*H38+V38*J38),1))</f>
        <v>#DIV/0!</v>
      </c>
      <c r="S39" s="3823"/>
      <c r="T39" s="3823"/>
      <c r="U39" s="3823"/>
      <c r="V39" s="3823"/>
      <c r="W39" s="382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88" t="s">
        <v>1771</v>
      </c>
      <c r="S4" s="3789"/>
      <c r="T4" s="3788" t="s">
        <v>1772</v>
      </c>
      <c r="U4" s="3789"/>
      <c r="V4" s="3794" t="s">
        <v>1773</v>
      </c>
      <c r="W4" s="3794"/>
      <c r="X4" s="1354"/>
      <c r="Y4" s="3788" t="s">
        <v>1775</v>
      </c>
      <c r="Z4" s="3789"/>
      <c r="AA4" s="3775" t="s">
        <v>1771</v>
      </c>
      <c r="AB4" s="3776" t="s">
        <v>1772</v>
      </c>
      <c r="AC4" s="3775" t="s">
        <v>1773</v>
      </c>
    </row>
    <row r="5" spans="1:29" ht="15">
      <c r="A5" s="358"/>
      <c r="B5" s="359"/>
      <c r="C5" s="3797" t="s">
        <v>1673</v>
      </c>
      <c r="D5" s="3798"/>
      <c r="E5" s="3805" t="s">
        <v>1674</v>
      </c>
      <c r="F5" s="3806"/>
      <c r="G5" s="3797" t="s">
        <v>1675</v>
      </c>
      <c r="H5" s="3798"/>
      <c r="I5" s="3797" t="s">
        <v>1676</v>
      </c>
      <c r="J5" s="3798"/>
      <c r="K5" s="559"/>
      <c r="L5" s="2714"/>
      <c r="M5" s="2715"/>
      <c r="N5" s="2715"/>
      <c r="O5" s="2715"/>
      <c r="P5" s="3784"/>
      <c r="Q5" s="3785"/>
      <c r="R5" s="3790"/>
      <c r="S5" s="3791"/>
      <c r="T5" s="3790"/>
      <c r="U5" s="3791"/>
      <c r="V5" s="3794"/>
      <c r="W5" s="3794"/>
      <c r="X5" s="1354"/>
      <c r="Y5" s="3790"/>
      <c r="Z5" s="3791"/>
      <c r="AA5" s="3776"/>
      <c r="AB5" s="3776"/>
      <c r="AC5" s="3776"/>
    </row>
    <row r="6" spans="1:29" ht="15.75" thickBot="1">
      <c r="A6" s="360"/>
      <c r="B6" s="361"/>
      <c r="C6" s="3795" t="s">
        <v>1677</v>
      </c>
      <c r="D6" s="3796"/>
      <c r="E6" s="3803" t="s">
        <v>1677</v>
      </c>
      <c r="F6" s="3804"/>
      <c r="G6" s="3795" t="s">
        <v>1677</v>
      </c>
      <c r="H6" s="3796"/>
      <c r="I6" s="3795" t="s">
        <v>1677</v>
      </c>
      <c r="J6" s="3796"/>
      <c r="K6" s="559" t="s">
        <v>1678</v>
      </c>
      <c r="L6" s="2714"/>
      <c r="M6" s="2715"/>
      <c r="N6" s="2715"/>
      <c r="O6" s="2715"/>
      <c r="P6" s="3786"/>
      <c r="Q6" s="3787"/>
      <c r="R6" s="3790"/>
      <c r="S6" s="3791"/>
      <c r="T6" s="3792"/>
      <c r="U6" s="3793"/>
      <c r="V6" s="3794"/>
      <c r="W6" s="3794"/>
      <c r="X6" s="1354"/>
      <c r="Y6" s="3792"/>
      <c r="Z6" s="3793"/>
      <c r="AA6" s="3777"/>
      <c r="AB6" s="3777"/>
      <c r="AC6" s="3777"/>
    </row>
    <row r="7" spans="1:29" s="108" customFormat="1" ht="15.75" thickBot="1">
      <c r="A7" s="362" t="s">
        <v>1679</v>
      </c>
      <c r="B7" s="363"/>
      <c r="C7" s="364">
        <f>'数据-取费表'!B2</f>
        <v>45062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99" t="s">
        <v>1680</v>
      </c>
      <c r="Q7" s="3801"/>
      <c r="R7" s="700" t="s">
        <v>14</v>
      </c>
      <c r="S7" s="701">
        <f t="shared" ref="S7:S14" si="0">F7</f>
        <v>0</v>
      </c>
      <c r="T7" s="700" t="s">
        <v>14</v>
      </c>
      <c r="U7" s="701">
        <f t="shared" ref="U7:U14" si="1">H7</f>
        <v>0</v>
      </c>
      <c r="V7" s="700" t="s">
        <v>14</v>
      </c>
      <c r="W7" s="701">
        <f t="shared" ref="W7:W14" si="2">J7</f>
        <v>0</v>
      </c>
      <c r="X7" s="702"/>
      <c r="Y7" s="3799" t="s">
        <v>1680</v>
      </c>
      <c r="Z7" s="380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99" t="s">
        <v>1683</v>
      </c>
      <c r="Q8" s="3800"/>
      <c r="R8" s="700" t="s">
        <v>14</v>
      </c>
      <c r="S8" s="701">
        <f t="shared" si="0"/>
        <v>100</v>
      </c>
      <c r="T8" s="700" t="s">
        <v>14</v>
      </c>
      <c r="U8" s="701">
        <f t="shared" si="1"/>
        <v>100</v>
      </c>
      <c r="V8" s="700" t="s">
        <v>14</v>
      </c>
      <c r="W8" s="701">
        <f t="shared" si="2"/>
        <v>100</v>
      </c>
      <c r="X8" s="702"/>
      <c r="Y8" s="3799" t="s">
        <v>1683</v>
      </c>
      <c r="Z8" s="380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63" t="s">
        <v>1686</v>
      </c>
      <c r="Q9" s="1342" t="str">
        <f t="shared" ref="Q9:Q14" si="6">B9</f>
        <v>用途</v>
      </c>
      <c r="R9" s="700" t="s">
        <v>14</v>
      </c>
      <c r="S9" s="701">
        <f t="shared" si="0"/>
        <v>100</v>
      </c>
      <c r="T9" s="700" t="s">
        <v>14</v>
      </c>
      <c r="U9" s="701">
        <f t="shared" si="1"/>
        <v>100</v>
      </c>
      <c r="V9" s="700" t="s">
        <v>14</v>
      </c>
      <c r="W9" s="701">
        <f t="shared" si="2"/>
        <v>100</v>
      </c>
      <c r="X9" s="702"/>
      <c r="Y9" s="364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63"/>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63"/>
      <c r="Q11" s="1342">
        <f t="shared" si="6"/>
        <v>111</v>
      </c>
      <c r="R11" s="700" t="s">
        <v>14</v>
      </c>
      <c r="S11" s="701">
        <f t="shared" si="0"/>
        <v>100</v>
      </c>
      <c r="T11" s="700" t="s">
        <v>14</v>
      </c>
      <c r="U11" s="701">
        <f t="shared" si="1"/>
        <v>100</v>
      </c>
      <c r="V11" s="700" t="s">
        <v>14</v>
      </c>
      <c r="W11" s="701">
        <f t="shared" si="2"/>
        <v>100</v>
      </c>
      <c r="X11" s="702"/>
      <c r="Y11" s="364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63"/>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63"/>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65" t="s">
        <v>1691</v>
      </c>
      <c r="Q14" s="1351" t="str">
        <f t="shared" si="6"/>
        <v>交通便捷度</v>
      </c>
      <c r="R14" s="704" t="s">
        <v>14</v>
      </c>
      <c r="S14" s="705">
        <f t="shared" si="0"/>
        <v>100</v>
      </c>
      <c r="T14" s="704" t="s">
        <v>14</v>
      </c>
      <c r="U14" s="705">
        <f t="shared" si="1"/>
        <v>100</v>
      </c>
      <c r="V14" s="704" t="s">
        <v>14</v>
      </c>
      <c r="W14" s="705">
        <f t="shared" si="2"/>
        <v>100</v>
      </c>
      <c r="X14" s="1354"/>
      <c r="Y14" s="376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66"/>
      <c r="Q15" s="1351"/>
      <c r="R15" s="704"/>
      <c r="S15" s="705"/>
      <c r="T15" s="704"/>
      <c r="U15" s="705"/>
      <c r="V15" s="704"/>
      <c r="W15" s="705"/>
      <c r="X15" s="1354"/>
      <c r="Y15" s="3766"/>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66"/>
      <c r="Q16" s="1351" t="str">
        <f>B16</f>
        <v>公共配套设施</v>
      </c>
      <c r="R16" s="704" t="s">
        <v>14</v>
      </c>
      <c r="S16" s="705">
        <f>F16</f>
        <v>100</v>
      </c>
      <c r="T16" s="704" t="s">
        <v>14</v>
      </c>
      <c r="U16" s="705">
        <f>H16</f>
        <v>100</v>
      </c>
      <c r="V16" s="704" t="s">
        <v>14</v>
      </c>
      <c r="W16" s="705">
        <f>J16</f>
        <v>100</v>
      </c>
      <c r="X16" s="1354"/>
      <c r="Y16" s="376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66"/>
      <c r="Q17" s="1351"/>
      <c r="R17" s="704"/>
      <c r="S17" s="705"/>
      <c r="T17" s="704"/>
      <c r="U17" s="705"/>
      <c r="V17" s="704"/>
      <c r="W17" s="705"/>
      <c r="X17" s="1354"/>
      <c r="Y17" s="3766"/>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66"/>
      <c r="Q18" s="1351" t="str">
        <f>B18</f>
        <v>基础设施水平</v>
      </c>
      <c r="R18" s="704" t="s">
        <v>14</v>
      </c>
      <c r="S18" s="705">
        <f>F18</f>
        <v>100</v>
      </c>
      <c r="T18" s="704" t="s">
        <v>14</v>
      </c>
      <c r="U18" s="705">
        <f>H18</f>
        <v>100</v>
      </c>
      <c r="V18" s="704" t="s">
        <v>14</v>
      </c>
      <c r="W18" s="705">
        <f>J18</f>
        <v>100</v>
      </c>
      <c r="X18" s="1354"/>
      <c r="Y18" s="376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66"/>
      <c r="Q19" s="1351"/>
      <c r="R19" s="704"/>
      <c r="S19" s="705"/>
      <c r="T19" s="704"/>
      <c r="U19" s="705"/>
      <c r="V19" s="704"/>
      <c r="W19" s="705"/>
      <c r="X19" s="1354"/>
      <c r="Y19" s="3766"/>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66"/>
      <c r="Q20" s="1351" t="str">
        <f>B20</f>
        <v>自然及人文环境</v>
      </c>
      <c r="R20" s="704" t="s">
        <v>14</v>
      </c>
      <c r="S20" s="705">
        <f>F20</f>
        <v>100</v>
      </c>
      <c r="T20" s="704" t="s">
        <v>14</v>
      </c>
      <c r="U20" s="705">
        <f>H20</f>
        <v>100</v>
      </c>
      <c r="V20" s="704" t="s">
        <v>14</v>
      </c>
      <c r="W20" s="705">
        <f>J20</f>
        <v>100</v>
      </c>
      <c r="X20" s="1354"/>
      <c r="Y20" s="376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66"/>
      <c r="Q21" s="1351"/>
      <c r="R21" s="704"/>
      <c r="S21" s="705"/>
      <c r="T21" s="704"/>
      <c r="U21" s="705"/>
      <c r="V21" s="704"/>
      <c r="W21" s="705"/>
      <c r="X21" s="1354"/>
      <c r="Y21" s="376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66"/>
      <c r="Q22" s="1351" t="str">
        <f>B22</f>
        <v>楼层</v>
      </c>
      <c r="R22" s="704" t="s">
        <v>14</v>
      </c>
      <c r="S22" s="705">
        <f>F22</f>
        <v>100</v>
      </c>
      <c r="T22" s="704" t="s">
        <v>14</v>
      </c>
      <c r="U22" s="705">
        <f>H22</f>
        <v>100</v>
      </c>
      <c r="V22" s="704" t="s">
        <v>14</v>
      </c>
      <c r="W22" s="705">
        <f>J22</f>
        <v>100</v>
      </c>
      <c r="X22" s="1354"/>
      <c r="Y22" s="376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66"/>
      <c r="Q23" s="1351">
        <f>B23</f>
        <v>111</v>
      </c>
      <c r="R23" s="704" t="s">
        <v>14</v>
      </c>
      <c r="S23" s="705">
        <f>F23</f>
        <v>100</v>
      </c>
      <c r="T23" s="704" t="s">
        <v>14</v>
      </c>
      <c r="U23" s="705">
        <f>H23</f>
        <v>100</v>
      </c>
      <c r="V23" s="704" t="s">
        <v>14</v>
      </c>
      <c r="W23" s="705">
        <f>J23</f>
        <v>100</v>
      </c>
      <c r="X23" s="1354"/>
      <c r="Y23" s="376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66"/>
      <c r="Q24" s="1351">
        <f t="shared" ref="Q24:Q34" si="11">B24</f>
        <v>111</v>
      </c>
      <c r="R24" s="704" t="s">
        <v>14</v>
      </c>
      <c r="S24" s="705">
        <f>F24</f>
        <v>100</v>
      </c>
      <c r="T24" s="704" t="s">
        <v>14</v>
      </c>
      <c r="U24" s="705">
        <f>H24</f>
        <v>100</v>
      </c>
      <c r="V24" s="704" t="s">
        <v>14</v>
      </c>
      <c r="W24" s="705">
        <f>J24</f>
        <v>100</v>
      </c>
      <c r="X24" s="1354"/>
      <c r="Y24" s="3766"/>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66"/>
      <c r="Q25" s="1342">
        <f t="shared" si="11"/>
        <v>111</v>
      </c>
      <c r="R25" s="700" t="s">
        <v>14</v>
      </c>
      <c r="S25" s="701">
        <f>F25</f>
        <v>100</v>
      </c>
      <c r="T25" s="700" t="s">
        <v>14</v>
      </c>
      <c r="U25" s="701">
        <f>H25</f>
        <v>100</v>
      </c>
      <c r="V25" s="700" t="s">
        <v>14</v>
      </c>
      <c r="W25" s="701">
        <f>J25</f>
        <v>100</v>
      </c>
      <c r="X25" s="702"/>
      <c r="Y25" s="3766"/>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82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7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70"/>
      <c r="Q27" s="706" t="str">
        <f t="shared" si="11"/>
        <v>成新率</v>
      </c>
      <c r="R27" s="707" t="s">
        <v>14</v>
      </c>
      <c r="S27" s="708" t="e">
        <f t="shared" si="12"/>
        <v>#N/A</v>
      </c>
      <c r="T27" s="707" t="s">
        <v>14</v>
      </c>
      <c r="U27" s="708" t="e">
        <f t="shared" si="13"/>
        <v>#N/A</v>
      </c>
      <c r="V27" s="707" t="s">
        <v>14</v>
      </c>
      <c r="W27" s="708" t="e">
        <f t="shared" si="14"/>
        <v>#N/A</v>
      </c>
      <c r="X27" s="709"/>
      <c r="Y27" s="3770"/>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70"/>
      <c r="Q28" s="1351" t="str">
        <f t="shared" si="11"/>
        <v>物业等级</v>
      </c>
      <c r="R28" s="704" t="s">
        <v>14</v>
      </c>
      <c r="S28" s="705">
        <f t="shared" si="12"/>
        <v>100</v>
      </c>
      <c r="T28" s="704" t="s">
        <v>14</v>
      </c>
      <c r="U28" s="705">
        <f t="shared" si="13"/>
        <v>100</v>
      </c>
      <c r="V28" s="704" t="s">
        <v>14</v>
      </c>
      <c r="W28" s="705">
        <f t="shared" si="14"/>
        <v>100</v>
      </c>
      <c r="X28" s="1354"/>
      <c r="Y28" s="3770"/>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70"/>
      <c r="Q29" s="1351" t="str">
        <f t="shared" si="11"/>
        <v>有无电梯</v>
      </c>
      <c r="R29" s="704" t="s">
        <v>14</v>
      </c>
      <c r="S29" s="705">
        <f t="shared" si="12"/>
        <v>100</v>
      </c>
      <c r="T29" s="704" t="s">
        <v>14</v>
      </c>
      <c r="U29" s="705">
        <f t="shared" si="13"/>
        <v>100</v>
      </c>
      <c r="V29" s="704" t="s">
        <v>14</v>
      </c>
      <c r="W29" s="705">
        <f t="shared" si="14"/>
        <v>100</v>
      </c>
      <c r="X29" s="1354"/>
      <c r="Y29" s="377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70"/>
      <c r="Q30" s="1351" t="str">
        <f t="shared" si="11"/>
        <v>建筑面积</v>
      </c>
      <c r="R30" s="704" t="s">
        <v>14</v>
      </c>
      <c r="S30" s="705" t="e">
        <f t="shared" si="12"/>
        <v>#N/A</v>
      </c>
      <c r="T30" s="704" t="s">
        <v>14</v>
      </c>
      <c r="U30" s="705" t="e">
        <f t="shared" si="13"/>
        <v>#N/A</v>
      </c>
      <c r="V30" s="704" t="s">
        <v>14</v>
      </c>
      <c r="W30" s="705" t="e">
        <f t="shared" si="14"/>
        <v>#N/A</v>
      </c>
      <c r="X30" s="1354"/>
      <c r="Y30" s="3770"/>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70"/>
      <c r="Q31" s="1342" t="str">
        <f t="shared" si="11"/>
        <v>是否封闭</v>
      </c>
      <c r="R31" s="700" t="s">
        <v>14</v>
      </c>
      <c r="S31" s="701">
        <f t="shared" si="12"/>
        <v>100</v>
      </c>
      <c r="T31" s="700" t="s">
        <v>14</v>
      </c>
      <c r="U31" s="701">
        <f t="shared" si="13"/>
        <v>100</v>
      </c>
      <c r="V31" s="700" t="s">
        <v>14</v>
      </c>
      <c r="W31" s="701">
        <f t="shared" si="14"/>
        <v>100</v>
      </c>
      <c r="X31" s="702"/>
      <c r="Y31" s="377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70" t="s">
        <v>1696</v>
      </c>
      <c r="Q32" s="1351">
        <f t="shared" si="11"/>
        <v>111</v>
      </c>
      <c r="R32" s="704" t="s">
        <v>14</v>
      </c>
      <c r="S32" s="705">
        <f t="shared" si="12"/>
        <v>100</v>
      </c>
      <c r="T32" s="704" t="s">
        <v>14</v>
      </c>
      <c r="U32" s="705">
        <f t="shared" si="13"/>
        <v>100</v>
      </c>
      <c r="V32" s="704" t="s">
        <v>14</v>
      </c>
      <c r="W32" s="705">
        <f t="shared" si="14"/>
        <v>100</v>
      </c>
      <c r="X32" s="1354"/>
      <c r="Y32" s="377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70"/>
      <c r="Q33" s="1351">
        <f t="shared" si="11"/>
        <v>111</v>
      </c>
      <c r="R33" s="704" t="s">
        <v>14</v>
      </c>
      <c r="S33" s="705">
        <f t="shared" si="12"/>
        <v>100</v>
      </c>
      <c r="T33" s="704" t="s">
        <v>14</v>
      </c>
      <c r="U33" s="705">
        <f t="shared" si="13"/>
        <v>100</v>
      </c>
      <c r="V33" s="704" t="s">
        <v>14</v>
      </c>
      <c r="W33" s="705">
        <f t="shared" si="14"/>
        <v>100</v>
      </c>
      <c r="X33" s="1354"/>
      <c r="Y33" s="377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70"/>
      <c r="Q34" s="1351">
        <f t="shared" si="11"/>
        <v>111</v>
      </c>
      <c r="R34" s="704" t="s">
        <v>14</v>
      </c>
      <c r="S34" s="705">
        <f t="shared" si="12"/>
        <v>100</v>
      </c>
      <c r="T34" s="704" t="s">
        <v>14</v>
      </c>
      <c r="U34" s="705">
        <f t="shared" si="13"/>
        <v>100</v>
      </c>
      <c r="V34" s="704" t="s">
        <v>14</v>
      </c>
      <c r="W34" s="705">
        <f t="shared" si="14"/>
        <v>100</v>
      </c>
      <c r="X34" s="1354"/>
      <c r="Y34" s="377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63" t="str">
        <f>A35</f>
        <v>成交单价（元/平方米）</v>
      </c>
      <c r="Q35" s="3763"/>
      <c r="R35" s="3764">
        <f>E35</f>
        <v>0</v>
      </c>
      <c r="S35" s="3764"/>
      <c r="T35" s="3764">
        <f>G35</f>
        <v>0</v>
      </c>
      <c r="U35" s="3764"/>
      <c r="V35" s="3764">
        <f>I35</f>
        <v>0</v>
      </c>
      <c r="W35" s="3764"/>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63" t="str">
        <f>A36</f>
        <v>比较价值（元/平方米）</v>
      </c>
      <c r="Q36" s="3763"/>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60" t="str">
        <f>A37</f>
        <v>估价对象XX用房的比较价值（楼面单价，元/平方米）</v>
      </c>
      <c r="Q37" s="3761"/>
      <c r="R37" s="3823" t="e">
        <f>IF(F1="售价",ROUND(IF(D36="简单平均",AVERAGE(R36:W36),R36*F36+T36*H36+V36*J36),0),ROUND(IF(D36="简单平均",AVERAGE(R36:V36),R36*F36+T36*H36+V36*J36),1))</f>
        <v>#DIV/0!</v>
      </c>
      <c r="S37" s="3823"/>
      <c r="T37" s="3823"/>
      <c r="U37" s="3823"/>
      <c r="V37" s="3823"/>
      <c r="W37" s="382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估价对象为房地产，为所有。根据《国有土地使用证》[]，估价对象（分摊）出让国有建设用地使用权面积为0平方米，建筑面积为1068.98平方米。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估价对象为房地产,属开发建设的，该项目尚在开发建设中。根据《国有土地使用证》[]，估价对象（分摊）出让国有建设用地使用权面积为0平方米，规划建筑面积为1068.98平方米。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2023年5月16日（评估专业人员实地查勘之日）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88" t="s">
        <v>1771</v>
      </c>
      <c r="S4" s="3789"/>
      <c r="T4" s="3788" t="s">
        <v>1772</v>
      </c>
      <c r="U4" s="3789"/>
      <c r="V4" s="3794" t="s">
        <v>1773</v>
      </c>
      <c r="W4" s="3794"/>
      <c r="X4" s="1354"/>
      <c r="Y4" s="3788" t="s">
        <v>1775</v>
      </c>
      <c r="Z4" s="3789"/>
      <c r="AA4" s="3775" t="s">
        <v>1771</v>
      </c>
      <c r="AB4" s="3776" t="s">
        <v>1772</v>
      </c>
      <c r="AC4" s="3775" t="s">
        <v>1773</v>
      </c>
    </row>
    <row r="5" spans="1:30" ht="15">
      <c r="A5" s="358"/>
      <c r="B5" s="359"/>
      <c r="C5" s="3797" t="s">
        <v>1673</v>
      </c>
      <c r="D5" s="3798"/>
      <c r="E5" s="3805" t="s">
        <v>1674</v>
      </c>
      <c r="F5" s="3806"/>
      <c r="G5" s="3797" t="s">
        <v>1675</v>
      </c>
      <c r="H5" s="3798"/>
      <c r="I5" s="3797" t="s">
        <v>1676</v>
      </c>
      <c r="J5" s="3798"/>
      <c r="K5" s="559"/>
      <c r="L5" s="2714"/>
      <c r="M5" s="2715"/>
      <c r="N5" s="2715"/>
      <c r="O5" s="2715"/>
      <c r="P5" s="3784"/>
      <c r="Q5" s="3785"/>
      <c r="R5" s="3790"/>
      <c r="S5" s="3791"/>
      <c r="T5" s="3790"/>
      <c r="U5" s="3791"/>
      <c r="V5" s="3794"/>
      <c r="W5" s="3794"/>
      <c r="X5" s="1354"/>
      <c r="Y5" s="3790"/>
      <c r="Z5" s="3791"/>
      <c r="AA5" s="3776"/>
      <c r="AB5" s="3776"/>
      <c r="AC5" s="3776"/>
    </row>
    <row r="6" spans="1:30" ht="15.75" thickBot="1">
      <c r="A6" s="360"/>
      <c r="B6" s="361"/>
      <c r="C6" s="3795" t="s">
        <v>1677</v>
      </c>
      <c r="D6" s="3796"/>
      <c r="E6" s="3803" t="s">
        <v>1677</v>
      </c>
      <c r="F6" s="3804"/>
      <c r="G6" s="3795" t="s">
        <v>1677</v>
      </c>
      <c r="H6" s="3796"/>
      <c r="I6" s="3795" t="s">
        <v>1677</v>
      </c>
      <c r="J6" s="3796"/>
      <c r="K6" s="559" t="s">
        <v>1678</v>
      </c>
      <c r="L6" s="2714"/>
      <c r="M6" s="2715"/>
      <c r="N6" s="2715"/>
      <c r="O6" s="2715"/>
      <c r="P6" s="3786"/>
      <c r="Q6" s="3787"/>
      <c r="R6" s="3790"/>
      <c r="S6" s="3791"/>
      <c r="T6" s="3792"/>
      <c r="U6" s="3793"/>
      <c r="V6" s="3794"/>
      <c r="W6" s="3794"/>
      <c r="X6" s="1354"/>
      <c r="Y6" s="3792"/>
      <c r="Z6" s="3793"/>
      <c r="AA6" s="3777"/>
      <c r="AB6" s="3777"/>
      <c r="AC6" s="3777"/>
    </row>
    <row r="7" spans="1:30" s="108" customFormat="1" ht="15.75" thickBot="1">
      <c r="A7" s="362" t="s">
        <v>1679</v>
      </c>
      <c r="B7" s="363"/>
      <c r="C7" s="364">
        <f>'数据-取费表'!B2</f>
        <v>45062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99" t="s">
        <v>1680</v>
      </c>
      <c r="Q7" s="3801"/>
      <c r="R7" s="700" t="s">
        <v>14</v>
      </c>
      <c r="S7" s="701">
        <f t="shared" ref="S7:S15" si="0">F7</f>
        <v>0</v>
      </c>
      <c r="T7" s="700" t="s">
        <v>14</v>
      </c>
      <c r="U7" s="701">
        <f t="shared" ref="U7:U15" si="1">H7</f>
        <v>0</v>
      </c>
      <c r="V7" s="700" t="s">
        <v>14</v>
      </c>
      <c r="W7" s="701">
        <f t="shared" ref="W7:W15" si="2">J7</f>
        <v>0</v>
      </c>
      <c r="X7" s="702"/>
      <c r="Y7" s="3799" t="s">
        <v>1680</v>
      </c>
      <c r="Z7" s="380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99" t="s">
        <v>1683</v>
      </c>
      <c r="Q8" s="3800"/>
      <c r="R8" s="700" t="s">
        <v>14</v>
      </c>
      <c r="S8" s="701">
        <f t="shared" si="0"/>
        <v>0</v>
      </c>
      <c r="T8" s="700" t="s">
        <v>14</v>
      </c>
      <c r="U8" s="701">
        <f t="shared" si="1"/>
        <v>0</v>
      </c>
      <c r="V8" s="700" t="s">
        <v>14</v>
      </c>
      <c r="W8" s="701">
        <f t="shared" si="2"/>
        <v>0</v>
      </c>
      <c r="X8" s="702"/>
      <c r="Y8" s="3799" t="s">
        <v>1683</v>
      </c>
      <c r="Z8" s="380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63"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8"/>
      <c r="M10" s="2719"/>
      <c r="N10" s="2719"/>
      <c r="O10" s="2772"/>
      <c r="P10" s="3763"/>
      <c r="Q10" s="1342" t="str">
        <f t="shared" si="6"/>
        <v>土地使用年限（年）</v>
      </c>
      <c r="R10" s="700" t="s">
        <v>14</v>
      </c>
      <c r="S10" s="701" t="e">
        <f t="shared" si="0"/>
        <v>#DIV/0!</v>
      </c>
      <c r="T10" s="700" t="s">
        <v>14</v>
      </c>
      <c r="U10" s="701" t="e">
        <f t="shared" si="1"/>
        <v>#DIV/0!</v>
      </c>
      <c r="V10" s="700" t="s">
        <v>14</v>
      </c>
      <c r="W10" s="701" t="e">
        <f t="shared" si="2"/>
        <v>#DIV/0!</v>
      </c>
      <c r="X10" s="702"/>
      <c r="Y10" s="3641"/>
      <c r="Z10" s="52" t="str">
        <f t="shared" si="7"/>
        <v>土地使用年限（年）</v>
      </c>
      <c r="AA10" s="703" t="e">
        <f t="shared" si="3"/>
        <v>#DIV/0!</v>
      </c>
      <c r="AB10" s="703" t="e">
        <f t="shared" si="4"/>
        <v>#DIV/0!</v>
      </c>
      <c r="AC10" s="703"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63"/>
      <c r="Q11" s="1342" t="str">
        <f t="shared" si="6"/>
        <v>容积率</v>
      </c>
      <c r="R11" s="700" t="s">
        <v>14</v>
      </c>
      <c r="S11" s="701" t="e">
        <f t="shared" si="0"/>
        <v>#N/A</v>
      </c>
      <c r="T11" s="700" t="s">
        <v>14</v>
      </c>
      <c r="U11" s="701" t="e">
        <f t="shared" si="1"/>
        <v>#N/A</v>
      </c>
      <c r="V11" s="700" t="s">
        <v>14</v>
      </c>
      <c r="W11" s="701" t="e">
        <f t="shared" si="2"/>
        <v>#N/A</v>
      </c>
      <c r="X11" s="702"/>
      <c r="Y11" s="364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63"/>
      <c r="Q12" s="1342" t="str">
        <f t="shared" si="6"/>
        <v>配建</v>
      </c>
      <c r="R12" s="700" t="s">
        <v>14</v>
      </c>
      <c r="S12" s="701">
        <f t="shared" si="0"/>
        <v>100</v>
      </c>
      <c r="T12" s="700" t="s">
        <v>14</v>
      </c>
      <c r="U12" s="701">
        <f t="shared" si="1"/>
        <v>100</v>
      </c>
      <c r="V12" s="700" t="s">
        <v>14</v>
      </c>
      <c r="W12" s="701">
        <f t="shared" si="2"/>
        <v>100</v>
      </c>
      <c r="X12" s="702"/>
      <c r="Y12" s="364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63"/>
      <c r="Q13" s="1342">
        <f t="shared" si="6"/>
        <v>111</v>
      </c>
      <c r="R13" s="700" t="s">
        <v>14</v>
      </c>
      <c r="S13" s="701">
        <f t="shared" si="0"/>
        <v>100</v>
      </c>
      <c r="T13" s="700" t="s">
        <v>14</v>
      </c>
      <c r="U13" s="701">
        <f t="shared" si="1"/>
        <v>100</v>
      </c>
      <c r="V13" s="700" t="s">
        <v>14</v>
      </c>
      <c r="W13" s="701">
        <f t="shared" si="2"/>
        <v>100</v>
      </c>
      <c r="X13" s="702"/>
      <c r="Y13" s="364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63"/>
      <c r="Q14" s="1342">
        <f t="shared" si="6"/>
        <v>111</v>
      </c>
      <c r="R14" s="700" t="s">
        <v>14</v>
      </c>
      <c r="S14" s="701">
        <f t="shared" si="0"/>
        <v>100</v>
      </c>
      <c r="T14" s="700" t="s">
        <v>14</v>
      </c>
      <c r="U14" s="701">
        <f t="shared" si="1"/>
        <v>100</v>
      </c>
      <c r="V14" s="700" t="s">
        <v>14</v>
      </c>
      <c r="W14" s="701">
        <f t="shared" si="2"/>
        <v>100</v>
      </c>
      <c r="X14" s="702"/>
      <c r="Y14" s="3641"/>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65" t="s">
        <v>1691</v>
      </c>
      <c r="Q15" s="1351" t="str">
        <f t="shared" si="6"/>
        <v>居住社区成熟度</v>
      </c>
      <c r="R15" s="704" t="s">
        <v>14</v>
      </c>
      <c r="S15" s="705">
        <f t="shared" si="0"/>
        <v>100</v>
      </c>
      <c r="T15" s="704" t="s">
        <v>14</v>
      </c>
      <c r="U15" s="705">
        <f t="shared" si="1"/>
        <v>100</v>
      </c>
      <c r="V15" s="704" t="s">
        <v>14</v>
      </c>
      <c r="W15" s="705">
        <f t="shared" si="2"/>
        <v>100</v>
      </c>
      <c r="X15" s="1354"/>
      <c r="Y15" s="376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66"/>
      <c r="Q16" s="1351"/>
      <c r="R16" s="704"/>
      <c r="S16" s="705"/>
      <c r="T16" s="704"/>
      <c r="U16" s="705"/>
      <c r="V16" s="704"/>
      <c r="W16" s="705"/>
      <c r="X16" s="1354"/>
      <c r="Y16" s="3766"/>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66"/>
      <c r="Q17" s="1351" t="str">
        <f>B17</f>
        <v>商业繁华度</v>
      </c>
      <c r="R17" s="704" t="s">
        <v>14</v>
      </c>
      <c r="S17" s="705">
        <f>F17</f>
        <v>100</v>
      </c>
      <c r="T17" s="704" t="s">
        <v>14</v>
      </c>
      <c r="U17" s="705">
        <f>H17</f>
        <v>100</v>
      </c>
      <c r="V17" s="704" t="s">
        <v>14</v>
      </c>
      <c r="W17" s="705">
        <f>J17</f>
        <v>100</v>
      </c>
      <c r="X17" s="1354"/>
      <c r="Y17" s="376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66"/>
      <c r="Q18" s="1351"/>
      <c r="R18" s="704"/>
      <c r="S18" s="705"/>
      <c r="T18" s="704"/>
      <c r="U18" s="705"/>
      <c r="V18" s="704"/>
      <c r="W18" s="705"/>
      <c r="X18" s="1354"/>
      <c r="Y18" s="3766"/>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66"/>
      <c r="Q19" s="1351" t="str">
        <f>B19</f>
        <v>办公集聚程度</v>
      </c>
      <c r="R19" s="704" t="s">
        <v>14</v>
      </c>
      <c r="S19" s="705">
        <f>F19</f>
        <v>100</v>
      </c>
      <c r="T19" s="704" t="s">
        <v>14</v>
      </c>
      <c r="U19" s="705">
        <f>H19</f>
        <v>100</v>
      </c>
      <c r="V19" s="704" t="s">
        <v>14</v>
      </c>
      <c r="W19" s="705">
        <f>J19</f>
        <v>100</v>
      </c>
      <c r="X19" s="1354"/>
      <c r="Y19" s="376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66"/>
      <c r="Q20" s="1351"/>
      <c r="R20" s="704"/>
      <c r="S20" s="705"/>
      <c r="T20" s="704"/>
      <c r="U20" s="705"/>
      <c r="V20" s="704"/>
      <c r="W20" s="705"/>
      <c r="X20" s="1354"/>
      <c r="Y20" s="3766"/>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66"/>
      <c r="Q21" s="1351" t="str">
        <f>B21</f>
        <v>交通便捷度</v>
      </c>
      <c r="R21" s="704" t="s">
        <v>14</v>
      </c>
      <c r="S21" s="705">
        <f>F21</f>
        <v>100</v>
      </c>
      <c r="T21" s="704" t="s">
        <v>14</v>
      </c>
      <c r="U21" s="705">
        <f>H21</f>
        <v>100</v>
      </c>
      <c r="V21" s="704" t="s">
        <v>14</v>
      </c>
      <c r="W21" s="705">
        <f>J21</f>
        <v>100</v>
      </c>
      <c r="X21" s="1354"/>
      <c r="Y21" s="376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66"/>
      <c r="Q22" s="1351"/>
      <c r="R22" s="704"/>
      <c r="S22" s="705"/>
      <c r="T22" s="704"/>
      <c r="U22" s="705"/>
      <c r="V22" s="704"/>
      <c r="W22" s="705"/>
      <c r="X22" s="1354"/>
      <c r="Y22" s="376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66"/>
      <c r="Q23" s="1351" t="str">
        <f t="shared" ref="Q23:Q37" si="8">B23</f>
        <v>区域土地利用方向</v>
      </c>
      <c r="R23" s="704" t="s">
        <v>14</v>
      </c>
      <c r="S23" s="705">
        <f>F23</f>
        <v>100</v>
      </c>
      <c r="T23" s="704" t="s">
        <v>14</v>
      </c>
      <c r="U23" s="705">
        <f>H23</f>
        <v>100</v>
      </c>
      <c r="V23" s="704" t="s">
        <v>14</v>
      </c>
      <c r="W23" s="705">
        <f>J23</f>
        <v>100</v>
      </c>
      <c r="X23" s="1354"/>
      <c r="Y23" s="376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66"/>
      <c r="Q24" s="1351"/>
      <c r="R24" s="704"/>
      <c r="S24" s="705"/>
      <c r="T24" s="704"/>
      <c r="U24" s="705"/>
      <c r="V24" s="704"/>
      <c r="W24" s="705"/>
      <c r="X24" s="1354"/>
      <c r="Y24" s="3766"/>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66"/>
      <c r="Q25" s="1351" t="str">
        <f t="shared" si="8"/>
        <v>自然及人文环境状况</v>
      </c>
      <c r="R25" s="704" t="s">
        <v>14</v>
      </c>
      <c r="S25" s="705">
        <f>F25</f>
        <v>100</v>
      </c>
      <c r="T25" s="704" t="s">
        <v>14</v>
      </c>
      <c r="U25" s="705">
        <f>H25</f>
        <v>100</v>
      </c>
      <c r="V25" s="704" t="s">
        <v>14</v>
      </c>
      <c r="W25" s="705">
        <f>J25</f>
        <v>100</v>
      </c>
      <c r="X25" s="1354"/>
      <c r="Y25" s="376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66"/>
      <c r="Q26" s="1351"/>
      <c r="R26" s="704"/>
      <c r="S26" s="705"/>
      <c r="T26" s="704"/>
      <c r="U26" s="705"/>
      <c r="V26" s="704"/>
      <c r="W26" s="705"/>
      <c r="X26" s="1354"/>
      <c r="Y26" s="3766"/>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66"/>
      <c r="Q27" s="1342" t="str">
        <f t="shared" si="8"/>
        <v>公共配套设施</v>
      </c>
      <c r="R27" s="700" t="s">
        <v>14</v>
      </c>
      <c r="S27" s="701">
        <f>F27</f>
        <v>100</v>
      </c>
      <c r="T27" s="700" t="s">
        <v>14</v>
      </c>
      <c r="U27" s="701">
        <f>H27</f>
        <v>100</v>
      </c>
      <c r="V27" s="700" t="s">
        <v>14</v>
      </c>
      <c r="W27" s="701">
        <f>J27</f>
        <v>100</v>
      </c>
      <c r="X27" s="702"/>
      <c r="Y27" s="3766"/>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66"/>
      <c r="Q28" s="1342"/>
      <c r="R28" s="700"/>
      <c r="S28" s="701"/>
      <c r="T28" s="700"/>
      <c r="U28" s="701"/>
      <c r="V28" s="700"/>
      <c r="W28" s="701"/>
      <c r="X28" s="702"/>
      <c r="Y28" s="3766"/>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66"/>
      <c r="Q29" s="1342" t="str">
        <f t="shared" ref="Q29" si="9">B29</f>
        <v>基础设施水平</v>
      </c>
      <c r="R29" s="700" t="s">
        <v>14</v>
      </c>
      <c r="S29" s="701">
        <f>F29</f>
        <v>100</v>
      </c>
      <c r="T29" s="700" t="s">
        <v>14</v>
      </c>
      <c r="U29" s="701">
        <f>H29</f>
        <v>100</v>
      </c>
      <c r="V29" s="700" t="s">
        <v>14</v>
      </c>
      <c r="W29" s="701">
        <f>J29</f>
        <v>100</v>
      </c>
      <c r="X29" s="702"/>
      <c r="Y29" s="3766"/>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66"/>
      <c r="Q30" s="1342"/>
      <c r="R30" s="700"/>
      <c r="S30" s="701"/>
      <c r="T30" s="700"/>
      <c r="U30" s="701"/>
      <c r="V30" s="700"/>
      <c r="W30" s="701"/>
      <c r="X30" s="702"/>
      <c r="Y30" s="3766"/>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6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6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66"/>
      <c r="Q32" s="1351" t="str">
        <f t="shared" si="8"/>
        <v>毗邻道路的类型与等级</v>
      </c>
      <c r="R32" s="704" t="s">
        <v>14</v>
      </c>
      <c r="S32" s="705">
        <f t="shared" si="10"/>
        <v>100</v>
      </c>
      <c r="T32" s="704" t="s">
        <v>14</v>
      </c>
      <c r="U32" s="705">
        <f t="shared" si="11"/>
        <v>100</v>
      </c>
      <c r="V32" s="704" t="s">
        <v>14</v>
      </c>
      <c r="W32" s="705">
        <f t="shared" si="12"/>
        <v>100</v>
      </c>
      <c r="X32" s="1354"/>
      <c r="Y32" s="376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66"/>
      <c r="Q33" s="1351"/>
      <c r="R33" s="704"/>
      <c r="S33" s="705"/>
      <c r="T33" s="704"/>
      <c r="U33" s="705"/>
      <c r="V33" s="704"/>
      <c r="W33" s="705"/>
      <c r="X33" s="1354"/>
      <c r="Y33" s="3766"/>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66"/>
      <c r="Q34" s="1351" t="str">
        <f t="shared" si="8"/>
        <v>土地级别</v>
      </c>
      <c r="R34" s="704" t="s">
        <v>14</v>
      </c>
      <c r="S34" s="705">
        <f t="shared" si="10"/>
        <v>100</v>
      </c>
      <c r="T34" s="704" t="s">
        <v>14</v>
      </c>
      <c r="U34" s="705">
        <f t="shared" si="11"/>
        <v>100</v>
      </c>
      <c r="V34" s="704" t="s">
        <v>14</v>
      </c>
      <c r="W34" s="705">
        <f t="shared" si="12"/>
        <v>100</v>
      </c>
      <c r="X34" s="1354"/>
      <c r="Y34" s="3766"/>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66"/>
      <c r="Q35" s="1351">
        <f t="shared" si="8"/>
        <v>111</v>
      </c>
      <c r="R35" s="704" t="s">
        <v>14</v>
      </c>
      <c r="S35" s="705">
        <f t="shared" si="10"/>
        <v>100</v>
      </c>
      <c r="T35" s="704" t="s">
        <v>14</v>
      </c>
      <c r="U35" s="705">
        <f t="shared" si="11"/>
        <v>100</v>
      </c>
      <c r="V35" s="704" t="s">
        <v>14</v>
      </c>
      <c r="W35" s="705">
        <f t="shared" si="12"/>
        <v>100</v>
      </c>
      <c r="X35" s="1354"/>
      <c r="Y35" s="3766"/>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822" t="s">
        <v>1696</v>
      </c>
      <c r="Q36" s="1351">
        <f t="shared" si="8"/>
        <v>111</v>
      </c>
      <c r="R36" s="704" t="s">
        <v>14</v>
      </c>
      <c r="S36" s="705">
        <f t="shared" si="10"/>
        <v>100</v>
      </c>
      <c r="T36" s="704" t="s">
        <v>14</v>
      </c>
      <c r="U36" s="705">
        <f t="shared" si="11"/>
        <v>100</v>
      </c>
      <c r="V36" s="704" t="s">
        <v>14</v>
      </c>
      <c r="W36" s="705">
        <f t="shared" si="12"/>
        <v>100</v>
      </c>
      <c r="X36" s="1354"/>
      <c r="Y36" s="3770"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70"/>
      <c r="Q37" s="1351">
        <f t="shared" si="8"/>
        <v>111</v>
      </c>
      <c r="R37" s="707" t="s">
        <v>14</v>
      </c>
      <c r="S37" s="708">
        <f t="shared" si="10"/>
        <v>100</v>
      </c>
      <c r="T37" s="707" t="s">
        <v>14</v>
      </c>
      <c r="U37" s="708">
        <f t="shared" si="11"/>
        <v>100</v>
      </c>
      <c r="V37" s="707" t="s">
        <v>14</v>
      </c>
      <c r="W37" s="708">
        <f t="shared" si="12"/>
        <v>100</v>
      </c>
      <c r="X37" s="709"/>
      <c r="Y37" s="3770"/>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70"/>
      <c r="Q38" s="1351" t="str">
        <f>B38</f>
        <v>宗地面积</v>
      </c>
      <c r="R38" s="704" t="s">
        <v>14</v>
      </c>
      <c r="S38" s="705" t="e">
        <f t="shared" si="10"/>
        <v>#N/A</v>
      </c>
      <c r="T38" s="704" t="s">
        <v>14</v>
      </c>
      <c r="U38" s="705" t="e">
        <f t="shared" si="11"/>
        <v>#N/A</v>
      </c>
      <c r="V38" s="704" t="s">
        <v>14</v>
      </c>
      <c r="W38" s="705" t="e">
        <f t="shared" si="12"/>
        <v>#N/A</v>
      </c>
      <c r="X38" s="1354"/>
      <c r="Y38" s="377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70"/>
      <c r="Q39" s="1351" t="str">
        <f t="shared" ref="Q39:Q45" si="14">B39</f>
        <v>宗地形状</v>
      </c>
      <c r="R39" s="704" t="s">
        <v>14</v>
      </c>
      <c r="S39" s="705">
        <f t="shared" si="10"/>
        <v>100</v>
      </c>
      <c r="T39" s="704" t="s">
        <v>14</v>
      </c>
      <c r="U39" s="705">
        <f t="shared" si="11"/>
        <v>100</v>
      </c>
      <c r="V39" s="704" t="s">
        <v>14</v>
      </c>
      <c r="W39" s="705">
        <f t="shared" si="12"/>
        <v>100</v>
      </c>
      <c r="X39" s="1354"/>
      <c r="Y39" s="377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70"/>
      <c r="Q40" s="1351" t="str">
        <f t="shared" si="14"/>
        <v>临街宽度及深度</v>
      </c>
      <c r="R40" s="704" t="s">
        <v>14</v>
      </c>
      <c r="S40" s="705">
        <f t="shared" si="10"/>
        <v>100</v>
      </c>
      <c r="T40" s="704" t="s">
        <v>14</v>
      </c>
      <c r="U40" s="705">
        <f t="shared" si="11"/>
        <v>100</v>
      </c>
      <c r="V40" s="704" t="s">
        <v>14</v>
      </c>
      <c r="W40" s="705">
        <f t="shared" si="12"/>
        <v>100</v>
      </c>
      <c r="X40" s="1354"/>
      <c r="Y40" s="377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70"/>
      <c r="Q41" s="1351" t="str">
        <f t="shared" si="14"/>
        <v>宗地开发程度</v>
      </c>
      <c r="R41" s="700" t="s">
        <v>14</v>
      </c>
      <c r="S41" s="701">
        <f t="shared" si="10"/>
        <v>100</v>
      </c>
      <c r="T41" s="700" t="s">
        <v>14</v>
      </c>
      <c r="U41" s="701">
        <f t="shared" si="11"/>
        <v>100</v>
      </c>
      <c r="V41" s="700" t="s">
        <v>14</v>
      </c>
      <c r="W41" s="701">
        <f t="shared" si="12"/>
        <v>100</v>
      </c>
      <c r="X41" s="702"/>
      <c r="Y41" s="3770"/>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70" t="s">
        <v>1696</v>
      </c>
      <c r="Q42" s="1351" t="str">
        <f t="shared" si="14"/>
        <v>工程地质条件</v>
      </c>
      <c r="R42" s="704" t="s">
        <v>14</v>
      </c>
      <c r="S42" s="705">
        <f t="shared" si="10"/>
        <v>100</v>
      </c>
      <c r="T42" s="704" t="s">
        <v>14</v>
      </c>
      <c r="U42" s="705">
        <f t="shared" si="11"/>
        <v>100</v>
      </c>
      <c r="V42" s="704" t="s">
        <v>14</v>
      </c>
      <c r="W42" s="705">
        <f t="shared" si="12"/>
        <v>100</v>
      </c>
      <c r="X42" s="1354"/>
      <c r="Y42" s="3770"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70"/>
      <c r="Q43" s="1351">
        <f t="shared" si="14"/>
        <v>111</v>
      </c>
      <c r="R43" s="704" t="s">
        <v>14</v>
      </c>
      <c r="S43" s="705">
        <f t="shared" si="10"/>
        <v>100</v>
      </c>
      <c r="T43" s="704" t="s">
        <v>14</v>
      </c>
      <c r="U43" s="705">
        <f t="shared" si="11"/>
        <v>100</v>
      </c>
      <c r="V43" s="704" t="s">
        <v>14</v>
      </c>
      <c r="W43" s="705">
        <f t="shared" si="12"/>
        <v>100</v>
      </c>
      <c r="X43" s="1354"/>
      <c r="Y43" s="3770"/>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70"/>
      <c r="Q44" s="1351">
        <f t="shared" si="14"/>
        <v>111</v>
      </c>
      <c r="R44" s="704" t="s">
        <v>14</v>
      </c>
      <c r="S44" s="705">
        <f t="shared" si="10"/>
        <v>100</v>
      </c>
      <c r="T44" s="704" t="s">
        <v>14</v>
      </c>
      <c r="U44" s="705">
        <f t="shared" si="11"/>
        <v>100</v>
      </c>
      <c r="V44" s="704" t="s">
        <v>14</v>
      </c>
      <c r="W44" s="705">
        <f t="shared" si="12"/>
        <v>100</v>
      </c>
      <c r="X44" s="1354"/>
      <c r="Y44" s="3770"/>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70"/>
      <c r="Q45" s="1351">
        <f t="shared" si="14"/>
        <v>111</v>
      </c>
      <c r="R45" s="707" t="s">
        <v>14</v>
      </c>
      <c r="S45" s="708">
        <f t="shared" si="10"/>
        <v>100</v>
      </c>
      <c r="T45" s="707" t="s">
        <v>14</v>
      </c>
      <c r="U45" s="708">
        <f t="shared" si="11"/>
        <v>100</v>
      </c>
      <c r="V45" s="707" t="s">
        <v>14</v>
      </c>
      <c r="W45" s="708">
        <f t="shared" si="12"/>
        <v>100</v>
      </c>
      <c r="X45" s="709"/>
      <c r="Y45" s="3770"/>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63" t="str">
        <f>A46</f>
        <v>成交单价</v>
      </c>
      <c r="Q46" s="3763"/>
      <c r="R46" s="3794">
        <f>E46</f>
        <v>0</v>
      </c>
      <c r="S46" s="3794"/>
      <c r="T46" s="3794">
        <f>G46</f>
        <v>0</v>
      </c>
      <c r="U46" s="3794"/>
      <c r="V46" s="3794">
        <f>I46</f>
        <v>0</v>
      </c>
      <c r="W46" s="3794"/>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63" t="str">
        <f>A47</f>
        <v>比较价值（元/平方米）</v>
      </c>
      <c r="Q47" s="3763"/>
      <c r="R47" s="3824" t="e">
        <f>ROUND(PRODUCT(R46,AA7:AA45),0)</f>
        <v>#DIV/0!</v>
      </c>
      <c r="S47" s="3824"/>
      <c r="T47" s="3824" t="e">
        <f>ROUND(PRODUCT(T46,AB7:AB45),0)</f>
        <v>#DIV/0!</v>
      </c>
      <c r="U47" s="3824"/>
      <c r="V47" s="3824" t="e">
        <f>ROUND(PRODUCT(V46,AC7:AC45),0)</f>
        <v>#DIV/0!</v>
      </c>
      <c r="W47" s="382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60" t="str">
        <f>A48</f>
        <v>估价对象XX用房的比较价值（楼面单价，元/平方米）</v>
      </c>
      <c r="Q48" s="3761"/>
      <c r="R48" s="3825" t="e">
        <f>ROUND(IF(D47="简单平均",AVERAGE(R47:W47),R47*F47+T47*H47+V47*J47),0)</f>
        <v>#DIV/0!</v>
      </c>
      <c r="S48" s="3825"/>
      <c r="T48" s="3825"/>
      <c r="U48" s="3825"/>
      <c r="V48" s="3825"/>
      <c r="W48" s="382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78" t="s">
        <v>1887</v>
      </c>
      <c r="H55" s="382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523.84</v>
      </c>
      <c r="F56" s="885" t="e">
        <f t="shared" ref="F56:F64" si="15">ROUND(B56*E56/10000,0)</f>
        <v>#DIV/0!</v>
      </c>
      <c r="G56" s="3774"/>
      <c r="H56" s="376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三级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三级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三级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三级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523.84</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8" t="s">
        <v>1770</v>
      </c>
      <c r="D4" s="3779"/>
      <c r="E4" s="3780" t="s">
        <v>1771</v>
      </c>
      <c r="F4" s="3781"/>
      <c r="G4" s="3778" t="s">
        <v>1772</v>
      </c>
      <c r="H4" s="3779"/>
      <c r="I4" s="3778" t="s">
        <v>1773</v>
      </c>
      <c r="J4" s="3779"/>
      <c r="K4" s="559" t="s">
        <v>1774</v>
      </c>
      <c r="L4" s="2714"/>
      <c r="M4" s="2715"/>
      <c r="N4" s="2715"/>
      <c r="O4" s="2715"/>
      <c r="P4" s="3782" t="s">
        <v>1775</v>
      </c>
      <c r="Q4" s="3783"/>
      <c r="R4" s="3788" t="s">
        <v>1771</v>
      </c>
      <c r="S4" s="3789"/>
      <c r="T4" s="3788" t="s">
        <v>1772</v>
      </c>
      <c r="U4" s="3789"/>
      <c r="V4" s="3794" t="s">
        <v>1773</v>
      </c>
      <c r="W4" s="3794"/>
      <c r="X4" s="1354"/>
      <c r="Y4" s="3788" t="s">
        <v>1775</v>
      </c>
      <c r="Z4" s="3789"/>
      <c r="AA4" s="3775" t="s">
        <v>1771</v>
      </c>
      <c r="AB4" s="3776" t="s">
        <v>1772</v>
      </c>
      <c r="AC4" s="3775" t="s">
        <v>1773</v>
      </c>
    </row>
    <row r="5" spans="1:29" ht="15">
      <c r="A5" s="358"/>
      <c r="B5" s="359"/>
      <c r="C5" s="3797" t="s">
        <v>1673</v>
      </c>
      <c r="D5" s="3798"/>
      <c r="E5" s="3805" t="s">
        <v>1674</v>
      </c>
      <c r="F5" s="3806"/>
      <c r="G5" s="3797" t="s">
        <v>1675</v>
      </c>
      <c r="H5" s="3798"/>
      <c r="I5" s="3797" t="s">
        <v>1676</v>
      </c>
      <c r="J5" s="3798"/>
      <c r="K5" s="559"/>
      <c r="L5" s="2714"/>
      <c r="M5" s="2715"/>
      <c r="N5" s="2715"/>
      <c r="O5" s="2715"/>
      <c r="P5" s="3784"/>
      <c r="Q5" s="3785"/>
      <c r="R5" s="3790"/>
      <c r="S5" s="3791"/>
      <c r="T5" s="3790"/>
      <c r="U5" s="3791"/>
      <c r="V5" s="3794"/>
      <c r="W5" s="3794"/>
      <c r="X5" s="1354"/>
      <c r="Y5" s="3790"/>
      <c r="Z5" s="3791"/>
      <c r="AA5" s="3776"/>
      <c r="AB5" s="3776"/>
      <c r="AC5" s="3776"/>
    </row>
    <row r="6" spans="1:29" ht="15.75" thickBot="1">
      <c r="A6" s="360"/>
      <c r="B6" s="361"/>
      <c r="C6" s="3827" t="s">
        <v>1919</v>
      </c>
      <c r="D6" s="3828"/>
      <c r="E6" s="3829" t="s">
        <v>1919</v>
      </c>
      <c r="F6" s="3830"/>
      <c r="G6" s="3827" t="s">
        <v>1919</v>
      </c>
      <c r="H6" s="3828"/>
      <c r="I6" s="3827" t="s">
        <v>1919</v>
      </c>
      <c r="J6" s="3828"/>
      <c r="K6" s="559" t="s">
        <v>1678</v>
      </c>
      <c r="L6" s="2714"/>
      <c r="M6" s="2715"/>
      <c r="N6" s="2715"/>
      <c r="O6" s="2715"/>
      <c r="P6" s="3786"/>
      <c r="Q6" s="3787"/>
      <c r="R6" s="3790"/>
      <c r="S6" s="3791"/>
      <c r="T6" s="3792"/>
      <c r="U6" s="3793"/>
      <c r="V6" s="3794"/>
      <c r="W6" s="3794"/>
      <c r="X6" s="1354"/>
      <c r="Y6" s="3792"/>
      <c r="Z6" s="3793"/>
      <c r="AA6" s="3777"/>
      <c r="AB6" s="3777"/>
      <c r="AC6" s="3777"/>
    </row>
    <row r="7" spans="1:29" s="108" customFormat="1" ht="15.75" thickBot="1">
      <c r="A7" s="362" t="s">
        <v>1679</v>
      </c>
      <c r="B7" s="363"/>
      <c r="C7" s="364">
        <f>'数据-取费表'!B2</f>
        <v>45062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99" t="s">
        <v>1680</v>
      </c>
      <c r="Q7" s="3801"/>
      <c r="R7" s="700" t="s">
        <v>14</v>
      </c>
      <c r="S7" s="701">
        <f t="shared" ref="S7:S15" si="0">F7</f>
        <v>0</v>
      </c>
      <c r="T7" s="700" t="s">
        <v>14</v>
      </c>
      <c r="U7" s="701">
        <f t="shared" ref="U7:U15" si="1">H7</f>
        <v>0</v>
      </c>
      <c r="V7" s="700" t="s">
        <v>14</v>
      </c>
      <c r="W7" s="701">
        <f t="shared" ref="W7:W15" si="2">J7</f>
        <v>0</v>
      </c>
      <c r="X7" s="702"/>
      <c r="Y7" s="3799" t="s">
        <v>1680</v>
      </c>
      <c r="Z7" s="380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99" t="s">
        <v>1683</v>
      </c>
      <c r="Q8" s="3800"/>
      <c r="R8" s="700" t="s">
        <v>14</v>
      </c>
      <c r="S8" s="701">
        <f t="shared" si="0"/>
        <v>0</v>
      </c>
      <c r="T8" s="700" t="s">
        <v>14</v>
      </c>
      <c r="U8" s="701">
        <f t="shared" si="1"/>
        <v>0</v>
      </c>
      <c r="V8" s="700" t="s">
        <v>14</v>
      </c>
      <c r="W8" s="701">
        <f t="shared" si="2"/>
        <v>0</v>
      </c>
      <c r="X8" s="702"/>
      <c r="Y8" s="3799" t="s">
        <v>1683</v>
      </c>
      <c r="Z8" s="380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63"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8"/>
      <c r="M10" s="2719"/>
      <c r="N10" s="2719"/>
      <c r="O10" s="2772"/>
      <c r="P10" s="3763"/>
      <c r="Q10" s="1342" t="str">
        <f t="shared" si="6"/>
        <v>土地使用年限（年）</v>
      </c>
      <c r="R10" s="700" t="s">
        <v>14</v>
      </c>
      <c r="S10" s="701" t="e">
        <f t="shared" si="0"/>
        <v>#DIV/0!</v>
      </c>
      <c r="T10" s="700" t="s">
        <v>14</v>
      </c>
      <c r="U10" s="701" t="e">
        <f t="shared" si="1"/>
        <v>#DIV/0!</v>
      </c>
      <c r="V10" s="700" t="s">
        <v>14</v>
      </c>
      <c r="W10" s="701" t="e">
        <f t="shared" si="2"/>
        <v>#DIV/0!</v>
      </c>
      <c r="X10" s="702"/>
      <c r="Y10" s="3641"/>
      <c r="Z10" s="52" t="str">
        <f t="shared" si="7"/>
        <v>土地使用年限（年）</v>
      </c>
      <c r="AA10" s="703" t="e">
        <f t="shared" si="3"/>
        <v>#DIV/0!</v>
      </c>
      <c r="AB10" s="703" t="e">
        <f t="shared" si="4"/>
        <v>#DIV/0!</v>
      </c>
      <c r="AC10" s="703"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63"/>
      <c r="Q11" s="1342" t="str">
        <f t="shared" si="6"/>
        <v>容积率</v>
      </c>
      <c r="R11" s="700" t="s">
        <v>14</v>
      </c>
      <c r="S11" s="701" t="e">
        <f t="shared" si="0"/>
        <v>#N/A</v>
      </c>
      <c r="T11" s="700" t="s">
        <v>14</v>
      </c>
      <c r="U11" s="701" t="e">
        <f t="shared" si="1"/>
        <v>#N/A</v>
      </c>
      <c r="V11" s="700" t="s">
        <v>14</v>
      </c>
      <c r="W11" s="701" t="e">
        <f t="shared" si="2"/>
        <v>#N/A</v>
      </c>
      <c r="X11" s="702"/>
      <c r="Y11" s="364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63"/>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63"/>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63"/>
      <c r="Q14" s="1342">
        <f t="shared" si="6"/>
        <v>111</v>
      </c>
      <c r="R14" s="700" t="s">
        <v>14</v>
      </c>
      <c r="S14" s="701">
        <f t="shared" si="0"/>
        <v>100</v>
      </c>
      <c r="T14" s="700" t="s">
        <v>14</v>
      </c>
      <c r="U14" s="701">
        <f t="shared" si="1"/>
        <v>100</v>
      </c>
      <c r="V14" s="700" t="s">
        <v>14</v>
      </c>
      <c r="W14" s="701">
        <f t="shared" si="2"/>
        <v>100</v>
      </c>
      <c r="X14" s="702"/>
      <c r="Y14" s="3641"/>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65" t="s">
        <v>1691</v>
      </c>
      <c r="Q15" s="1351" t="str">
        <f t="shared" si="6"/>
        <v>产业集聚程度</v>
      </c>
      <c r="R15" s="704" t="s">
        <v>14</v>
      </c>
      <c r="S15" s="705">
        <f t="shared" si="0"/>
        <v>100</v>
      </c>
      <c r="T15" s="704" t="s">
        <v>14</v>
      </c>
      <c r="U15" s="705">
        <f t="shared" si="1"/>
        <v>100</v>
      </c>
      <c r="V15" s="704" t="s">
        <v>14</v>
      </c>
      <c r="W15" s="705">
        <f t="shared" si="2"/>
        <v>100</v>
      </c>
      <c r="X15" s="1354"/>
      <c r="Y15" s="3765"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66"/>
      <c r="Q16" s="1351"/>
      <c r="R16" s="704"/>
      <c r="S16" s="705"/>
      <c r="T16" s="704"/>
      <c r="U16" s="705"/>
      <c r="V16" s="704"/>
      <c r="W16" s="705"/>
      <c r="X16" s="1354"/>
      <c r="Y16" s="3766"/>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66"/>
      <c r="Q17" s="1351" t="str">
        <f>B17</f>
        <v>交通便捷度</v>
      </c>
      <c r="R17" s="704" t="s">
        <v>14</v>
      </c>
      <c r="S17" s="705">
        <f>F17</f>
        <v>100</v>
      </c>
      <c r="T17" s="704" t="s">
        <v>14</v>
      </c>
      <c r="U17" s="705">
        <f>H17</f>
        <v>100</v>
      </c>
      <c r="V17" s="704" t="s">
        <v>14</v>
      </c>
      <c r="W17" s="705">
        <f>J17</f>
        <v>100</v>
      </c>
      <c r="X17" s="1354"/>
      <c r="Y17" s="3766"/>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66"/>
      <c r="Q18" s="1351"/>
      <c r="R18" s="704"/>
      <c r="S18" s="705"/>
      <c r="T18" s="704"/>
      <c r="U18" s="705"/>
      <c r="V18" s="704"/>
      <c r="W18" s="705"/>
      <c r="X18" s="1354"/>
      <c r="Y18" s="3766"/>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66"/>
      <c r="Q19" s="1351" t="str">
        <f t="shared" ref="Q19:Q33" si="8">B19</f>
        <v>区域土地利用方向</v>
      </c>
      <c r="R19" s="704" t="s">
        <v>14</v>
      </c>
      <c r="S19" s="705">
        <f>F19</f>
        <v>100</v>
      </c>
      <c r="T19" s="704" t="s">
        <v>14</v>
      </c>
      <c r="U19" s="705">
        <f>H19</f>
        <v>100</v>
      </c>
      <c r="V19" s="704" t="s">
        <v>14</v>
      </c>
      <c r="W19" s="705">
        <f>J19</f>
        <v>100</v>
      </c>
      <c r="X19" s="1354"/>
      <c r="Y19" s="3766"/>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66"/>
      <c r="Q20" s="1351"/>
      <c r="R20" s="704"/>
      <c r="S20" s="705"/>
      <c r="T20" s="704"/>
      <c r="U20" s="705"/>
      <c r="V20" s="704"/>
      <c r="W20" s="705"/>
      <c r="X20" s="1354"/>
      <c r="Y20" s="3766"/>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66"/>
      <c r="Q21" s="1351" t="str">
        <f t="shared" si="8"/>
        <v>环境状况</v>
      </c>
      <c r="R21" s="704" t="s">
        <v>14</v>
      </c>
      <c r="S21" s="705">
        <f>F21</f>
        <v>100</v>
      </c>
      <c r="T21" s="704" t="s">
        <v>14</v>
      </c>
      <c r="U21" s="705">
        <f>H21</f>
        <v>100</v>
      </c>
      <c r="V21" s="704" t="s">
        <v>14</v>
      </c>
      <c r="W21" s="705">
        <f>J21</f>
        <v>100</v>
      </c>
      <c r="X21" s="1354"/>
      <c r="Y21" s="3766"/>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66"/>
      <c r="Q22" s="1351"/>
      <c r="R22" s="704"/>
      <c r="S22" s="705"/>
      <c r="T22" s="704"/>
      <c r="U22" s="705"/>
      <c r="V22" s="704"/>
      <c r="W22" s="705"/>
      <c r="X22" s="1354"/>
      <c r="Y22" s="3766"/>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66"/>
      <c r="Q23" s="1342" t="str">
        <f t="shared" si="8"/>
        <v>公共配套设施</v>
      </c>
      <c r="R23" s="700" t="s">
        <v>14</v>
      </c>
      <c r="S23" s="701">
        <f>F23</f>
        <v>100</v>
      </c>
      <c r="T23" s="700" t="s">
        <v>14</v>
      </c>
      <c r="U23" s="701">
        <f>H23</f>
        <v>100</v>
      </c>
      <c r="V23" s="700" t="s">
        <v>14</v>
      </c>
      <c r="W23" s="701">
        <f>J23</f>
        <v>100</v>
      </c>
      <c r="X23" s="702"/>
      <c r="Y23" s="3766"/>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66"/>
      <c r="Q24" s="1342"/>
      <c r="R24" s="700"/>
      <c r="S24" s="701"/>
      <c r="T24" s="700"/>
      <c r="U24" s="701"/>
      <c r="V24" s="700"/>
      <c r="W24" s="701"/>
      <c r="X24" s="702"/>
      <c r="Y24" s="3766"/>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66"/>
      <c r="Q25" s="1342" t="str">
        <f t="shared" ref="Q25" si="9">B25</f>
        <v>基础设施水平</v>
      </c>
      <c r="R25" s="700" t="s">
        <v>14</v>
      </c>
      <c r="S25" s="701">
        <f>F25</f>
        <v>100</v>
      </c>
      <c r="T25" s="700" t="s">
        <v>14</v>
      </c>
      <c r="U25" s="701">
        <f>H25</f>
        <v>100</v>
      </c>
      <c r="V25" s="700" t="s">
        <v>14</v>
      </c>
      <c r="W25" s="701">
        <f>J25</f>
        <v>100</v>
      </c>
      <c r="X25" s="702"/>
      <c r="Y25" s="3766"/>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66"/>
      <c r="Q26" s="1342"/>
      <c r="R26" s="700"/>
      <c r="S26" s="701"/>
      <c r="T26" s="700"/>
      <c r="U26" s="701"/>
      <c r="V26" s="700"/>
      <c r="W26" s="701"/>
      <c r="X26" s="702"/>
      <c r="Y26" s="3766"/>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6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66"/>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66"/>
      <c r="Q28" s="1351" t="str">
        <f t="shared" si="8"/>
        <v>毗邻道路的类型与等级</v>
      </c>
      <c r="R28" s="704" t="s">
        <v>14</v>
      </c>
      <c r="S28" s="705">
        <f t="shared" si="10"/>
        <v>100</v>
      </c>
      <c r="T28" s="704" t="s">
        <v>14</v>
      </c>
      <c r="U28" s="705">
        <f t="shared" si="11"/>
        <v>100</v>
      </c>
      <c r="V28" s="704" t="s">
        <v>14</v>
      </c>
      <c r="W28" s="705">
        <f t="shared" si="12"/>
        <v>100</v>
      </c>
      <c r="X28" s="1354"/>
      <c r="Y28" s="3766"/>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66"/>
      <c r="Q29" s="1351"/>
      <c r="R29" s="704"/>
      <c r="S29" s="705"/>
      <c r="T29" s="704"/>
      <c r="U29" s="705"/>
      <c r="V29" s="704"/>
      <c r="W29" s="705"/>
      <c r="X29" s="1354"/>
      <c r="Y29" s="3766"/>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66"/>
      <c r="Q30" s="1351" t="str">
        <f t="shared" si="8"/>
        <v>土地级别</v>
      </c>
      <c r="R30" s="704" t="s">
        <v>14</v>
      </c>
      <c r="S30" s="705">
        <f t="shared" si="10"/>
        <v>100</v>
      </c>
      <c r="T30" s="704" t="s">
        <v>14</v>
      </c>
      <c r="U30" s="705">
        <f t="shared" si="11"/>
        <v>100</v>
      </c>
      <c r="V30" s="704" t="s">
        <v>14</v>
      </c>
      <c r="W30" s="705">
        <f t="shared" si="12"/>
        <v>100</v>
      </c>
      <c r="X30" s="1354"/>
      <c r="Y30" s="3766"/>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66"/>
      <c r="Q31" s="1351">
        <f t="shared" si="8"/>
        <v>111</v>
      </c>
      <c r="R31" s="704" t="s">
        <v>14</v>
      </c>
      <c r="S31" s="705">
        <f t="shared" si="10"/>
        <v>100</v>
      </c>
      <c r="T31" s="704" t="s">
        <v>14</v>
      </c>
      <c r="U31" s="705">
        <f t="shared" si="11"/>
        <v>100</v>
      </c>
      <c r="V31" s="704" t="s">
        <v>14</v>
      </c>
      <c r="W31" s="705">
        <f t="shared" si="12"/>
        <v>100</v>
      </c>
      <c r="X31" s="1354"/>
      <c r="Y31" s="3766"/>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822" t="s">
        <v>1696</v>
      </c>
      <c r="Q32" s="1351">
        <f t="shared" si="8"/>
        <v>111</v>
      </c>
      <c r="R32" s="704" t="s">
        <v>14</v>
      </c>
      <c r="S32" s="705">
        <f t="shared" si="10"/>
        <v>100</v>
      </c>
      <c r="T32" s="704" t="s">
        <v>14</v>
      </c>
      <c r="U32" s="705">
        <f t="shared" si="11"/>
        <v>100</v>
      </c>
      <c r="V32" s="704" t="s">
        <v>14</v>
      </c>
      <c r="W32" s="705">
        <f t="shared" si="12"/>
        <v>100</v>
      </c>
      <c r="X32" s="1354"/>
      <c r="Y32" s="3770"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70"/>
      <c r="Q33" s="1351">
        <f t="shared" si="8"/>
        <v>111</v>
      </c>
      <c r="R33" s="707" t="s">
        <v>14</v>
      </c>
      <c r="S33" s="708">
        <f t="shared" si="10"/>
        <v>100</v>
      </c>
      <c r="T33" s="707" t="s">
        <v>14</v>
      </c>
      <c r="U33" s="708">
        <f t="shared" si="11"/>
        <v>100</v>
      </c>
      <c r="V33" s="707" t="s">
        <v>14</v>
      </c>
      <c r="W33" s="708">
        <f t="shared" si="12"/>
        <v>100</v>
      </c>
      <c r="X33" s="709"/>
      <c r="Y33" s="3770"/>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70"/>
      <c r="Q34" s="1351" t="str">
        <f>B34</f>
        <v>宗地面积</v>
      </c>
      <c r="R34" s="704" t="s">
        <v>14</v>
      </c>
      <c r="S34" s="705" t="e">
        <f t="shared" si="10"/>
        <v>#N/A</v>
      </c>
      <c r="T34" s="704" t="s">
        <v>14</v>
      </c>
      <c r="U34" s="705" t="e">
        <f t="shared" si="11"/>
        <v>#N/A</v>
      </c>
      <c r="V34" s="704" t="s">
        <v>14</v>
      </c>
      <c r="W34" s="705" t="e">
        <f t="shared" si="12"/>
        <v>#N/A</v>
      </c>
      <c r="X34" s="1354"/>
      <c r="Y34" s="377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70"/>
      <c r="Q35" s="1351" t="str">
        <f t="shared" ref="Q35:Q40" si="14">B35</f>
        <v>宗地形状</v>
      </c>
      <c r="R35" s="704" t="s">
        <v>14</v>
      </c>
      <c r="S35" s="705">
        <f t="shared" si="10"/>
        <v>100</v>
      </c>
      <c r="T35" s="704" t="s">
        <v>14</v>
      </c>
      <c r="U35" s="705">
        <f t="shared" si="11"/>
        <v>100</v>
      </c>
      <c r="V35" s="704" t="s">
        <v>14</v>
      </c>
      <c r="W35" s="705">
        <f t="shared" si="12"/>
        <v>100</v>
      </c>
      <c r="X35" s="1354"/>
      <c r="Y35" s="377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70"/>
      <c r="Q36" s="1351" t="str">
        <f t="shared" si="14"/>
        <v>宗地开发程度</v>
      </c>
      <c r="R36" s="700" t="s">
        <v>14</v>
      </c>
      <c r="S36" s="701">
        <f t="shared" si="10"/>
        <v>100</v>
      </c>
      <c r="T36" s="700" t="s">
        <v>14</v>
      </c>
      <c r="U36" s="701">
        <f t="shared" si="11"/>
        <v>100</v>
      </c>
      <c r="V36" s="700" t="s">
        <v>14</v>
      </c>
      <c r="W36" s="701">
        <f t="shared" si="12"/>
        <v>100</v>
      </c>
      <c r="X36" s="702"/>
      <c r="Y36" s="3770"/>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70" t="s">
        <v>1696</v>
      </c>
      <c r="Q37" s="1351" t="str">
        <f t="shared" si="14"/>
        <v>工程地质条件</v>
      </c>
      <c r="R37" s="704" t="s">
        <v>14</v>
      </c>
      <c r="S37" s="705">
        <f t="shared" si="10"/>
        <v>100</v>
      </c>
      <c r="T37" s="704" t="s">
        <v>14</v>
      </c>
      <c r="U37" s="705">
        <f t="shared" si="11"/>
        <v>100</v>
      </c>
      <c r="V37" s="704" t="s">
        <v>14</v>
      </c>
      <c r="W37" s="705">
        <f t="shared" si="12"/>
        <v>100</v>
      </c>
      <c r="X37" s="1354"/>
      <c r="Y37" s="3770"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70"/>
      <c r="Q38" s="1351">
        <f t="shared" si="14"/>
        <v>111</v>
      </c>
      <c r="R38" s="704" t="s">
        <v>14</v>
      </c>
      <c r="S38" s="705">
        <f t="shared" si="10"/>
        <v>100</v>
      </c>
      <c r="T38" s="704" t="s">
        <v>14</v>
      </c>
      <c r="U38" s="705">
        <f t="shared" si="11"/>
        <v>100</v>
      </c>
      <c r="V38" s="704" t="s">
        <v>14</v>
      </c>
      <c r="W38" s="705">
        <f t="shared" si="12"/>
        <v>100</v>
      </c>
      <c r="X38" s="1354"/>
      <c r="Y38" s="3770"/>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70"/>
      <c r="Q39" s="1351">
        <f t="shared" si="14"/>
        <v>111</v>
      </c>
      <c r="R39" s="704" t="s">
        <v>14</v>
      </c>
      <c r="S39" s="705">
        <f t="shared" si="10"/>
        <v>100</v>
      </c>
      <c r="T39" s="704" t="s">
        <v>14</v>
      </c>
      <c r="U39" s="705">
        <f t="shared" si="11"/>
        <v>100</v>
      </c>
      <c r="V39" s="704" t="s">
        <v>14</v>
      </c>
      <c r="W39" s="705">
        <f t="shared" si="12"/>
        <v>100</v>
      </c>
      <c r="X39" s="1354"/>
      <c r="Y39" s="3770"/>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70"/>
      <c r="Q40" s="1351">
        <f t="shared" si="14"/>
        <v>111</v>
      </c>
      <c r="R40" s="707" t="s">
        <v>14</v>
      </c>
      <c r="S40" s="708">
        <f t="shared" si="10"/>
        <v>100</v>
      </c>
      <c r="T40" s="707" t="s">
        <v>14</v>
      </c>
      <c r="U40" s="708">
        <f t="shared" si="11"/>
        <v>100</v>
      </c>
      <c r="V40" s="707" t="s">
        <v>14</v>
      </c>
      <c r="W40" s="708">
        <f t="shared" si="12"/>
        <v>100</v>
      </c>
      <c r="X40" s="709"/>
      <c r="Y40" s="3770"/>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63" t="str">
        <f>A41</f>
        <v>成交单价</v>
      </c>
      <c r="Q41" s="3763"/>
      <c r="R41" s="3794">
        <f>E41</f>
        <v>0</v>
      </c>
      <c r="S41" s="3794"/>
      <c r="T41" s="3794">
        <f>G41</f>
        <v>0</v>
      </c>
      <c r="U41" s="3794"/>
      <c r="V41" s="3794">
        <f>I41</f>
        <v>0</v>
      </c>
      <c r="W41" s="3794"/>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63" t="str">
        <f>A42</f>
        <v>比较价值（元/平方米）</v>
      </c>
      <c r="Q42" s="3763"/>
      <c r="R42" s="3824" t="e">
        <f>ROUND(PRODUCT(R41,AA7:AA40),0)</f>
        <v>#DIV/0!</v>
      </c>
      <c r="S42" s="3824"/>
      <c r="T42" s="3824" t="e">
        <f>ROUND(PRODUCT(T41,AB7:AB40),0)</f>
        <v>#DIV/0!</v>
      </c>
      <c r="U42" s="3824"/>
      <c r="V42" s="3824" t="e">
        <f>ROUND(PRODUCT(V41,AC7:AC40),0)</f>
        <v>#DIV/0!</v>
      </c>
      <c r="W42" s="382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60" t="str">
        <f>A43</f>
        <v>估价对象XX用房的比较价值（楼面单价，元/平方米）</v>
      </c>
      <c r="Q43" s="3761"/>
      <c r="R43" s="3825" t="e">
        <f>ROUND(IF(D42="简单平均",AVERAGE(R42:W42),R42*F42+T42*H42+V42*J42),0)</f>
        <v>#DIV/0!</v>
      </c>
      <c r="S43" s="3825"/>
      <c r="T43" s="3825"/>
      <c r="U43" s="3825"/>
      <c r="V43" s="3825"/>
      <c r="W43" s="382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78" t="s">
        <v>1887</v>
      </c>
      <c r="H50" s="382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523.84</v>
      </c>
      <c r="F51" s="638" t="e">
        <f t="shared" ref="F51:F60" si="15">ROUND(B51*E51/10000,0)</f>
        <v>#DIV/0!</v>
      </c>
      <c r="G51" s="3774"/>
      <c r="H51" s="376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三级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三级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三级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三级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834" t="s">
        <v>2084</v>
      </c>
      <c r="D1" s="3835"/>
      <c r="E1" s="3835"/>
      <c r="F1" s="3835"/>
      <c r="G1" s="3835"/>
      <c r="H1" s="3835"/>
      <c r="I1" s="3835"/>
      <c r="J1" s="3835"/>
      <c r="K1" s="3835"/>
      <c r="L1" s="3835"/>
      <c r="M1" s="3835"/>
      <c r="N1" s="3835"/>
      <c r="O1" s="3835"/>
      <c r="P1" s="3835"/>
      <c r="Q1" s="3835"/>
      <c r="R1" s="3835"/>
      <c r="S1" s="383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831" t="s">
        <v>27</v>
      </c>
      <c r="D22" s="3832"/>
      <c r="E22" s="3832"/>
      <c r="F22" s="3832"/>
      <c r="G22" s="3832"/>
      <c r="H22" s="3832"/>
      <c r="I22" s="3832"/>
      <c r="J22" s="3832"/>
      <c r="K22" s="3832"/>
      <c r="L22" s="3832"/>
      <c r="M22" s="3832"/>
      <c r="N22" s="3832"/>
      <c r="O22" s="3832"/>
      <c r="P22" s="3832"/>
      <c r="Q22" s="383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1410</v>
      </c>
      <c r="C2" s="2144" t="s">
        <v>2074</v>
      </c>
      <c r="D2" s="2144" t="s">
        <v>2075</v>
      </c>
      <c r="E2" s="2611">
        <f ca="1">SUMIF(E6:E13,"&lt;&gt;#ref!",E6:E13)</f>
        <v>1068.98</v>
      </c>
      <c r="F2" s="2792"/>
      <c r="G2" s="2792"/>
      <c r="H2" s="2792"/>
      <c r="I2" s="2792"/>
      <c r="J2" s="2792"/>
      <c r="K2" s="2792"/>
      <c r="L2" s="2792"/>
      <c r="M2" s="2792"/>
      <c r="N2" s="2792"/>
      <c r="O2" s="2792"/>
      <c r="P2" s="2792"/>
    </row>
    <row r="3" spans="1:16" ht="15.75">
      <c r="A3" s="2144" t="s">
        <v>2076</v>
      </c>
      <c r="B3" s="2601">
        <f ca="1">ROUND(B2*10000/E2,0)</f>
        <v>13190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1410</v>
      </c>
      <c r="C6" s="2144" t="s">
        <v>2074</v>
      </c>
      <c r="D6" s="2792"/>
      <c r="E6" s="2611">
        <f ca="1">SUMIF(INDIRECT("'"&amp;A6&amp;"'"&amp;"!C:C"),"建筑面积",INDIRECT("'"&amp;A6&amp;"'"&amp;"!D:D"))</f>
        <v>1068.98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46" t="s">
        <v>2601</v>
      </c>
      <c r="B20" s="3841" t="s">
        <v>2622</v>
      </c>
      <c r="C20" s="3102" t="s">
        <v>2433</v>
      </c>
      <c r="D20" s="3103"/>
      <c r="E20" s="3104">
        <v>1</v>
      </c>
      <c r="F20" s="3105" t="s">
        <v>2434</v>
      </c>
      <c r="G20" s="3105"/>
    </row>
    <row r="21" spans="1:13" ht="19.5" customHeight="1">
      <c r="A21" s="3847"/>
      <c r="B21" s="3840"/>
      <c r="C21" s="3106" t="s">
        <v>2435</v>
      </c>
      <c r="D21" s="3107"/>
      <c r="E21" s="3108">
        <v>1</v>
      </c>
      <c r="F21" s="3105" t="s">
        <v>2436</v>
      </c>
      <c r="G21" s="3105"/>
    </row>
    <row r="22" spans="1:13" ht="19.5" customHeight="1">
      <c r="A22" s="3847"/>
      <c r="B22" s="3840"/>
      <c r="C22" s="3106" t="s">
        <v>2437</v>
      </c>
      <c r="D22" s="3107"/>
      <c r="E22" s="3108">
        <v>0.9</v>
      </c>
      <c r="F22" s="3105" t="s">
        <v>2438</v>
      </c>
      <c r="G22" s="3105"/>
    </row>
    <row r="23" spans="1:13" ht="19.5" customHeight="1">
      <c r="A23" s="3847"/>
      <c r="B23" s="3840"/>
      <c r="C23" s="3106" t="s">
        <v>2439</v>
      </c>
      <c r="D23" s="3107"/>
      <c r="E23" s="3108">
        <v>0.9</v>
      </c>
      <c r="F23" s="3105" t="s">
        <v>2440</v>
      </c>
      <c r="G23" s="3105"/>
    </row>
    <row r="24" spans="1:13" ht="19.5" customHeight="1">
      <c r="A24" s="3847"/>
      <c r="B24" s="3840"/>
      <c r="C24" s="3106" t="s">
        <v>2441</v>
      </c>
      <c r="D24" s="3107"/>
      <c r="E24" s="3108">
        <v>0.8</v>
      </c>
      <c r="F24" s="3105" t="s">
        <v>2442</v>
      </c>
      <c r="G24" s="3105"/>
    </row>
    <row r="25" spans="1:13" ht="19.5" customHeight="1" thickBot="1">
      <c r="A25" s="3848"/>
      <c r="B25" s="3842"/>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43" t="s">
        <v>2625</v>
      </c>
      <c r="B27" s="3841" t="s">
        <v>2606</v>
      </c>
      <c r="C27" s="3102" t="s">
        <v>2446</v>
      </c>
      <c r="D27" s="3103"/>
      <c r="E27" s="3104">
        <v>1</v>
      </c>
      <c r="F27" s="3105" t="s">
        <v>2447</v>
      </c>
      <c r="G27" s="3105"/>
    </row>
    <row r="28" spans="1:13" ht="19.5" customHeight="1">
      <c r="A28" s="3844"/>
      <c r="B28" s="3840"/>
      <c r="C28" s="3106" t="s">
        <v>2448</v>
      </c>
      <c r="D28" s="3107"/>
      <c r="E28" s="3108">
        <v>1</v>
      </c>
      <c r="F28" s="3105" t="s">
        <v>2449</v>
      </c>
      <c r="G28" s="3105"/>
    </row>
    <row r="29" spans="1:13" ht="19.5" customHeight="1">
      <c r="A29" s="3844"/>
      <c r="B29" s="3840"/>
      <c r="C29" s="3106" t="s">
        <v>2450</v>
      </c>
      <c r="D29" s="3107"/>
      <c r="E29" s="3108">
        <v>0.8</v>
      </c>
      <c r="F29" s="3105" t="s">
        <v>2451</v>
      </c>
      <c r="G29" s="3105"/>
    </row>
    <row r="30" spans="1:13" ht="19.5" customHeight="1">
      <c r="A30" s="3844"/>
      <c r="B30" s="3840"/>
      <c r="C30" s="3106" t="s">
        <v>2452</v>
      </c>
      <c r="D30" s="3107"/>
      <c r="E30" s="3108">
        <v>0.8</v>
      </c>
      <c r="F30" s="3105" t="s">
        <v>2453</v>
      </c>
      <c r="G30" s="3105"/>
    </row>
    <row r="31" spans="1:13" ht="19.5" customHeight="1">
      <c r="A31" s="3844"/>
      <c r="B31" s="3840"/>
      <c r="C31" s="3106" t="s">
        <v>2454</v>
      </c>
      <c r="D31" s="3107"/>
      <c r="E31" s="3108">
        <v>0.8</v>
      </c>
      <c r="F31" s="3105" t="s">
        <v>2455</v>
      </c>
      <c r="G31" s="3105"/>
    </row>
    <row r="32" spans="1:13" ht="19.5" customHeight="1">
      <c r="A32" s="3844"/>
      <c r="B32" s="3840"/>
      <c r="C32" s="3106" t="s">
        <v>2456</v>
      </c>
      <c r="D32" s="3107"/>
      <c r="E32" s="3108">
        <v>0.7</v>
      </c>
      <c r="F32" s="3105" t="s">
        <v>2457</v>
      </c>
      <c r="G32" s="3105"/>
    </row>
    <row r="33" spans="1:7" ht="19.5" customHeight="1">
      <c r="A33" s="3844"/>
      <c r="B33" s="3840"/>
      <c r="C33" s="3106" t="s">
        <v>2458</v>
      </c>
      <c r="D33" s="3107"/>
      <c r="E33" s="3108">
        <v>0.8</v>
      </c>
      <c r="F33" s="3105" t="s">
        <v>2459</v>
      </c>
      <c r="G33" s="3105"/>
    </row>
    <row r="34" spans="1:7" ht="19.5" customHeight="1">
      <c r="A34" s="3844"/>
      <c r="B34" s="3840"/>
      <c r="C34" s="3106" t="s">
        <v>2460</v>
      </c>
      <c r="D34" s="3107"/>
      <c r="E34" s="3108">
        <v>0.6</v>
      </c>
      <c r="F34" s="3105" t="s">
        <v>2461</v>
      </c>
      <c r="G34" s="3105"/>
    </row>
    <row r="35" spans="1:7" ht="19.5" customHeight="1">
      <c r="A35" s="3844"/>
      <c r="B35" s="3840"/>
      <c r="C35" s="3106" t="s">
        <v>2462</v>
      </c>
      <c r="D35" s="3107"/>
      <c r="E35" s="3108">
        <v>0.2</v>
      </c>
      <c r="F35" s="3105" t="s">
        <v>2463</v>
      </c>
      <c r="G35" s="3105"/>
    </row>
    <row r="36" spans="1:7" ht="19.5" customHeight="1">
      <c r="A36" s="3844"/>
      <c r="B36" s="3840"/>
      <c r="C36" s="3106" t="s">
        <v>2464</v>
      </c>
      <c r="D36" s="3107"/>
      <c r="E36" s="3108">
        <v>0.2</v>
      </c>
      <c r="F36" s="3105" t="s">
        <v>2465</v>
      </c>
      <c r="G36" s="3105"/>
    </row>
    <row r="37" spans="1:7" ht="19.5" customHeight="1">
      <c r="A37" s="3844"/>
      <c r="B37" s="3838" t="s">
        <v>2626</v>
      </c>
      <c r="C37" s="3106" t="s">
        <v>2466</v>
      </c>
      <c r="D37" s="3107"/>
      <c r="E37" s="3108">
        <v>0.6</v>
      </c>
      <c r="F37" s="3105" t="s">
        <v>2467</v>
      </c>
      <c r="G37" s="3105"/>
    </row>
    <row r="38" spans="1:7" ht="19.5" customHeight="1">
      <c r="A38" s="3844"/>
      <c r="B38" s="3840"/>
      <c r="C38" s="3106" t="s">
        <v>2468</v>
      </c>
      <c r="D38" s="3107"/>
      <c r="E38" s="3108">
        <v>0.6</v>
      </c>
      <c r="F38" s="3105" t="s">
        <v>2469</v>
      </c>
      <c r="G38" s="3105"/>
    </row>
    <row r="39" spans="1:7" ht="19.5" customHeight="1" thickBot="1">
      <c r="A39" s="3845"/>
      <c r="B39" s="3842"/>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46" t="s">
        <v>2604</v>
      </c>
      <c r="B41" s="3841" t="s">
        <v>2628</v>
      </c>
      <c r="C41" s="3102" t="s">
        <v>2473</v>
      </c>
      <c r="D41" s="3103"/>
      <c r="E41" s="3104">
        <v>1</v>
      </c>
      <c r="F41" s="3105" t="s">
        <v>2474</v>
      </c>
      <c r="G41" s="3105"/>
    </row>
    <row r="42" spans="1:7" ht="19.5" customHeight="1">
      <c r="A42" s="3847"/>
      <c r="B42" s="3840"/>
      <c r="C42" s="3106" t="s">
        <v>2475</v>
      </c>
      <c r="D42" s="3107"/>
      <c r="E42" s="3108">
        <v>1</v>
      </c>
      <c r="F42" s="3105" t="s">
        <v>2476</v>
      </c>
      <c r="G42" s="3105"/>
    </row>
    <row r="43" spans="1:7" ht="19.5" customHeight="1">
      <c r="A43" s="3847"/>
      <c r="B43" s="3839"/>
      <c r="C43" s="3106" t="s">
        <v>2477</v>
      </c>
      <c r="D43" s="3107"/>
      <c r="E43" s="3108">
        <v>1.5</v>
      </c>
      <c r="F43" s="3105" t="s">
        <v>2478</v>
      </c>
      <c r="G43" s="3105"/>
    </row>
    <row r="44" spans="1:7" ht="19.5" customHeight="1">
      <c r="A44" s="3847"/>
      <c r="B44" s="3117" t="s">
        <v>2629</v>
      </c>
      <c r="C44" s="3106" t="s">
        <v>2630</v>
      </c>
      <c r="D44" s="3107"/>
      <c r="E44" s="3108">
        <v>2</v>
      </c>
      <c r="F44" s="3105" t="s">
        <v>2479</v>
      </c>
      <c r="G44" s="3105"/>
    </row>
    <row r="45" spans="1:7" ht="19.5" customHeight="1">
      <c r="A45" s="3847"/>
      <c r="B45" s="3838" t="s">
        <v>2631</v>
      </c>
      <c r="C45" s="3106" t="s">
        <v>2480</v>
      </c>
      <c r="D45" s="3107"/>
      <c r="E45" s="3108">
        <v>1</v>
      </c>
      <c r="F45" s="3105" t="s">
        <v>2481</v>
      </c>
      <c r="G45" s="3105"/>
    </row>
    <row r="46" spans="1:7" ht="19.5" customHeight="1">
      <c r="A46" s="3847"/>
      <c r="B46" s="3840"/>
      <c r="C46" s="3106" t="s">
        <v>2482</v>
      </c>
      <c r="D46" s="3107"/>
      <c r="E46" s="3108">
        <v>1</v>
      </c>
      <c r="F46" s="3105" t="s">
        <v>2483</v>
      </c>
      <c r="G46" s="3105"/>
    </row>
    <row r="47" spans="1:7" ht="19.5" customHeight="1">
      <c r="A47" s="3847"/>
      <c r="B47" s="3840"/>
      <c r="C47" s="3106" t="s">
        <v>2484</v>
      </c>
      <c r="D47" s="3107"/>
      <c r="E47" s="3108">
        <v>1</v>
      </c>
      <c r="F47" s="3105" t="s">
        <v>2485</v>
      </c>
      <c r="G47" s="3105"/>
    </row>
    <row r="48" spans="1:7" ht="19.5" customHeight="1">
      <c r="A48" s="3847"/>
      <c r="B48" s="3840"/>
      <c r="C48" s="3106" t="s">
        <v>2486</v>
      </c>
      <c r="D48" s="3107"/>
      <c r="E48" s="3108">
        <v>1</v>
      </c>
      <c r="F48" s="3105" t="s">
        <v>2487</v>
      </c>
      <c r="G48" s="3105"/>
    </row>
    <row r="49" spans="1:7" ht="19.5" customHeight="1">
      <c r="A49" s="3847"/>
      <c r="B49" s="3840"/>
      <c r="C49" s="3106" t="s">
        <v>2488</v>
      </c>
      <c r="D49" s="3107"/>
      <c r="E49" s="3108">
        <v>1</v>
      </c>
      <c r="F49" s="3105" t="s">
        <v>2489</v>
      </c>
      <c r="G49" s="3105"/>
    </row>
    <row r="50" spans="1:7" ht="19.5" customHeight="1">
      <c r="A50" s="3847"/>
      <c r="B50" s="3840"/>
      <c r="C50" s="3106" t="s">
        <v>2490</v>
      </c>
      <c r="D50" s="3107"/>
      <c r="E50" s="3108">
        <v>1</v>
      </c>
      <c r="F50" s="3105" t="s">
        <v>2491</v>
      </c>
      <c r="G50" s="3105"/>
    </row>
    <row r="51" spans="1:7" ht="19.5" customHeight="1" thickBot="1">
      <c r="A51" s="3848"/>
      <c r="B51" s="3842"/>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838" t="s">
        <v>2645</v>
      </c>
      <c r="C73" s="3091" t="s">
        <v>2646</v>
      </c>
      <c r="D73" s="3091" t="s">
        <v>2647</v>
      </c>
      <c r="E73" s="3117">
        <v>0.2</v>
      </c>
      <c r="F73" s="3117">
        <v>25</v>
      </c>
    </row>
    <row r="74" spans="1:7" ht="24">
      <c r="A74" s="3117">
        <v>2</v>
      </c>
      <c r="B74" s="3840"/>
      <c r="C74" s="3091" t="s">
        <v>2648</v>
      </c>
      <c r="D74" s="3091" t="s">
        <v>2649</v>
      </c>
      <c r="E74" s="3117">
        <v>0.2</v>
      </c>
      <c r="F74" s="3117">
        <v>25</v>
      </c>
    </row>
    <row r="75" spans="1:7" ht="24">
      <c r="A75" s="3117">
        <v>3</v>
      </c>
      <c r="B75" s="3840"/>
      <c r="C75" s="3091" t="s">
        <v>2650</v>
      </c>
      <c r="D75" s="3091" t="s">
        <v>2651</v>
      </c>
      <c r="E75" s="3117">
        <v>0.2</v>
      </c>
      <c r="F75" s="3117">
        <v>25</v>
      </c>
    </row>
    <row r="76" spans="1:7" ht="13.5">
      <c r="A76" s="3117">
        <v>4</v>
      </c>
      <c r="B76" s="3840"/>
      <c r="C76" s="3091" t="s">
        <v>2652</v>
      </c>
      <c r="D76" s="3091" t="s">
        <v>2653</v>
      </c>
      <c r="E76" s="3117">
        <v>0.15</v>
      </c>
      <c r="F76" s="3117">
        <v>20</v>
      </c>
    </row>
    <row r="77" spans="1:7" ht="24">
      <c r="A77" s="3117">
        <v>5</v>
      </c>
      <c r="B77" s="3840"/>
      <c r="C77" s="3091" t="s">
        <v>2654</v>
      </c>
      <c r="D77" s="3091" t="s">
        <v>2655</v>
      </c>
      <c r="E77" s="3117">
        <v>0.15</v>
      </c>
      <c r="F77" s="3117">
        <v>20</v>
      </c>
    </row>
    <row r="78" spans="1:7" ht="24">
      <c r="A78" s="3117">
        <v>6</v>
      </c>
      <c r="B78" s="3840"/>
      <c r="C78" s="3091" t="s">
        <v>2656</v>
      </c>
      <c r="D78" s="3091" t="s">
        <v>2657</v>
      </c>
      <c r="E78" s="3117">
        <v>0.15</v>
      </c>
      <c r="F78" s="3117">
        <v>20</v>
      </c>
    </row>
    <row r="79" spans="1:7" ht="24">
      <c r="A79" s="3117">
        <v>7</v>
      </c>
      <c r="B79" s="3840"/>
      <c r="C79" s="3091" t="s">
        <v>2658</v>
      </c>
      <c r="D79" s="3091" t="s">
        <v>2659</v>
      </c>
      <c r="E79" s="3117">
        <v>0.15</v>
      </c>
      <c r="F79" s="3117">
        <v>20</v>
      </c>
    </row>
    <row r="80" spans="1:7" ht="24">
      <c r="A80" s="3117">
        <v>8</v>
      </c>
      <c r="B80" s="3840"/>
      <c r="C80" s="3091" t="s">
        <v>2660</v>
      </c>
      <c r="D80" s="3091" t="s">
        <v>2661</v>
      </c>
      <c r="E80" s="3117">
        <v>0.1</v>
      </c>
      <c r="F80" s="3117">
        <v>15</v>
      </c>
    </row>
    <row r="81" spans="1:6" ht="24">
      <c r="A81" s="3117">
        <v>9</v>
      </c>
      <c r="B81" s="3840"/>
      <c r="C81" s="3091" t="s">
        <v>2662</v>
      </c>
      <c r="D81" s="3091" t="s">
        <v>2663</v>
      </c>
      <c r="E81" s="3117">
        <v>0.1</v>
      </c>
      <c r="F81" s="3117">
        <v>15</v>
      </c>
    </row>
    <row r="82" spans="1:6" ht="24">
      <c r="A82" s="3117">
        <v>10</v>
      </c>
      <c r="B82" s="3840"/>
      <c r="C82" s="3091" t="s">
        <v>2664</v>
      </c>
      <c r="D82" s="3091" t="s">
        <v>2665</v>
      </c>
      <c r="E82" s="3117">
        <v>0.1</v>
      </c>
      <c r="F82" s="3117">
        <v>15</v>
      </c>
    </row>
    <row r="83" spans="1:6" ht="24">
      <c r="A83" s="3117">
        <v>11</v>
      </c>
      <c r="B83" s="3840"/>
      <c r="C83" s="3091" t="s">
        <v>2666</v>
      </c>
      <c r="D83" s="3091" t="s">
        <v>2667</v>
      </c>
      <c r="E83" s="3117">
        <v>0.1</v>
      </c>
      <c r="F83" s="3117">
        <v>15</v>
      </c>
    </row>
    <row r="84" spans="1:6" ht="24">
      <c r="A84" s="3117">
        <v>12</v>
      </c>
      <c r="B84" s="3840"/>
      <c r="C84" s="3091" t="s">
        <v>2668</v>
      </c>
      <c r="D84" s="3091" t="s">
        <v>2669</v>
      </c>
      <c r="E84" s="3117">
        <v>0.1</v>
      </c>
      <c r="F84" s="3117">
        <v>15</v>
      </c>
    </row>
    <row r="85" spans="1:6" ht="13.5">
      <c r="A85" s="3117">
        <v>13</v>
      </c>
      <c r="B85" s="3840"/>
      <c r="C85" s="3091" t="s">
        <v>2670</v>
      </c>
      <c r="D85" s="3091" t="s">
        <v>2671</v>
      </c>
      <c r="E85" s="3117">
        <v>0.1</v>
      </c>
      <c r="F85" s="3117">
        <v>15</v>
      </c>
    </row>
    <row r="86" spans="1:6" ht="13.5">
      <c r="A86" s="3117">
        <v>14</v>
      </c>
      <c r="B86" s="3840"/>
      <c r="C86" s="3091" t="s">
        <v>2672</v>
      </c>
      <c r="D86" s="3091" t="s">
        <v>2673</v>
      </c>
      <c r="E86" s="3117">
        <v>0.1</v>
      </c>
      <c r="F86" s="3117">
        <v>15</v>
      </c>
    </row>
    <row r="87" spans="1:6" ht="13.5">
      <c r="A87" s="3117">
        <v>15</v>
      </c>
      <c r="B87" s="3840"/>
      <c r="C87" s="3091" t="s">
        <v>2674</v>
      </c>
      <c r="D87" s="3091" t="s">
        <v>2675</v>
      </c>
      <c r="E87" s="3117">
        <v>0.1</v>
      </c>
      <c r="F87" s="3117">
        <v>15</v>
      </c>
    </row>
    <row r="88" spans="1:6" ht="24">
      <c r="A88" s="3117">
        <v>16</v>
      </c>
      <c r="B88" s="3840"/>
      <c r="C88" s="3091" t="s">
        <v>2676</v>
      </c>
      <c r="D88" s="3091" t="s">
        <v>2677</v>
      </c>
      <c r="E88" s="3117">
        <v>0.1</v>
      </c>
      <c r="F88" s="3117">
        <v>15</v>
      </c>
    </row>
    <row r="89" spans="1:6" ht="24">
      <c r="A89" s="3117">
        <v>17</v>
      </c>
      <c r="B89" s="3839"/>
      <c r="C89" s="3091" t="s">
        <v>2678</v>
      </c>
      <c r="D89" s="3091" t="s">
        <v>2679</v>
      </c>
      <c r="E89" s="3117">
        <v>0.1</v>
      </c>
      <c r="F89" s="3117">
        <v>15</v>
      </c>
    </row>
    <row r="90" spans="1:6" ht="13.5">
      <c r="A90" s="3117">
        <v>18</v>
      </c>
      <c r="B90" s="3838" t="s">
        <v>2680</v>
      </c>
      <c r="C90" s="3091" t="s">
        <v>2681</v>
      </c>
      <c r="D90" s="3091" t="s">
        <v>2682</v>
      </c>
      <c r="E90" s="3117">
        <v>0.2</v>
      </c>
      <c r="F90" s="3117">
        <v>25</v>
      </c>
    </row>
    <row r="91" spans="1:6" ht="24">
      <c r="A91" s="3117">
        <v>19</v>
      </c>
      <c r="B91" s="3840"/>
      <c r="C91" s="3091" t="s">
        <v>2683</v>
      </c>
      <c r="D91" s="3091" t="s">
        <v>2684</v>
      </c>
      <c r="E91" s="3117">
        <v>0.2</v>
      </c>
      <c r="F91" s="3117">
        <v>25</v>
      </c>
    </row>
    <row r="92" spans="1:6" ht="13.5">
      <c r="A92" s="3117">
        <v>20</v>
      </c>
      <c r="B92" s="3840"/>
      <c r="C92" s="3091" t="s">
        <v>2685</v>
      </c>
      <c r="D92" s="3091" t="s">
        <v>2686</v>
      </c>
      <c r="E92" s="3117">
        <v>0.15</v>
      </c>
      <c r="F92" s="3117">
        <v>20</v>
      </c>
    </row>
    <row r="93" spans="1:6" ht="13.5">
      <c r="A93" s="3117">
        <v>21</v>
      </c>
      <c r="B93" s="3840"/>
      <c r="C93" s="3091" t="s">
        <v>2687</v>
      </c>
      <c r="D93" s="3091" t="s">
        <v>2688</v>
      </c>
      <c r="E93" s="3117">
        <v>0.15</v>
      </c>
      <c r="F93" s="3117">
        <v>20</v>
      </c>
    </row>
    <row r="94" spans="1:6" ht="13.5">
      <c r="A94" s="3117">
        <v>22</v>
      </c>
      <c r="B94" s="3840"/>
      <c r="C94" s="3091" t="s">
        <v>2689</v>
      </c>
      <c r="D94" s="3091" t="s">
        <v>2690</v>
      </c>
      <c r="E94" s="3117">
        <v>0.15</v>
      </c>
      <c r="F94" s="3117">
        <v>20</v>
      </c>
    </row>
    <row r="95" spans="1:6" ht="36">
      <c r="A95" s="3117">
        <v>23</v>
      </c>
      <c r="B95" s="3840"/>
      <c r="C95" s="3091" t="s">
        <v>2691</v>
      </c>
      <c r="D95" s="3091" t="s">
        <v>2692</v>
      </c>
      <c r="E95" s="3117">
        <v>0.15</v>
      </c>
      <c r="F95" s="3117">
        <v>20</v>
      </c>
    </row>
    <row r="96" spans="1:6" ht="13.5">
      <c r="A96" s="3117">
        <v>24</v>
      </c>
      <c r="B96" s="3840"/>
      <c r="C96" s="3091" t="s">
        <v>2693</v>
      </c>
      <c r="D96" s="3091" t="s">
        <v>2694</v>
      </c>
      <c r="E96" s="3117">
        <v>0.1</v>
      </c>
      <c r="F96" s="3117">
        <v>15</v>
      </c>
    </row>
    <row r="97" spans="1:6" ht="13.5">
      <c r="A97" s="3117">
        <v>25</v>
      </c>
      <c r="B97" s="3840"/>
      <c r="C97" s="3091" t="s">
        <v>2695</v>
      </c>
      <c r="D97" s="3091" t="s">
        <v>2696</v>
      </c>
      <c r="E97" s="3117">
        <v>0.1</v>
      </c>
      <c r="F97" s="3117">
        <v>15</v>
      </c>
    </row>
    <row r="98" spans="1:6" ht="24">
      <c r="A98" s="3117">
        <v>26</v>
      </c>
      <c r="B98" s="3840"/>
      <c r="C98" s="3091" t="s">
        <v>2697</v>
      </c>
      <c r="D98" s="3091" t="s">
        <v>2698</v>
      </c>
      <c r="E98" s="3117">
        <v>0.1</v>
      </c>
      <c r="F98" s="3117">
        <v>15</v>
      </c>
    </row>
    <row r="99" spans="1:6" ht="24">
      <c r="A99" s="3117">
        <v>27</v>
      </c>
      <c r="B99" s="3840"/>
      <c r="C99" s="3091" t="s">
        <v>2699</v>
      </c>
      <c r="D99" s="3091" t="s">
        <v>2700</v>
      </c>
      <c r="E99" s="3117">
        <v>0.1</v>
      </c>
      <c r="F99" s="3117">
        <v>15</v>
      </c>
    </row>
    <row r="100" spans="1:6" ht="13.5">
      <c r="A100" s="3117">
        <v>28</v>
      </c>
      <c r="B100" s="3840"/>
      <c r="C100" s="3091" t="s">
        <v>2701</v>
      </c>
      <c r="D100" s="3091" t="s">
        <v>2702</v>
      </c>
      <c r="E100" s="3117">
        <v>0.1</v>
      </c>
      <c r="F100" s="3117">
        <v>15</v>
      </c>
    </row>
    <row r="101" spans="1:6" ht="13.5">
      <c r="A101" s="3117">
        <v>29</v>
      </c>
      <c r="B101" s="3840"/>
      <c r="C101" s="3091" t="s">
        <v>2703</v>
      </c>
      <c r="D101" s="3091" t="s">
        <v>2704</v>
      </c>
      <c r="E101" s="3117">
        <v>0.1</v>
      </c>
      <c r="F101" s="3117">
        <v>15</v>
      </c>
    </row>
    <row r="102" spans="1:6" ht="13.5">
      <c r="A102" s="3117">
        <v>30</v>
      </c>
      <c r="B102" s="3840"/>
      <c r="C102" s="3091" t="s">
        <v>2705</v>
      </c>
      <c r="D102" s="3091" t="s">
        <v>2706</v>
      </c>
      <c r="E102" s="3117">
        <v>0.1</v>
      </c>
      <c r="F102" s="3117">
        <v>15</v>
      </c>
    </row>
    <row r="103" spans="1:6" ht="24">
      <c r="A103" s="3117">
        <v>31</v>
      </c>
      <c r="B103" s="3840"/>
      <c r="C103" s="3091" t="s">
        <v>2707</v>
      </c>
      <c r="D103" s="3091" t="s">
        <v>2708</v>
      </c>
      <c r="E103" s="3117">
        <v>0.1</v>
      </c>
      <c r="F103" s="3117">
        <v>15</v>
      </c>
    </row>
    <row r="104" spans="1:6" ht="24">
      <c r="A104" s="3117">
        <v>32</v>
      </c>
      <c r="B104" s="3840"/>
      <c r="C104" s="3091" t="s">
        <v>2709</v>
      </c>
      <c r="D104" s="3091" t="s">
        <v>2710</v>
      </c>
      <c r="E104" s="3117">
        <v>0.1</v>
      </c>
      <c r="F104" s="3117">
        <v>15</v>
      </c>
    </row>
    <row r="105" spans="1:6" ht="24">
      <c r="A105" s="3117">
        <v>33</v>
      </c>
      <c r="B105" s="3840"/>
      <c r="C105" s="3091" t="s">
        <v>2711</v>
      </c>
      <c r="D105" s="3091" t="s">
        <v>2712</v>
      </c>
      <c r="E105" s="3117">
        <v>0.1</v>
      </c>
      <c r="F105" s="3117">
        <v>15</v>
      </c>
    </row>
    <row r="106" spans="1:6" ht="24">
      <c r="A106" s="3117">
        <v>34</v>
      </c>
      <c r="B106" s="3839"/>
      <c r="C106" s="3091" t="s">
        <v>2713</v>
      </c>
      <c r="D106" s="3091" t="s">
        <v>2714</v>
      </c>
      <c r="E106" s="3117">
        <v>0.1</v>
      </c>
      <c r="F106" s="3117">
        <v>15</v>
      </c>
    </row>
    <row r="107" spans="1:6" ht="24">
      <c r="A107" s="3117">
        <v>35</v>
      </c>
      <c r="B107" s="3838" t="s">
        <v>2715</v>
      </c>
      <c r="C107" s="3117" t="s">
        <v>2716</v>
      </c>
      <c r="D107" s="3091" t="s">
        <v>2717</v>
      </c>
      <c r="E107" s="3117">
        <v>0.15</v>
      </c>
      <c r="F107" s="3117">
        <v>20</v>
      </c>
    </row>
    <row r="108" spans="1:6" ht="13.5">
      <c r="A108" s="3117">
        <v>36</v>
      </c>
      <c r="B108" s="3840"/>
      <c r="C108" s="3117" t="s">
        <v>2718</v>
      </c>
      <c r="D108" s="3091" t="s">
        <v>2719</v>
      </c>
      <c r="E108" s="3117">
        <v>0.15</v>
      </c>
      <c r="F108" s="3117">
        <v>20</v>
      </c>
    </row>
    <row r="109" spans="1:6" ht="13.5">
      <c r="A109" s="3117">
        <v>37</v>
      </c>
      <c r="B109" s="3840"/>
      <c r="C109" s="3117" t="s">
        <v>2720</v>
      </c>
      <c r="D109" s="3091" t="s">
        <v>2721</v>
      </c>
      <c r="E109" s="3117">
        <v>0.15</v>
      </c>
      <c r="F109" s="3117">
        <v>20</v>
      </c>
    </row>
    <row r="110" spans="1:6" ht="13.5">
      <c r="A110" s="3117">
        <v>38</v>
      </c>
      <c r="B110" s="3840"/>
      <c r="C110" s="3117" t="s">
        <v>2722</v>
      </c>
      <c r="D110" s="3091" t="s">
        <v>2723</v>
      </c>
      <c r="E110" s="3117">
        <v>0.1</v>
      </c>
      <c r="F110" s="3117">
        <v>15</v>
      </c>
    </row>
    <row r="111" spans="1:6" ht="24">
      <c r="A111" s="3117">
        <v>39</v>
      </c>
      <c r="B111" s="3840"/>
      <c r="C111" s="3117" t="s">
        <v>2724</v>
      </c>
      <c r="D111" s="3091" t="s">
        <v>2725</v>
      </c>
      <c r="E111" s="3117">
        <v>0.1</v>
      </c>
      <c r="F111" s="3117">
        <v>15</v>
      </c>
    </row>
    <row r="112" spans="1:6" ht="24">
      <c r="A112" s="3117">
        <v>40</v>
      </c>
      <c r="B112" s="3839"/>
      <c r="C112" s="3117" t="s">
        <v>2726</v>
      </c>
      <c r="D112" s="3091" t="s">
        <v>2727</v>
      </c>
      <c r="E112" s="3117">
        <v>0.1</v>
      </c>
      <c r="F112" s="3117">
        <v>15</v>
      </c>
    </row>
    <row r="113" spans="1:6" ht="13.5">
      <c r="A113" s="3117">
        <v>41</v>
      </c>
      <c r="B113" s="3837" t="s">
        <v>2728</v>
      </c>
      <c r="C113" s="3117" t="s">
        <v>2729</v>
      </c>
      <c r="D113" s="3091" t="s">
        <v>2730</v>
      </c>
      <c r="E113" s="3117">
        <v>0.1</v>
      </c>
      <c r="F113" s="3117">
        <v>15</v>
      </c>
    </row>
    <row r="114" spans="1:6" ht="13.5">
      <c r="A114" s="3117">
        <v>42</v>
      </c>
      <c r="B114" s="3837"/>
      <c r="C114" s="3117" t="s">
        <v>2731</v>
      </c>
      <c r="D114" s="3091" t="s">
        <v>2732</v>
      </c>
      <c r="E114" s="3117">
        <v>0.1</v>
      </c>
      <c r="F114" s="3117">
        <v>15</v>
      </c>
    </row>
    <row r="115" spans="1:6" ht="24">
      <c r="A115" s="3117">
        <v>43</v>
      </c>
      <c r="B115" s="3837"/>
      <c r="C115" s="3117" t="s">
        <v>2733</v>
      </c>
      <c r="D115" s="3091" t="s">
        <v>2734</v>
      </c>
      <c r="E115" s="3117">
        <v>0.1</v>
      </c>
      <c r="F115" s="3117">
        <v>15</v>
      </c>
    </row>
    <row r="116" spans="1:6" ht="13.5">
      <c r="A116" s="3117">
        <v>44</v>
      </c>
      <c r="B116" s="3838" t="s">
        <v>2735</v>
      </c>
      <c r="C116" s="3117" t="s">
        <v>2736</v>
      </c>
      <c r="D116" s="3091" t="s">
        <v>2737</v>
      </c>
      <c r="E116" s="3117">
        <v>0.1</v>
      </c>
      <c r="F116" s="3117">
        <v>15</v>
      </c>
    </row>
    <row r="117" spans="1:6" ht="24">
      <c r="A117" s="3117">
        <v>45</v>
      </c>
      <c r="B117" s="3839"/>
      <c r="C117" s="3091" t="s">
        <v>2738</v>
      </c>
      <c r="D117" s="3091" t="s">
        <v>2739</v>
      </c>
      <c r="E117" s="3117">
        <v>0.1</v>
      </c>
      <c r="F117" s="3117">
        <v>15</v>
      </c>
    </row>
    <row r="118" spans="1:6" ht="24">
      <c r="A118" s="3117">
        <v>46</v>
      </c>
      <c r="B118" s="3838" t="s">
        <v>2740</v>
      </c>
      <c r="C118" s="3117" t="s">
        <v>2741</v>
      </c>
      <c r="D118" s="3091" t="s">
        <v>2742</v>
      </c>
      <c r="E118" s="3117">
        <v>0.1</v>
      </c>
      <c r="F118" s="3117">
        <v>15</v>
      </c>
    </row>
    <row r="119" spans="1:6" ht="24">
      <c r="A119" s="3117">
        <v>47</v>
      </c>
      <c r="B119" s="3839"/>
      <c r="C119" s="3117" t="s">
        <v>2743</v>
      </c>
      <c r="D119" s="3091" t="s">
        <v>2744</v>
      </c>
      <c r="E119" s="3117">
        <v>0.1</v>
      </c>
      <c r="F119" s="3117">
        <v>15</v>
      </c>
    </row>
    <row r="120" spans="1:6" ht="13.5">
      <c r="A120" s="3117">
        <v>48</v>
      </c>
      <c r="B120" s="3838" t="s">
        <v>2745</v>
      </c>
      <c r="C120" s="3117" t="s">
        <v>2746</v>
      </c>
      <c r="D120" s="3091" t="s">
        <v>2747</v>
      </c>
      <c r="E120" s="3117">
        <v>0.1</v>
      </c>
      <c r="F120" s="3117">
        <v>15</v>
      </c>
    </row>
    <row r="121" spans="1:6" ht="13.5">
      <c r="A121" s="3117">
        <v>49</v>
      </c>
      <c r="B121" s="3839"/>
      <c r="C121" s="3117" t="s">
        <v>2748</v>
      </c>
      <c r="D121" s="3091" t="s">
        <v>2749</v>
      </c>
      <c r="E121" s="3117">
        <v>0.1</v>
      </c>
      <c r="F121" s="3117">
        <v>15</v>
      </c>
    </row>
    <row r="122" spans="1:6" ht="24">
      <c r="A122" s="3117">
        <v>50</v>
      </c>
      <c r="B122" s="3837" t="s">
        <v>2750</v>
      </c>
      <c r="C122" s="3117" t="s">
        <v>2751</v>
      </c>
      <c r="D122" s="3091" t="s">
        <v>2752</v>
      </c>
      <c r="E122" s="3117">
        <v>0.1</v>
      </c>
      <c r="F122" s="3117">
        <v>15</v>
      </c>
    </row>
    <row r="123" spans="1:6" ht="24">
      <c r="A123" s="3117">
        <v>51</v>
      </c>
      <c r="B123" s="3837"/>
      <c r="C123" s="3117" t="s">
        <v>2753</v>
      </c>
      <c r="D123" s="3091" t="s">
        <v>2754</v>
      </c>
      <c r="E123" s="3117">
        <v>0.1</v>
      </c>
      <c r="F123" s="3117">
        <v>15</v>
      </c>
    </row>
    <row r="124" spans="1:6" ht="24">
      <c r="A124" s="3117">
        <v>52</v>
      </c>
      <c r="B124" s="3837" t="s">
        <v>2755</v>
      </c>
      <c r="C124" s="3117" t="s">
        <v>2756</v>
      </c>
      <c r="D124" s="3091" t="s">
        <v>2757</v>
      </c>
      <c r="E124" s="3117">
        <v>0.1</v>
      </c>
      <c r="F124" s="3117">
        <v>15</v>
      </c>
    </row>
    <row r="125" spans="1:6" ht="24">
      <c r="A125" s="3117">
        <v>53</v>
      </c>
      <c r="B125" s="3837"/>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837" t="s">
        <v>2763</v>
      </c>
      <c r="C127" s="3117" t="s">
        <v>2764</v>
      </c>
      <c r="D127" s="3091" t="s">
        <v>2765</v>
      </c>
      <c r="E127" s="3117">
        <v>0.1</v>
      </c>
      <c r="F127" s="3117">
        <v>15</v>
      </c>
    </row>
    <row r="128" spans="1:6" ht="13.5">
      <c r="A128" s="3117">
        <v>56</v>
      </c>
      <c r="B128" s="3837"/>
      <c r="C128" s="3117" t="s">
        <v>2766</v>
      </c>
      <c r="D128" s="3091" t="s">
        <v>2767</v>
      </c>
      <c r="E128" s="3117">
        <v>0.1</v>
      </c>
      <c r="F128" s="3117">
        <v>15</v>
      </c>
    </row>
    <row r="129" spans="1:6" ht="24">
      <c r="A129" s="3117">
        <v>57</v>
      </c>
      <c r="B129" s="3837"/>
      <c r="C129" s="3117" t="s">
        <v>2768</v>
      </c>
      <c r="D129" s="3091" t="s">
        <v>2769</v>
      </c>
      <c r="E129" s="3117">
        <v>0.1</v>
      </c>
      <c r="F129" s="3117">
        <v>15</v>
      </c>
    </row>
    <row r="130" spans="1:6" ht="24">
      <c r="A130" s="3117">
        <v>58</v>
      </c>
      <c r="B130" s="3837" t="s">
        <v>2770</v>
      </c>
      <c r="C130" s="3117" t="s">
        <v>2771</v>
      </c>
      <c r="D130" s="3091" t="s">
        <v>2772</v>
      </c>
      <c r="E130" s="3117">
        <v>0.1</v>
      </c>
      <c r="F130" s="3117">
        <v>15</v>
      </c>
    </row>
    <row r="131" spans="1:6" ht="13.5">
      <c r="A131" s="3117">
        <v>59</v>
      </c>
      <c r="B131" s="3837"/>
      <c r="C131" s="3117" t="s">
        <v>2773</v>
      </c>
      <c r="D131" s="3091" t="s">
        <v>2774</v>
      </c>
      <c r="E131" s="3117">
        <v>0.1</v>
      </c>
      <c r="F131" s="3117">
        <v>15</v>
      </c>
    </row>
    <row r="132" spans="1:6" ht="13.5">
      <c r="A132" s="3117">
        <v>60</v>
      </c>
      <c r="B132" s="3838" t="s">
        <v>2775</v>
      </c>
      <c r="C132" s="3117" t="s">
        <v>2776</v>
      </c>
      <c r="D132" s="3091" t="s">
        <v>2777</v>
      </c>
      <c r="E132" s="3117">
        <v>0.1</v>
      </c>
      <c r="F132" s="3117">
        <v>15</v>
      </c>
    </row>
    <row r="133" spans="1:6" ht="13.5">
      <c r="A133" s="3117">
        <v>61</v>
      </c>
      <c r="B133" s="3839"/>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837" t="s">
        <v>2783</v>
      </c>
      <c r="C135" s="3117" t="s">
        <v>2784</v>
      </c>
      <c r="D135" s="3091" t="s">
        <v>2785</v>
      </c>
      <c r="E135" s="3117">
        <v>0.1</v>
      </c>
      <c r="F135" s="3117">
        <v>15</v>
      </c>
    </row>
    <row r="136" spans="1:6" ht="13.5">
      <c r="A136" s="3117">
        <v>64</v>
      </c>
      <c r="B136" s="3837"/>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1.0512999999999999</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1</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29559</v>
      </c>
      <c r="C2" s="2" t="s">
        <v>106</v>
      </c>
      <c r="D2" s="199"/>
      <c r="E2" s="199"/>
      <c r="F2" s="199"/>
      <c r="G2" s="199"/>
    </row>
    <row r="3" spans="1:7" s="200" customFormat="1" ht="18" customHeight="1" thickBot="1">
      <c r="A3" s="203" t="s">
        <v>58</v>
      </c>
      <c r="B3" s="204">
        <f ca="1">ROUND(B2*10000/'数据-汇总表'!E3,0)</f>
        <v>276516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21</v>
      </c>
      <c r="D10" s="844">
        <f>'数据-汇总表'!E6</f>
        <v>1068.98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21</v>
      </c>
      <c r="D19" s="848">
        <f>'数据-汇总表'!E3</f>
        <v>1068.98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1765</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4209</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4209</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257</v>
      </c>
      <c r="D34" s="217"/>
      <c r="E34" s="220"/>
      <c r="F34" s="257">
        <f>IF('数据-取费表'!B24=0,1,'数据-取费表'!N16)</f>
        <v>1</v>
      </c>
      <c r="G34" s="219" t="s">
        <v>89</v>
      </c>
    </row>
    <row r="35" spans="1:7" ht="13.5" customHeight="1">
      <c r="A35" s="779" t="s">
        <v>351</v>
      </c>
      <c r="B35" s="215" t="s">
        <v>33</v>
      </c>
      <c r="C35" s="220">
        <f>ROUND(C34*F35,0)</f>
        <v>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21</v>
      </c>
      <c r="D37" s="217">
        <f>'数据-汇总表'!E3</f>
        <v>1068.98</v>
      </c>
      <c r="E37" s="249">
        <f>'数据-取费表'!B35</f>
        <v>200</v>
      </c>
      <c r="F37" s="259"/>
      <c r="G37" s="261" t="s">
        <v>92</v>
      </c>
    </row>
    <row r="38" spans="1:7" ht="13.5" customHeight="1">
      <c r="A38" s="779" t="s">
        <v>354</v>
      </c>
      <c r="B38" s="215" t="s">
        <v>36</v>
      </c>
      <c r="C38" s="220">
        <f>ROUND(C34*F38,0)</f>
        <v>4</v>
      </c>
      <c r="D38" s="220"/>
      <c r="E38" s="220"/>
      <c r="F38" s="259">
        <f>'数据-取费表'!B36</f>
        <v>1.4999999999999999E-2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12</v>
      </c>
      <c r="D42" s="238"/>
      <c r="E42" s="238"/>
      <c r="F42" s="239"/>
      <c r="G42" s="3849" t="s">
        <v>94</v>
      </c>
    </row>
    <row r="43" spans="1:7" ht="13.5" customHeight="1">
      <c r="A43" s="779" t="s">
        <v>347</v>
      </c>
      <c r="B43" s="215" t="s">
        <v>426</v>
      </c>
      <c r="C43" s="238">
        <f ca="1">ROUND(IF('数据-取费表'!B22&lt;=1,C39*F22*'数据-取费表'!B21/2,C39*(POWER((1+F22),'数据-取费表'!B21/2)-1)),0)</f>
        <v>0</v>
      </c>
      <c r="D43" s="238"/>
      <c r="E43" s="238"/>
      <c r="F43" s="239"/>
      <c r="G43" s="3850"/>
    </row>
    <row r="44" spans="1:7" ht="13.5" customHeight="1">
      <c r="A44" s="779" t="s">
        <v>348</v>
      </c>
      <c r="B44" s="215" t="s">
        <v>428</v>
      </c>
      <c r="C44" s="238">
        <f ca="1">ROUND(IF('数据-取费表'!B22&lt;=1,C40*F22*'数据-取费表'!B21/2,C40*(POWER((1+F22),'数据-取费表'!B21/2)-1)),4)</f>
        <v>8.0000000000000004E-4</v>
      </c>
      <c r="D44" s="238"/>
      <c r="E44" s="238"/>
      <c r="F44" s="239"/>
      <c r="G44" s="3851"/>
    </row>
    <row r="45" spans="1:7" s="214" customFormat="1" ht="13.5" customHeight="1">
      <c r="A45" s="776" t="s">
        <v>341</v>
      </c>
      <c r="B45" s="244" t="s">
        <v>85</v>
      </c>
      <c r="C45" s="245">
        <f>C46</f>
        <v>59</v>
      </c>
      <c r="D45" s="235">
        <f>C47</f>
        <v>4.0000000000000001E-3</v>
      </c>
      <c r="E45" s="236" t="s">
        <v>102</v>
      </c>
      <c r="F45" s="246"/>
      <c r="G45" s="247" t="s">
        <v>434</v>
      </c>
    </row>
    <row r="46" spans="1:7" s="214" customFormat="1" ht="13.5" customHeight="1">
      <c r="A46" s="779" t="s">
        <v>349</v>
      </c>
      <c r="B46" s="248" t="s">
        <v>427</v>
      </c>
      <c r="C46" s="249">
        <f>ROUND((C33+C39)*F27,0)</f>
        <v>59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398</v>
      </c>
      <c r="D49" s="232"/>
      <c r="E49" s="232"/>
      <c r="F49" s="264"/>
      <c r="G49" s="234" t="s">
        <v>435</v>
      </c>
    </row>
    <row r="50" spans="1:7" s="258" customFormat="1" ht="24">
      <c r="A50" s="776" t="s">
        <v>344</v>
      </c>
      <c r="B50" s="210" t="s">
        <v>97</v>
      </c>
      <c r="C50" s="232"/>
      <c r="D50" s="232"/>
      <c r="E50" s="232"/>
      <c r="F50" s="264">
        <f>IF('数据-取费表'!B24=0,'数据-取费表'!N16,1)</f>
        <v>0.63</v>
      </c>
      <c r="G50" s="247" t="s">
        <v>98</v>
      </c>
    </row>
    <row r="51" spans="1:7" ht="16.5" customHeight="1">
      <c r="A51" s="776" t="s">
        <v>345</v>
      </c>
      <c r="B51" s="210" t="s">
        <v>105</v>
      </c>
      <c r="C51" s="232">
        <f ca="1">ROUND(C49*F50,0)</f>
        <v>251</v>
      </c>
      <c r="D51" s="232"/>
      <c r="E51" s="232"/>
      <c r="F51" s="264"/>
      <c r="G51" s="234" t="s">
        <v>37</v>
      </c>
    </row>
    <row r="52" spans="1:7" s="208" customFormat="1" ht="16.5" thickBot="1">
      <c r="A52" s="265" t="s">
        <v>38</v>
      </c>
      <c r="B52" s="266"/>
      <c r="C52" s="267">
        <f ca="1">C31+C51</f>
        <v>29559</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4" t="s">
        <v>2835</v>
      </c>
      <c r="B1" s="3854"/>
      <c r="C1" s="3854"/>
      <c r="D1" s="3854"/>
      <c r="E1" s="3854"/>
      <c r="F1" s="3854"/>
      <c r="G1" s="3855"/>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52"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53"/>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56" t="s">
        <v>3177</v>
      </c>
      <c r="B1" s="3856"/>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57" t="s">
        <v>3228</v>
      </c>
      <c r="B1" s="3857"/>
      <c r="C1" s="3857"/>
      <c r="D1" s="3857"/>
      <c r="E1" s="3857"/>
      <c r="F1" s="3858"/>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v>
      </c>
      <c r="B3" s="3557"/>
      <c r="C3" s="3557"/>
      <c r="D3" s="3557"/>
      <c r="E3" s="3557"/>
    </row>
    <row r="4" spans="1:5" ht="19.5" thickBot="1">
      <c r="A4" s="1492"/>
      <c r="B4" s="3555" t="s">
        <v>917</v>
      </c>
      <c r="C4" s="3555"/>
      <c r="D4" s="3555"/>
      <c r="E4" s="1492"/>
    </row>
    <row r="5" spans="1:5" ht="16.5" thickTop="1">
      <c r="A5" s="1490"/>
      <c r="B5" s="3553" t="s">
        <v>909</v>
      </c>
      <c r="C5" s="1493" t="s">
        <v>910</v>
      </c>
      <c r="D5" s="849" t="e">
        <f ca="1">结果表!H101</f>
        <v>#REF!</v>
      </c>
      <c r="E5" s="1490"/>
    </row>
    <row r="6" spans="1:5" ht="15.75">
      <c r="A6" s="1490"/>
      <c r="B6" s="3553"/>
      <c r="C6" s="1493" t="s">
        <v>911</v>
      </c>
      <c r="D6" s="849" t="e">
        <f ca="1">NUMBERSTRING(INT(D5*10000),2)&amp;"元整"</f>
        <v>#REF!</v>
      </c>
      <c r="E6" s="1490"/>
    </row>
    <row r="7" spans="1:5" ht="15.75">
      <c r="A7" s="1490"/>
      <c r="B7" s="3558"/>
      <c r="C7" s="1494" t="s">
        <v>912</v>
      </c>
      <c r="D7" s="850" t="e">
        <f ca="1">结果表!H102</f>
        <v>#REF!</v>
      </c>
      <c r="E7" s="1490"/>
    </row>
    <row r="8" spans="1:5" ht="15.75">
      <c r="A8" s="1490"/>
      <c r="B8" s="3559" t="str">
        <f>结果表!E103</f>
        <v>2.估价师知悉的法定优先受偿款</v>
      </c>
      <c r="C8" s="1495" t="s">
        <v>913</v>
      </c>
      <c r="D8" s="850">
        <f>结果表!H103</f>
        <v>0</v>
      </c>
      <c r="E8" s="1490"/>
    </row>
    <row r="9" spans="1:5" ht="15.75">
      <c r="A9" s="1490"/>
      <c r="B9" s="356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52" t="str">
        <f>结果表!E107</f>
        <v>3.房地产抵押价值</v>
      </c>
      <c r="C13" s="1498" t="s">
        <v>910</v>
      </c>
      <c r="D13" s="852" t="e">
        <f ca="1">结果表!H107</f>
        <v>#REF!</v>
      </c>
      <c r="E13" s="1490"/>
    </row>
    <row r="14" spans="1:5" ht="15.75">
      <c r="A14" s="1490"/>
      <c r="B14" s="3553"/>
      <c r="C14" s="1493" t="s">
        <v>911</v>
      </c>
      <c r="D14" s="849" t="e">
        <f ca="1">NUMBERSTRING(INT(D13*10000),2)&amp;"元整"</f>
        <v>#REF!</v>
      </c>
      <c r="E14" s="1490"/>
    </row>
    <row r="15" spans="1:5" ht="15">
      <c r="A15" s="1490"/>
      <c r="B15" s="3558"/>
      <c r="C15" s="1494" t="s">
        <v>921</v>
      </c>
      <c r="D15" s="858" t="e">
        <f ca="1">结果表!H108</f>
        <v>#REF!</v>
      </c>
      <c r="E15" s="1490"/>
    </row>
    <row r="16" spans="1:5" ht="15">
      <c r="A16" s="1490"/>
      <c r="B16" s="3559" t="str">
        <f>结果表!E109</f>
        <v>——</v>
      </c>
      <c r="C16" s="1498" t="s">
        <v>922</v>
      </c>
      <c r="D16" s="1499" t="str">
        <f>结果表!H109</f>
        <v>——</v>
      </c>
      <c r="E16" s="1490"/>
    </row>
    <row r="17" spans="1:5" ht="15.75">
      <c r="A17" s="1490"/>
      <c r="B17" s="3560"/>
      <c r="C17" s="1493" t="s">
        <v>923</v>
      </c>
      <c r="D17" s="849" t="e">
        <f>NUMBERSTRING(INT(D16*10000),2)&amp;"元整"</f>
        <v>#VALUE!</v>
      </c>
      <c r="E17" s="1490"/>
    </row>
    <row r="18" spans="1:5" ht="15">
      <c r="A18" s="1490"/>
      <c r="B18" s="3561"/>
      <c r="C18" s="1494" t="s">
        <v>912</v>
      </c>
      <c r="D18" s="858" t="str">
        <f>结果表!H110</f>
        <v>——</v>
      </c>
      <c r="E18" s="1490"/>
    </row>
    <row r="19" spans="1:5" ht="15.75">
      <c r="A19" s="1490"/>
      <c r="B19" s="3552" t="str">
        <f>结果表!E111</f>
        <v>——</v>
      </c>
      <c r="C19" s="1498" t="s">
        <v>910</v>
      </c>
      <c r="D19" s="850" t="str">
        <f>结果表!H111</f>
        <v>——</v>
      </c>
      <c r="E19" s="1490"/>
    </row>
    <row r="20" spans="1:5" ht="15.75">
      <c r="A20" s="1490"/>
      <c r="B20" s="3553"/>
      <c r="C20" s="1493" t="s">
        <v>923</v>
      </c>
      <c r="D20" s="849" t="e">
        <f>NUMBERSTRING(INT(D19*10000),2)&amp;"元整"</f>
        <v>#VALUE!</v>
      </c>
      <c r="E20" s="1490"/>
    </row>
    <row r="21" spans="1:5" ht="15.75" thickBot="1">
      <c r="A21" s="1490"/>
      <c r="B21" s="355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45062</v>
      </c>
      <c r="B1" s="3209" t="s">
        <v>2834</v>
      </c>
      <c r="C1" s="3210"/>
      <c r="D1" s="3210"/>
      <c r="E1" s="3210"/>
      <c r="F1" s="3210"/>
      <c r="G1" s="3210"/>
      <c r="H1" s="3210"/>
      <c r="I1" s="3210"/>
      <c r="J1" s="3164"/>
      <c r="K1" s="3210" t="s">
        <v>454</v>
      </c>
      <c r="L1" s="3210"/>
      <c r="M1" s="3210"/>
      <c r="N1" s="3210"/>
      <c r="O1" s="3210"/>
      <c r="P1" s="3210"/>
      <c r="Q1" s="3164"/>
      <c r="R1" s="3859" t="s">
        <v>456</v>
      </c>
      <c r="S1" s="3860"/>
      <c r="T1" s="3860"/>
      <c r="U1" s="3860"/>
      <c r="V1" s="3860"/>
      <c r="W1" s="3860"/>
      <c r="X1" s="3164"/>
      <c r="Y1" s="3859" t="s">
        <v>457</v>
      </c>
      <c r="Z1" s="3860"/>
      <c r="AA1" s="3860"/>
      <c r="AB1" s="3860"/>
      <c r="AC1" s="3860"/>
      <c r="AD1" s="3860"/>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3363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3366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3367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ROUND(IF([5]项目基本情况!B8="出让",SUMPRODUCT(PRODUCT(1+K9:K16)),SUMPRODUCT(PRODUCT(1+K9:K15))),4)</f>
        <v>1.0565</v>
      </c>
      <c r="S9" s="3182">
        <f>ROUND(IF([5]项目基本情况!B8="出让",SUMPRODUCT(PRODUCT(1+L9:L16)),SUMPRODUCT(PRODUCT(1+L9:L15))),4)</f>
        <v>1.0250999999999999</v>
      </c>
      <c r="T9" s="3182">
        <f>ROUND(IF([5]项目基本情况!B8="出让",SUMPRODUCT(PRODUCT(1+M9:M16)),SUMPRODUCT(PRODUCT(1+M9:M15))),4)</f>
        <v>1.0145</v>
      </c>
      <c r="U9" s="3182">
        <f>ROUND(IF([5]项目基本情况!B8="出让",SUMPRODUCT(PRODUCT(1+N9:N16)),SUMPRODUCT(PRODUCT(1+N9:N15))),4)</f>
        <v>1.0618000000000001</v>
      </c>
      <c r="V9" s="3182">
        <f>ROUND(IF([5]项目基本情况!B8="出让",SUMPRODUCT(PRODUCT(1+O9:O16)),SUMPRODUCT(PRODUCT(1+O9:O15))),4)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859" t="s">
        <v>2822</v>
      </c>
      <c r="S21" s="3860"/>
      <c r="T21" s="3860"/>
      <c r="U21" s="3860"/>
      <c r="V21" s="3860"/>
      <c r="W21" s="3860"/>
      <c r="X21" s="3164"/>
      <c r="Y21" s="3859" t="s">
        <v>2823</v>
      </c>
      <c r="Z21" s="3860"/>
      <c r="AA21" s="3860"/>
      <c r="AB21" s="3860"/>
      <c r="AC21" s="3860"/>
      <c r="AD21" s="3860"/>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1.0344</v>
      </c>
      <c r="T25" s="3182">
        <f>ROUND(IF([5]项目基本情况!$B$8="出让",SUMPRODUCT(PRODUCT(1+M25:M$36)),SUMPRODUCT(PRODUCT(1+M25:M$35))),4)</f>
        <v>1.0224</v>
      </c>
      <c r="U25" s="3182">
        <f>ROUND(IF([5]项目基本情况!$B$8="出让",SUMPRODUCT(PRODUCT(1+N25:N$36)),SUMPRODUCT(PRODUCT(1+N25:N$35))),4)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1.0344</v>
      </c>
      <c r="T26" s="3182">
        <f>ROUND(IF([5]项目基本情况!$B$8="出让",SUMPRODUCT(PRODUCT(1+M26:M$36)),SUMPRODUCT(PRODUCT(1+M26:M$35))),4)</f>
        <v>1.0224</v>
      </c>
      <c r="U26" s="3182">
        <f>ROUND(IF([5]项目基本情况!$B$8="出让",SUMPRODUCT(PRODUCT(1+N26:N$36)),SUMPRODUCT(PRODUCT(1+N26:N$35))),4)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3363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ROUND(IF([5]项目基本情况!$B$8="出让",SUMPRODUCT(PRODUCT(1+L27:L$36)),SUMPRODUCT(PRODUCT(1+L27:L$35))),4)</f>
        <v>1.0344</v>
      </c>
      <c r="T27" s="3182">
        <f>ROUND(IF([5]项目基本情况!$B$8="出让",SUMPRODUCT(PRODUCT(1+M27:M$36)),SUMPRODUCT(PRODUCT(1+M27:M$35))),4)</f>
        <v>1.0224</v>
      </c>
      <c r="U27" s="3182">
        <f>ROUND(IF([5]项目基本情况!$B$8="出让",SUMPRODUCT(PRODUCT(1+N27:N$36)),SUMPRODUCT(PRODUCT(1+N27:N$35))),4)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3366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ROUND(IF([5]项目基本情况!$B$8="出让",SUMPRODUCT(PRODUCT(1+L28:L$36)),SUMPRODUCT(PRODUCT(1+L28:L$35))),4)</f>
        <v>1.0344</v>
      </c>
      <c r="T28" s="3191">
        <f>ROUND(IF([5]项目基本情况!$B$8="出让",SUMPRODUCT(PRODUCT(1+M28:M$36)),SUMPRODUCT(PRODUCT(1+M28:M$35))),4)</f>
        <v>1.0224</v>
      </c>
      <c r="U28" s="3191">
        <f>ROUND(IF([5]项目基本情况!$B$8="出让",SUMPRODUCT(PRODUCT(1+N28:N$36)),SUMPRODUCT(PRODUCT(1+N28:N$35))),4)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3367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ROUND(IF([5]项目基本情况!$B$8="出让",SUMPRODUCT(PRODUCT(1+L29:L$36)),SUMPRODUCT(PRODUCT(1+L29:L$35))),4)</f>
        <v>1.0286999999999999</v>
      </c>
      <c r="T29" s="3182">
        <f>ROUND(IF([5]项目基本情况!$B$8="出让",SUMPRODUCT(PRODUCT(1+M29:M$36)),SUMPRODUCT(PRODUCT(1+M29:M$35))),4)</f>
        <v>1.0164</v>
      </c>
      <c r="U29" s="3182">
        <f>ROUND(IF([5]项目基本情况!$B$8="出让",SUMPRODUCT(PRODUCT(1+N29:N$36)),SUMPRODUCT(PRODUCT(1+N29:N$35))),4)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6" t="s">
        <v>452</v>
      </c>
      <c r="C1" s="3866"/>
      <c r="D1" s="3866"/>
      <c r="E1" s="3866"/>
      <c r="F1" s="3866"/>
      <c r="G1" s="3865" t="s">
        <v>453</v>
      </c>
      <c r="H1" s="3865"/>
      <c r="I1" s="3865"/>
      <c r="J1" s="3865"/>
      <c r="K1" s="3865"/>
      <c r="L1" s="3865"/>
      <c r="N1" s="3865" t="s">
        <v>454</v>
      </c>
      <c r="O1" s="3865"/>
      <c r="P1" s="3865"/>
      <c r="Q1" s="3865"/>
      <c r="S1" s="3865" t="s">
        <v>455</v>
      </c>
      <c r="T1" s="3865"/>
      <c r="U1" s="3865"/>
      <c r="V1" s="3865"/>
      <c r="X1" s="3864" t="s">
        <v>456</v>
      </c>
      <c r="Y1" s="3865"/>
      <c r="Z1" s="3865"/>
      <c r="AA1" s="3865"/>
      <c r="AB1" s="3865"/>
      <c r="AD1" s="3864" t="s">
        <v>457</v>
      </c>
      <c r="AE1" s="3865"/>
      <c r="AF1" s="3865"/>
      <c r="AG1" s="3865"/>
      <c r="AH1" s="386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7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7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6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6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7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6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6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6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6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6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6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6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6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6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6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6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6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6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6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view="pageBreakPreview" zoomScaleSheetLayoutView="100" workbookViewId="0">
      <selection activeCell="H40" sqref="H40"/>
    </sheetView>
  </sheetViews>
  <sheetFormatPr defaultColWidth="9" defaultRowHeight="13.5"/>
  <cols>
    <col min="1" max="1" width="6.375" style="3474" customWidth="1"/>
    <col min="2" max="2" width="19.375" style="3549" customWidth="1"/>
    <col min="3" max="3" width="10.125" style="3535" customWidth="1"/>
    <col min="4" max="4" width="6.375" style="3535" customWidth="1"/>
    <col min="5" max="5" width="7.375" style="3535" customWidth="1"/>
    <col min="6" max="6" width="6.5" style="3535" customWidth="1"/>
    <col min="7" max="7" width="19.375" style="3550" customWidth="1"/>
    <col min="8" max="8" width="19.5" style="3474" customWidth="1"/>
    <col min="9" max="9" width="8.625" style="3474" customWidth="1"/>
    <col min="10" max="10" width="10.5" style="3470" customWidth="1"/>
    <col min="11" max="11" width="4.875" style="3503" customWidth="1"/>
    <col min="12" max="12" width="16.375" style="3503" customWidth="1"/>
    <col min="13" max="16" width="8.125" style="3474" customWidth="1"/>
    <col min="17" max="16384" width="9" style="3474"/>
  </cols>
  <sheetData>
    <row r="1" spans="1:16">
      <c r="A1" s="3916" t="s">
        <v>3453</v>
      </c>
      <c r="B1" s="3916"/>
      <c r="C1" s="3916"/>
      <c r="D1" s="3916"/>
      <c r="E1" s="3916"/>
      <c r="F1" s="3916"/>
      <c r="G1" s="3916"/>
      <c r="H1" s="3916"/>
      <c r="I1" s="3916"/>
      <c r="K1" s="3917" t="s">
        <v>3454</v>
      </c>
      <c r="L1" s="3471" t="s">
        <v>3455</v>
      </c>
      <c r="M1" s="3472">
        <v>0</v>
      </c>
      <c r="N1" s="3473"/>
      <c r="O1" s="3473"/>
    </row>
    <row r="2" spans="1:16" ht="15.75" customHeight="1">
      <c r="A2" s="3475" t="s">
        <v>3456</v>
      </c>
      <c r="B2" s="3476" t="s">
        <v>3457</v>
      </c>
      <c r="C2" s="3881" t="s">
        <v>3458</v>
      </c>
      <c r="D2" s="3882"/>
      <c r="E2" s="3882"/>
      <c r="F2" s="3883"/>
      <c r="G2" s="3477" t="s">
        <v>3459</v>
      </c>
      <c r="H2" s="3892" t="s">
        <v>3460</v>
      </c>
      <c r="I2" s="3892"/>
      <c r="K2" s="3917"/>
      <c r="L2" s="3471" t="s">
        <v>3461</v>
      </c>
      <c r="M2" s="3478"/>
      <c r="N2" s="3479"/>
      <c r="O2" s="3479"/>
    </row>
    <row r="3" spans="1:16">
      <c r="A3" s="3480" t="s">
        <v>3462</v>
      </c>
      <c r="B3" s="3481" t="s">
        <v>3463</v>
      </c>
      <c r="C3" s="3881">
        <f ca="1">'成本法 (元)'!B2*10000</f>
        <v>23439471</v>
      </c>
      <c r="D3" s="3882"/>
      <c r="E3" s="3882"/>
      <c r="F3" s="3883"/>
      <c r="G3" s="3480" t="s">
        <v>3464</v>
      </c>
      <c r="H3" s="3482" t="s">
        <v>3465</v>
      </c>
      <c r="I3" s="3483">
        <f>'数据-汇总表'!E3</f>
        <v>1068.98</v>
      </c>
      <c r="J3" s="3470">
        <f ca="1">C3/I3</f>
        <v>21926.949989709818</v>
      </c>
      <c r="K3" s="3917"/>
      <c r="L3" s="3471" t="s">
        <v>3466</v>
      </c>
      <c r="M3" s="3478"/>
      <c r="N3" s="3479"/>
      <c r="O3" s="3484"/>
    </row>
    <row r="4" spans="1:16">
      <c r="A4" s="3884" t="s">
        <v>3467</v>
      </c>
      <c r="B4" s="3885" t="s">
        <v>3468</v>
      </c>
      <c r="C4" s="3918">
        <f ca="1">ROUND(C3*(I4-I6)/(1-((1+I6)/(1+I4))^I5),0)</f>
        <v>1888560</v>
      </c>
      <c r="D4" s="3919"/>
      <c r="E4" s="3919"/>
      <c r="F4" s="3920"/>
      <c r="G4" s="3884" t="s">
        <v>3469</v>
      </c>
      <c r="H4" s="3485" t="s">
        <v>3470</v>
      </c>
      <c r="I4" s="3486">
        <f>'数据-取费表'!I6</f>
        <v>5.5E-2</v>
      </c>
      <c r="J4" s="3470">
        <f ca="1">'比较法-商业'!C49*365/J3</f>
        <v>0.18643723828067618</v>
      </c>
      <c r="K4" s="3917"/>
      <c r="L4" s="3471" t="s">
        <v>3471</v>
      </c>
      <c r="M4" s="3487" t="e">
        <f>ROUND(1-(1-M1)*M2/M3,2)</f>
        <v>#DIV/0!</v>
      </c>
      <c r="N4" s="3479"/>
      <c r="O4" s="3479"/>
    </row>
    <row r="5" spans="1:16" s="3491" customFormat="1" ht="18" customHeight="1">
      <c r="A5" s="3884"/>
      <c r="B5" s="3885"/>
      <c r="C5" s="3921"/>
      <c r="D5" s="3922"/>
      <c r="E5" s="3922"/>
      <c r="F5" s="3923"/>
      <c r="G5" s="3884"/>
      <c r="H5" s="3481" t="s">
        <v>3472</v>
      </c>
      <c r="I5" s="3488">
        <f>项目基本情况!D15</f>
        <v>17.75</v>
      </c>
      <c r="J5" s="3489"/>
      <c r="K5" s="3917"/>
      <c r="L5" s="3471" t="s">
        <v>3473</v>
      </c>
      <c r="M5" s="3490">
        <v>0.5</v>
      </c>
      <c r="N5" s="3479"/>
      <c r="O5" s="3479"/>
    </row>
    <row r="6" spans="1:16" s="3491" customFormat="1" ht="18" customHeight="1">
      <c r="A6" s="3884"/>
      <c r="B6" s="3885"/>
      <c r="C6" s="3924"/>
      <c r="D6" s="3925"/>
      <c r="E6" s="3925"/>
      <c r="F6" s="3926"/>
      <c r="G6" s="3884"/>
      <c r="H6" s="3481" t="s">
        <v>3474</v>
      </c>
      <c r="I6" s="3486">
        <v>1.4999999999999999E-2</v>
      </c>
      <c r="J6" s="3492"/>
      <c r="K6" s="3927" t="s">
        <v>3475</v>
      </c>
      <c r="L6" s="3493" t="s">
        <v>3476</v>
      </c>
      <c r="M6" s="3494" t="s">
        <v>3477</v>
      </c>
      <c r="N6" s="3494" t="s">
        <v>3478</v>
      </c>
      <c r="O6" s="3494" t="s">
        <v>3479</v>
      </c>
      <c r="P6" s="3494" t="s">
        <v>3480</v>
      </c>
    </row>
    <row r="7" spans="1:16" s="3491" customFormat="1" ht="17.25" customHeight="1">
      <c r="A7" s="3480" t="s">
        <v>3481</v>
      </c>
      <c r="B7" s="3481" t="s">
        <v>3482</v>
      </c>
      <c r="C7" s="3881">
        <f ca="1">ROUND(C23*I7,0)</f>
        <v>2505164</v>
      </c>
      <c r="D7" s="3882"/>
      <c r="E7" s="3882"/>
      <c r="F7" s="3883"/>
      <c r="G7" s="3477" t="s">
        <v>3483</v>
      </c>
      <c r="H7" s="3481" t="s">
        <v>3484</v>
      </c>
      <c r="I7" s="3495">
        <f>'数据-取费表'!N6</f>
        <v>0.63</v>
      </c>
      <c r="K7" s="3927"/>
      <c r="L7" s="3493" t="s">
        <v>3485</v>
      </c>
      <c r="M7" s="3494">
        <v>100</v>
      </c>
      <c r="N7" s="3494" t="s">
        <v>3486</v>
      </c>
      <c r="O7" s="3494">
        <v>60</v>
      </c>
      <c r="P7" s="3496">
        <v>0.3</v>
      </c>
    </row>
    <row r="8" spans="1:16" s="3491" customFormat="1" ht="23.25" customHeight="1">
      <c r="A8" s="3475" t="s">
        <v>3487</v>
      </c>
      <c r="B8" s="3481" t="s">
        <v>3488</v>
      </c>
      <c r="C8" s="3881">
        <f>ROUND(I8*I3,0)</f>
        <v>2565552</v>
      </c>
      <c r="D8" s="3882"/>
      <c r="E8" s="3882"/>
      <c r="F8" s="3883"/>
      <c r="G8" s="3477" t="s">
        <v>3489</v>
      </c>
      <c r="H8" s="3481" t="s">
        <v>3490</v>
      </c>
      <c r="I8" s="3497">
        <f>'数据-取费表'!L6</f>
        <v>2400</v>
      </c>
      <c r="J8" s="3498">
        <f>D36</f>
        <v>11.2</v>
      </c>
      <c r="K8" s="3927"/>
      <c r="L8" s="3493" t="s">
        <v>3491</v>
      </c>
      <c r="M8" s="3494">
        <v>100</v>
      </c>
      <c r="N8" s="3494" t="s">
        <v>3486</v>
      </c>
      <c r="O8" s="3494">
        <v>60</v>
      </c>
      <c r="P8" s="3496">
        <v>0.5</v>
      </c>
    </row>
    <row r="9" spans="1:16" s="3491" customFormat="1" ht="18" customHeight="1">
      <c r="A9" s="3475" t="s">
        <v>3492</v>
      </c>
      <c r="B9" s="3481" t="s">
        <v>3493</v>
      </c>
      <c r="C9" s="3881">
        <f>ROUND(C8*H9,0)</f>
        <v>76967</v>
      </c>
      <c r="D9" s="3882"/>
      <c r="E9" s="3882"/>
      <c r="F9" s="3883"/>
      <c r="G9" s="3477" t="s">
        <v>3494</v>
      </c>
      <c r="H9" s="3913">
        <f>'数据-取费表'!B33</f>
        <v>0.03</v>
      </c>
      <c r="I9" s="3913"/>
      <c r="J9" s="3498">
        <f ca="1">D37</f>
        <v>7.18</v>
      </c>
      <c r="K9" s="3927"/>
      <c r="L9" s="3493" t="s">
        <v>3495</v>
      </c>
      <c r="M9" s="3494">
        <v>100</v>
      </c>
      <c r="N9" s="3494" t="s">
        <v>3486</v>
      </c>
      <c r="O9" s="3494">
        <v>60</v>
      </c>
      <c r="P9" s="3496">
        <f>1-P7-P8</f>
        <v>0.19999999999999996</v>
      </c>
    </row>
    <row r="10" spans="1:16" s="3491" customFormat="1" ht="18" customHeight="1">
      <c r="A10" s="3475" t="s">
        <v>3496</v>
      </c>
      <c r="B10" s="3481" t="s">
        <v>3497</v>
      </c>
      <c r="C10" s="3881">
        <f>ROUND(C8*H10,0)</f>
        <v>0</v>
      </c>
      <c r="D10" s="3882"/>
      <c r="E10" s="3882"/>
      <c r="F10" s="3883"/>
      <c r="G10" s="3477" t="s">
        <v>3494</v>
      </c>
      <c r="H10" s="3913">
        <v>0</v>
      </c>
      <c r="I10" s="3913"/>
      <c r="J10" s="3498">
        <f ca="1">D38</f>
        <v>11.2</v>
      </c>
      <c r="K10" s="3927"/>
      <c r="L10" s="3499" t="s">
        <v>3473</v>
      </c>
      <c r="M10" s="3500">
        <f>1-M5</f>
        <v>0.5</v>
      </c>
      <c r="N10" s="3494" t="s">
        <v>3471</v>
      </c>
      <c r="O10" s="3501">
        <f>ROUND((O7*P7+O8*P8+O9*P9)/100,2)</f>
        <v>0.6</v>
      </c>
      <c r="P10" s="3502"/>
    </row>
    <row r="11" spans="1:16" s="3491" customFormat="1" ht="29.25" customHeight="1">
      <c r="A11" s="3475" t="s">
        <v>3498</v>
      </c>
      <c r="B11" s="3481" t="s">
        <v>3499</v>
      </c>
      <c r="C11" s="3881">
        <f>ROUND(I11*I3,0)</f>
        <v>213796</v>
      </c>
      <c r="D11" s="3882"/>
      <c r="E11" s="3882"/>
      <c r="F11" s="3883"/>
      <c r="G11" s="3477" t="s">
        <v>3500</v>
      </c>
      <c r="H11" s="3481" t="s">
        <v>3501</v>
      </c>
      <c r="I11" s="3477">
        <f>'数据-取费表'!B35</f>
        <v>200</v>
      </c>
      <c r="J11" s="3489"/>
      <c r="K11" s="3503"/>
      <c r="L11" s="3503"/>
      <c r="N11" s="3491" t="e">
        <f>(M4+O10)/2</f>
        <v>#DIV/0!</v>
      </c>
    </row>
    <row r="12" spans="1:16" s="3491" customFormat="1" ht="18" customHeight="1">
      <c r="A12" s="3475" t="s">
        <v>3502</v>
      </c>
      <c r="B12" s="3481" t="s">
        <v>3503</v>
      </c>
      <c r="C12" s="3881">
        <f>ROUND(C8*H12,0)</f>
        <v>38483</v>
      </c>
      <c r="D12" s="3882"/>
      <c r="E12" s="3882"/>
      <c r="F12" s="3883"/>
      <c r="G12" s="3477" t="s">
        <v>3494</v>
      </c>
      <c r="H12" s="3913">
        <f>'数据-取费表'!B36</f>
        <v>1.4999999999999999E-2</v>
      </c>
      <c r="I12" s="3913"/>
      <c r="J12" s="3504" t="s">
        <v>3504</v>
      </c>
      <c r="L12" s="3505"/>
    </row>
    <row r="13" spans="1:16" s="3491" customFormat="1" ht="18" customHeight="1">
      <c r="A13" s="3475" t="s">
        <v>3505</v>
      </c>
      <c r="B13" s="3481" t="s">
        <v>3506</v>
      </c>
      <c r="C13" s="3881">
        <f>SUM(C8:F12)</f>
        <v>2894798</v>
      </c>
      <c r="D13" s="3882"/>
      <c r="E13" s="3882"/>
      <c r="F13" s="3883"/>
      <c r="G13" s="3892" t="s">
        <v>3507</v>
      </c>
      <c r="H13" s="3892"/>
      <c r="I13" s="3892"/>
      <c r="J13" s="3504" t="s">
        <v>3508</v>
      </c>
      <c r="L13" s="3505"/>
    </row>
    <row r="14" spans="1:16" s="3491" customFormat="1" ht="18" customHeight="1">
      <c r="A14" s="3475" t="s">
        <v>3509</v>
      </c>
      <c r="B14" s="3481" t="s">
        <v>3510</v>
      </c>
      <c r="C14" s="3881">
        <f>ROUND(C13*H14,0)</f>
        <v>57896</v>
      </c>
      <c r="D14" s="3882"/>
      <c r="E14" s="3882"/>
      <c r="F14" s="3883"/>
      <c r="G14" s="3477" t="s">
        <v>3511</v>
      </c>
      <c r="H14" s="3913">
        <f>'数据-取费表'!B37</f>
        <v>0.02</v>
      </c>
      <c r="I14" s="3913"/>
      <c r="J14" s="3489"/>
      <c r="L14" s="3505"/>
    </row>
    <row r="15" spans="1:16" s="3491" customFormat="1" ht="18" customHeight="1">
      <c r="A15" s="3475" t="s">
        <v>3512</v>
      </c>
      <c r="B15" s="3481" t="s">
        <v>3513</v>
      </c>
      <c r="C15" s="3895">
        <f>H15</f>
        <v>0.02</v>
      </c>
      <c r="D15" s="3896"/>
      <c r="E15" s="3911" t="str">
        <f>E18</f>
        <v>V</v>
      </c>
      <c r="F15" s="3912"/>
      <c r="G15" s="3477" t="s">
        <v>3514</v>
      </c>
      <c r="H15" s="3913">
        <f>'数据-取费表'!B38</f>
        <v>0.02</v>
      </c>
      <c r="I15" s="3913"/>
      <c r="J15" s="3506"/>
      <c r="K15" s="3507"/>
    </row>
    <row r="16" spans="1:16" s="3491" customFormat="1" ht="18" customHeight="1">
      <c r="A16" s="3508" t="s">
        <v>3515</v>
      </c>
      <c r="B16" s="3509" t="s">
        <v>3516</v>
      </c>
      <c r="C16" s="3510">
        <f ca="1">C17</f>
        <v>122537</v>
      </c>
      <c r="D16" s="3511" t="s">
        <v>3517</v>
      </c>
      <c r="E16" s="3512">
        <f ca="1">C18</f>
        <v>8.299999999999999E-4</v>
      </c>
      <c r="F16" s="3513" t="str">
        <f>E18</f>
        <v>V</v>
      </c>
      <c r="G16" s="3881" t="s">
        <v>3518</v>
      </c>
      <c r="H16" s="3882"/>
      <c r="I16" s="3883"/>
      <c r="J16" s="3489"/>
      <c r="K16" s="3503"/>
    </row>
    <row r="17" spans="1:12" s="3491" customFormat="1" ht="18" customHeight="1">
      <c r="A17" s="3475" t="s">
        <v>3519</v>
      </c>
      <c r="B17" s="3481" t="s">
        <v>3520</v>
      </c>
      <c r="C17" s="3881">
        <f ca="1">ROUND((C13+C14)*I18*(I17/2),0)</f>
        <v>122537</v>
      </c>
      <c r="D17" s="3882"/>
      <c r="E17" s="3882"/>
      <c r="F17" s="3883"/>
      <c r="G17" s="3510" t="s">
        <v>3521</v>
      </c>
      <c r="H17" s="3481" t="s">
        <v>3522</v>
      </c>
      <c r="I17" s="3514">
        <f>'数据-取费表'!B21</f>
        <v>2</v>
      </c>
      <c r="J17" s="3504" t="s">
        <v>3523</v>
      </c>
      <c r="K17" s="3503"/>
      <c r="L17" s="3503"/>
    </row>
    <row r="18" spans="1:12" s="3491" customFormat="1" ht="18" customHeight="1">
      <c r="A18" s="3475" t="s">
        <v>3524</v>
      </c>
      <c r="B18" s="3481" t="s">
        <v>3525</v>
      </c>
      <c r="C18" s="3914">
        <f ca="1">H15*I18*I17/2</f>
        <v>8.299999999999999E-4</v>
      </c>
      <c r="D18" s="3915"/>
      <c r="E18" s="3911" t="s">
        <v>3526</v>
      </c>
      <c r="F18" s="3912"/>
      <c r="G18" s="3510" t="s">
        <v>3527</v>
      </c>
      <c r="H18" s="3481" t="s">
        <v>3528</v>
      </c>
      <c r="I18" s="3515">
        <f ca="1">'数据-取费表'!B40</f>
        <v>4.1499999999999995E-2</v>
      </c>
      <c r="J18" s="3504" t="s">
        <v>3529</v>
      </c>
      <c r="K18" s="3503"/>
      <c r="L18" s="3503"/>
    </row>
    <row r="19" spans="1:12" s="3491" customFormat="1" ht="27" customHeight="1">
      <c r="A19" s="3475" t="s">
        <v>3530</v>
      </c>
      <c r="B19" s="3481" t="s">
        <v>3531</v>
      </c>
      <c r="C19" s="3510">
        <f>C20</f>
        <v>590539</v>
      </c>
      <c r="D19" s="3511" t="s">
        <v>3517</v>
      </c>
      <c r="E19" s="3511">
        <f>C21</f>
        <v>4.0000000000000001E-3</v>
      </c>
      <c r="F19" s="3513" t="str">
        <f>E21</f>
        <v>V</v>
      </c>
      <c r="G19" s="3881" t="s">
        <v>3532</v>
      </c>
      <c r="H19" s="3882"/>
      <c r="I19" s="3883"/>
      <c r="J19" s="3489"/>
      <c r="K19" s="3503"/>
      <c r="L19" s="3503"/>
    </row>
    <row r="20" spans="1:12" s="3491" customFormat="1" ht="26.25" customHeight="1">
      <c r="A20" s="3475" t="s">
        <v>3533</v>
      </c>
      <c r="B20" s="3481" t="s">
        <v>3534</v>
      </c>
      <c r="C20" s="3881">
        <f>ROUND((C13+C14)*I20,0)</f>
        <v>590539</v>
      </c>
      <c r="D20" s="3882"/>
      <c r="E20" s="3882"/>
      <c r="F20" s="3883"/>
      <c r="G20" s="3477" t="s">
        <v>3535</v>
      </c>
      <c r="H20" s="3906" t="s">
        <v>3536</v>
      </c>
      <c r="I20" s="3908">
        <v>0.2</v>
      </c>
      <c r="J20" s="3504" t="s">
        <v>3537</v>
      </c>
      <c r="K20" s="3503"/>
      <c r="L20" s="3503"/>
    </row>
    <row r="21" spans="1:12" s="3491" customFormat="1" ht="27" customHeight="1">
      <c r="A21" s="3475" t="s">
        <v>3533</v>
      </c>
      <c r="B21" s="3481" t="s">
        <v>3538</v>
      </c>
      <c r="C21" s="3909">
        <f>H15*I20</f>
        <v>4.0000000000000001E-3</v>
      </c>
      <c r="D21" s="3910"/>
      <c r="E21" s="3911" t="s">
        <v>3539</v>
      </c>
      <c r="F21" s="3912"/>
      <c r="G21" s="3477" t="s">
        <v>3540</v>
      </c>
      <c r="H21" s="3907"/>
      <c r="I21" s="3908"/>
      <c r="J21" s="3489"/>
      <c r="K21" s="3503"/>
      <c r="L21" s="3503"/>
    </row>
    <row r="22" spans="1:12" s="3491" customFormat="1" ht="18" customHeight="1">
      <c r="A22" s="3475" t="s">
        <v>3541</v>
      </c>
      <c r="B22" s="3481" t="s">
        <v>3542</v>
      </c>
      <c r="C22" s="3909">
        <f>ROUND(H22/1.05,4)</f>
        <v>5.33E-2</v>
      </c>
      <c r="D22" s="3910"/>
      <c r="E22" s="3911" t="s">
        <v>3539</v>
      </c>
      <c r="F22" s="3912"/>
      <c r="G22" s="3477" t="s">
        <v>3543</v>
      </c>
      <c r="H22" s="3913">
        <f>'数据-取费表'!B41</f>
        <v>5.6000000000000001E-2</v>
      </c>
      <c r="I22" s="3913"/>
      <c r="J22" s="3516"/>
      <c r="K22" s="3503"/>
      <c r="L22" s="3503"/>
    </row>
    <row r="23" spans="1:12" s="3491" customFormat="1" ht="18" customHeight="1">
      <c r="A23" s="3475" t="s">
        <v>3544</v>
      </c>
      <c r="B23" s="3481" t="s">
        <v>3545</v>
      </c>
      <c r="C23" s="3881">
        <f ca="1">ROUND((C13+C14+C17+C20)/(1-H15-C18-C21-C22),0)</f>
        <v>3976450</v>
      </c>
      <c r="D23" s="3882"/>
      <c r="E23" s="3882"/>
      <c r="F23" s="3883"/>
      <c r="G23" s="3881" t="s">
        <v>3546</v>
      </c>
      <c r="H23" s="3882"/>
      <c r="I23" s="3883"/>
      <c r="J23" s="3516"/>
      <c r="K23" s="3503"/>
      <c r="L23" s="3503"/>
    </row>
    <row r="24" spans="1:12" s="3491" customFormat="1" ht="18" customHeight="1">
      <c r="A24" s="3475" t="s">
        <v>3547</v>
      </c>
      <c r="B24" s="3481" t="s">
        <v>3548</v>
      </c>
      <c r="C24" s="3517">
        <f ca="1">C27+C28</f>
        <v>63405</v>
      </c>
      <c r="D24" s="3518" t="s">
        <v>3549</v>
      </c>
      <c r="E24" s="3905">
        <f>H29+E26+H25</f>
        <v>0.18028571428571427</v>
      </c>
      <c r="F24" s="3898"/>
      <c r="G24" s="3892" t="s">
        <v>3550</v>
      </c>
      <c r="H24" s="3892"/>
      <c r="I24" s="3892"/>
      <c r="J24" s="3516"/>
      <c r="K24" s="3503"/>
      <c r="L24" s="3503"/>
    </row>
    <row r="25" spans="1:12" s="3491" customFormat="1" ht="18" customHeight="1">
      <c r="A25" s="3475" t="s">
        <v>3505</v>
      </c>
      <c r="B25" s="3481" t="s">
        <v>3551</v>
      </c>
      <c r="C25" s="3895" t="s">
        <v>3552</v>
      </c>
      <c r="D25" s="3896"/>
      <c r="E25" s="3899">
        <f>ROUND(H25/1.05,4)</f>
        <v>5.33E-2</v>
      </c>
      <c r="F25" s="3900"/>
      <c r="G25" s="3477" t="s">
        <v>3553</v>
      </c>
      <c r="H25" s="3893">
        <v>5.6000000000000001E-2</v>
      </c>
      <c r="I25" s="3893"/>
      <c r="J25" s="3506"/>
      <c r="K25" s="3503"/>
      <c r="L25" s="3503"/>
    </row>
    <row r="26" spans="1:12" s="3491" customFormat="1" ht="18" customHeight="1">
      <c r="A26" s="3475" t="s">
        <v>3509</v>
      </c>
      <c r="B26" s="3481" t="s">
        <v>3554</v>
      </c>
      <c r="C26" s="3895" t="s">
        <v>3552</v>
      </c>
      <c r="D26" s="3896"/>
      <c r="E26" s="3901">
        <f>12%/1.05</f>
        <v>0.11428571428571428</v>
      </c>
      <c r="F26" s="3902"/>
      <c r="G26" s="3477"/>
      <c r="H26" s="3903">
        <f>'数据-取费表'!B51</f>
        <v>0.12</v>
      </c>
      <c r="I26" s="3904"/>
      <c r="J26" s="3506"/>
      <c r="K26" s="3503"/>
      <c r="L26" s="3503"/>
    </row>
    <row r="27" spans="1:12" s="3491" customFormat="1" ht="18" customHeight="1">
      <c r="A27" s="3475" t="s">
        <v>3512</v>
      </c>
      <c r="B27" s="3481" t="s">
        <v>3555</v>
      </c>
      <c r="C27" s="3881">
        <f ca="1">ROUND(C23*H27,0)</f>
        <v>59647</v>
      </c>
      <c r="D27" s="3882"/>
      <c r="E27" s="3882"/>
      <c r="F27" s="3883"/>
      <c r="G27" s="3477" t="s">
        <v>3556</v>
      </c>
      <c r="H27" s="3893">
        <f>'数据-取费表'!AK6</f>
        <v>1.4999999999999999E-2</v>
      </c>
      <c r="I27" s="3893"/>
      <c r="J27" s="3506"/>
      <c r="K27" s="3503"/>
      <c r="L27" s="3503"/>
    </row>
    <row r="28" spans="1:12" s="3491" customFormat="1" ht="18" customHeight="1">
      <c r="A28" s="3475" t="s">
        <v>3515</v>
      </c>
      <c r="B28" s="3481" t="s">
        <v>3557</v>
      </c>
      <c r="C28" s="3881">
        <f ca="1">ROUND(C7*H28,0)</f>
        <v>3758</v>
      </c>
      <c r="D28" s="3882"/>
      <c r="E28" s="3882"/>
      <c r="F28" s="3883"/>
      <c r="G28" s="3477" t="s">
        <v>3558</v>
      </c>
      <c r="H28" s="3894">
        <f>'数据-取费表'!AL6</f>
        <v>1.5E-3</v>
      </c>
      <c r="I28" s="3894"/>
      <c r="J28" s="3489"/>
      <c r="K28" s="3503"/>
      <c r="L28" s="3503"/>
    </row>
    <row r="29" spans="1:12" s="3491" customFormat="1" ht="18" customHeight="1">
      <c r="A29" s="3475" t="s">
        <v>3530</v>
      </c>
      <c r="B29" s="3481" t="s">
        <v>3559</v>
      </c>
      <c r="C29" s="3895" t="s">
        <v>3552</v>
      </c>
      <c r="D29" s="3896"/>
      <c r="E29" s="3897">
        <f>H29</f>
        <v>0.01</v>
      </c>
      <c r="F29" s="3898"/>
      <c r="G29" s="3477" t="s">
        <v>3560</v>
      </c>
      <c r="H29" s="3893">
        <f>'数据-取费表'!AM6</f>
        <v>0.01</v>
      </c>
      <c r="I29" s="3893"/>
      <c r="J29" s="3519"/>
      <c r="K29" s="3503"/>
      <c r="L29" s="3503"/>
    </row>
    <row r="30" spans="1:12" s="3491" customFormat="1" ht="18" customHeight="1">
      <c r="A30" s="3480" t="s">
        <v>3561</v>
      </c>
      <c r="B30" s="3481" t="s">
        <v>3562</v>
      </c>
      <c r="C30" s="3881">
        <f ca="1">ROUND((C4+C24)/(1-E24),0)</f>
        <v>2381275</v>
      </c>
      <c r="D30" s="3882"/>
      <c r="E30" s="3882"/>
      <c r="F30" s="3883"/>
      <c r="G30" s="3884" t="s">
        <v>3563</v>
      </c>
      <c r="H30" s="3884"/>
      <c r="I30" s="3884"/>
      <c r="J30" s="3520" t="s">
        <v>3564</v>
      </c>
      <c r="K30" s="3503"/>
      <c r="L30" s="3503"/>
    </row>
    <row r="31" spans="1:12" s="3491" customFormat="1" ht="18" customHeight="1">
      <c r="A31" s="3884" t="s">
        <v>3565</v>
      </c>
      <c r="B31" s="3885" t="s">
        <v>3566</v>
      </c>
      <c r="C31" s="3886">
        <f ca="1">ROUND(C30/I31/I32/I3,2)</f>
        <v>7.18</v>
      </c>
      <c r="D31" s="3887"/>
      <c r="E31" s="3887"/>
      <c r="F31" s="3888"/>
      <c r="G31" s="3892" t="s">
        <v>3567</v>
      </c>
      <c r="H31" s="3481" t="s">
        <v>3568</v>
      </c>
      <c r="I31" s="3477">
        <v>365</v>
      </c>
      <c r="J31" s="3521"/>
      <c r="K31" s="3503"/>
      <c r="L31" s="3503"/>
    </row>
    <row r="32" spans="1:12" s="3491" customFormat="1" ht="18" customHeight="1">
      <c r="A32" s="3884"/>
      <c r="B32" s="3885"/>
      <c r="C32" s="3889"/>
      <c r="D32" s="3890"/>
      <c r="E32" s="3890"/>
      <c r="F32" s="3891"/>
      <c r="G32" s="3892"/>
      <c r="H32" s="3481" t="s">
        <v>3569</v>
      </c>
      <c r="I32" s="3522">
        <v>0.85</v>
      </c>
      <c r="J32" s="3523"/>
      <c r="K32" s="3503"/>
      <c r="L32" s="3524"/>
    </row>
    <row r="33" spans="1:13" s="3491" customFormat="1" ht="18" customHeight="1">
      <c r="A33" s="3474"/>
      <c r="B33" s="3525"/>
      <c r="C33" s="3526"/>
      <c r="D33" s="3526"/>
      <c r="E33" s="3526"/>
      <c r="F33" s="3526"/>
      <c r="G33" s="3527"/>
      <c r="H33" s="3528"/>
      <c r="I33" s="3474"/>
      <c r="J33" s="3529"/>
      <c r="K33" s="3503"/>
      <c r="L33" s="3524"/>
    </row>
    <row r="34" spans="1:13" s="3491" customFormat="1" ht="18" customHeight="1">
      <c r="A34" s="3474"/>
      <c r="B34" s="3874" t="s">
        <v>3570</v>
      </c>
      <c r="C34" s="3874"/>
      <c r="D34" s="3874"/>
      <c r="E34" s="3874"/>
      <c r="F34" s="3874"/>
      <c r="G34" s="3530"/>
      <c r="H34" s="3531"/>
      <c r="I34" s="3532"/>
      <c r="J34" s="3489"/>
      <c r="K34" s="3503"/>
      <c r="L34" s="3503"/>
      <c r="M34" s="3474"/>
    </row>
    <row r="35" spans="1:13" s="3491" customFormat="1" ht="18" customHeight="1">
      <c r="A35" s="3474"/>
      <c r="B35" s="3533" t="s">
        <v>3571</v>
      </c>
      <c r="C35" s="3534" t="s">
        <v>3480</v>
      </c>
      <c r="D35" s="3875" t="s">
        <v>3572</v>
      </c>
      <c r="E35" s="3875"/>
      <c r="F35" s="3875"/>
      <c r="G35" s="3530"/>
      <c r="H35" s="3531"/>
      <c r="I35" s="3535"/>
      <c r="J35" s="3516"/>
      <c r="K35" s="3474"/>
      <c r="L35" s="3474"/>
      <c r="M35" s="3474"/>
    </row>
    <row r="36" spans="1:13">
      <c r="B36" s="3533" t="s">
        <v>3573</v>
      </c>
      <c r="C36" s="3536">
        <v>1</v>
      </c>
      <c r="D36" s="3876">
        <f>'比较法-商业'!C49</f>
        <v>11.2</v>
      </c>
      <c r="E36" s="3876"/>
      <c r="F36" s="3876"/>
      <c r="G36" s="3530"/>
      <c r="H36" s="3531"/>
      <c r="I36" s="3535"/>
      <c r="K36" s="3474"/>
      <c r="L36" s="3474"/>
    </row>
    <row r="37" spans="1:13" ht="20.100000000000001" customHeight="1">
      <c r="B37" s="3533" t="s">
        <v>3574</v>
      </c>
      <c r="C37" s="3536">
        <f>1-C36</f>
        <v>0</v>
      </c>
      <c r="D37" s="3876">
        <f ca="1">C31</f>
        <v>7.18</v>
      </c>
      <c r="E37" s="3876"/>
      <c r="F37" s="3876"/>
      <c r="G37" s="3537">
        <f ca="1">(D37-D36)/D37</f>
        <v>-0.55988857938718661</v>
      </c>
      <c r="H37" s="3538"/>
      <c r="I37" s="3539"/>
      <c r="J37" s="3474"/>
      <c r="K37" s="3474"/>
      <c r="L37" s="3474"/>
    </row>
    <row r="38" spans="1:13" ht="22.5" customHeight="1">
      <c r="B38" s="3877" t="s">
        <v>3575</v>
      </c>
      <c r="C38" s="3877"/>
      <c r="D38" s="3878">
        <f ca="1">ROUND(D36*C36+D37*C37,2)</f>
        <v>11.2</v>
      </c>
      <c r="E38" s="3879"/>
      <c r="F38" s="3880"/>
      <c r="G38" s="3530"/>
      <c r="H38" s="3538"/>
      <c r="I38" s="3539"/>
      <c r="J38" s="3474"/>
      <c r="K38" s="3474"/>
      <c r="L38" s="3474"/>
    </row>
    <row r="39" spans="1:13" ht="22.5" customHeight="1">
      <c r="B39" s="3533" t="s">
        <v>3576</v>
      </c>
      <c r="C39" s="3540">
        <f ca="1">ROUND(D38*0.9,1)</f>
        <v>10.1</v>
      </c>
      <c r="D39" s="3541" t="s">
        <v>3577</v>
      </c>
      <c r="E39" s="3872">
        <f ca="1">ROUND(D38*1.1,1)</f>
        <v>12.3</v>
      </c>
      <c r="F39" s="3872"/>
      <c r="G39" s="3542"/>
      <c r="H39" s="3543"/>
      <c r="J39" s="3474"/>
      <c r="K39" s="3474"/>
      <c r="L39" s="3474"/>
    </row>
    <row r="40" spans="1:13" ht="18" customHeight="1">
      <c r="B40" s="3533" t="s">
        <v>3578</v>
      </c>
      <c r="C40" s="3544">
        <f ca="1">ROUND(C39*365*I3/12,0)</f>
        <v>328400</v>
      </c>
      <c r="D40" s="3541" t="s">
        <v>3577</v>
      </c>
      <c r="E40" s="3873">
        <f ca="1">ROUND(E39*365*I3/12,0)</f>
        <v>399932</v>
      </c>
      <c r="F40" s="3873"/>
      <c r="G40" s="3545" t="s">
        <v>3579</v>
      </c>
      <c r="H40" s="3545">
        <f>ROUND(65*12/365,2)</f>
        <v>2.14</v>
      </c>
      <c r="J40" s="3474"/>
      <c r="K40" s="3474"/>
      <c r="L40" s="3474"/>
    </row>
    <row r="41" spans="1:13" ht="18" customHeight="1">
      <c r="B41" s="3546"/>
      <c r="C41" s="3547"/>
      <c r="D41" s="3531"/>
      <c r="E41" s="3531"/>
      <c r="F41" s="3531"/>
      <c r="G41" s="3542"/>
      <c r="H41" s="3548"/>
      <c r="J41" s="3474"/>
    </row>
    <row r="42" spans="1:13" ht="18" customHeight="1">
      <c r="B42" s="3542" t="s">
        <v>3580</v>
      </c>
      <c r="C42" s="3531"/>
      <c r="D42" s="3531"/>
      <c r="E42" s="3542" t="s">
        <v>3581</v>
      </c>
      <c r="F42" s="3531"/>
      <c r="G42" s="3542"/>
      <c r="H42" s="3542" t="s">
        <v>3582</v>
      </c>
      <c r="J42" s="3474"/>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2314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21647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1453</v>
      </c>
      <c r="D5" s="211" t="s">
        <v>1469</v>
      </c>
      <c r="E5" s="212" t="s">
        <v>1470</v>
      </c>
      <c r="F5" s="212" t="s">
        <v>1471</v>
      </c>
      <c r="G5" s="213"/>
    </row>
    <row r="6" spans="1:9" s="214" customFormat="1" ht="13.5" customHeight="1">
      <c r="A6" s="777" t="s">
        <v>1472</v>
      </c>
      <c r="B6" s="215" t="s">
        <v>1473</v>
      </c>
      <c r="C6" s="216">
        <f>基准地价修正!B2</f>
        <v>1410</v>
      </c>
      <c r="D6" s="217"/>
      <c r="E6" s="218"/>
      <c r="F6" s="218"/>
      <c r="G6" s="219"/>
    </row>
    <row r="7" spans="1:9" s="214" customFormat="1" ht="13.5" customHeight="1">
      <c r="A7" s="777" t="s">
        <v>1474</v>
      </c>
      <c r="B7" s="215" t="s">
        <v>1475</v>
      </c>
      <c r="C7" s="220">
        <f>ROUND(C6*F7,0)</f>
        <v>43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v>
      </c>
      <c r="D8" s="222"/>
      <c r="E8" s="220"/>
      <c r="F8" s="221"/>
      <c r="G8" s="1855" t="s">
        <v>3587</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3588</v>
      </c>
      <c r="H9" s="1136"/>
      <c r="I9" s="1857" t="s">
        <v>1479</v>
      </c>
    </row>
    <row r="10" spans="1:9" s="214" customFormat="1" ht="13.5" customHeight="1">
      <c r="A10" s="778" t="s">
        <v>356</v>
      </c>
      <c r="B10" s="224" t="s">
        <v>1480</v>
      </c>
      <c r="C10" s="225">
        <f ca="1">ROUND(D10*E10/10000,0)</f>
        <v>21</v>
      </c>
      <c r="D10" s="844">
        <f ca="1">IF(B1="",'数据-汇总表'!E6,IF(INDIRECT("'数据-取费表'!c"&amp;$G$1)="住宅",INDIRECT("'数据-取费表'!s"&amp;$G$1),INDIRECT("'数据-取费表'!k"&amp;$G$1)+INDIRECT("'数据-取费表'!s"&amp;$G$1)))</f>
        <v>1068.98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1068.98</v>
      </c>
      <c r="E19" s="211">
        <f>'数据-取费表'!B31</f>
        <v>200</v>
      </c>
      <c r="F19" s="231"/>
      <c r="G19" s="1855" t="s">
        <v>3589</v>
      </c>
    </row>
    <row r="20" spans="1:7" s="214" customFormat="1" ht="13.5" customHeight="1">
      <c r="A20" s="255" t="s">
        <v>1493</v>
      </c>
      <c r="B20" s="210" t="s">
        <v>1494</v>
      </c>
      <c r="C20" s="232">
        <f ca="1">ROUND((C5+C19)*F20,0)</f>
        <v>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296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296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2063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257</v>
      </c>
      <c r="D34" s="217"/>
      <c r="E34" s="220"/>
      <c r="F34" s="257">
        <f ca="1">IF('数据-取费表'!B24=0,1,IF(B1="",'数据-取费表'!N16,INDIRECT("'数据-取费表'!n"&amp;$G$1)))</f>
        <v>1</v>
      </c>
      <c r="G34" s="219" t="s">
        <v>1526</v>
      </c>
    </row>
    <row r="35" spans="1:7" ht="13.5" customHeight="1">
      <c r="A35" s="779" t="s">
        <v>351</v>
      </c>
      <c r="B35" s="215" t="s">
        <v>1527</v>
      </c>
      <c r="C35" s="220">
        <f ca="1">ROUND(C34*F35,0)</f>
        <v>8</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21</v>
      </c>
      <c r="D37" s="217">
        <f ca="1">D19</f>
        <v>1068.98</v>
      </c>
      <c r="E37" s="249">
        <f>'数据-取费表'!B35</f>
        <v>200</v>
      </c>
      <c r="F37" s="259"/>
      <c r="G37" s="261" t="s">
        <v>1532</v>
      </c>
    </row>
    <row r="38" spans="1:7" ht="13.5" customHeight="1">
      <c r="A38" s="779"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12</v>
      </c>
      <c r="D42" s="238"/>
      <c r="E42" s="238"/>
      <c r="F42" s="239"/>
      <c r="G42" s="3849" t="s">
        <v>1544</v>
      </c>
    </row>
    <row r="43" spans="1:7" ht="13.5" customHeight="1">
      <c r="A43" s="779" t="s">
        <v>347</v>
      </c>
      <c r="B43" s="215" t="s">
        <v>1545</v>
      </c>
      <c r="C43" s="238">
        <f ca="1">ROUND(IF('数据-取费表'!B22&lt;=1,C39*F22*'数据-取费表'!B21/2,C39*(POWER((1+F22),'数据-取费表'!B21/2)-1)),0)</f>
        <v>0</v>
      </c>
      <c r="D43" s="238"/>
      <c r="E43" s="238"/>
      <c r="F43" s="239"/>
      <c r="G43" s="3850"/>
    </row>
    <row r="44" spans="1:7" ht="13.5" customHeight="1">
      <c r="A44" s="779" t="s">
        <v>348</v>
      </c>
      <c r="B44" s="215" t="s">
        <v>1546</v>
      </c>
      <c r="C44" s="238">
        <f ca="1">ROUND(IF('数据-取费表'!B22&lt;=1,C40*F22*'数据-取费表'!B21/2,C40*(POWER((1+F22),'数据-取费表'!B21/2)-1)),4)</f>
        <v>8.0000000000000004E-4</v>
      </c>
      <c r="D44" s="238"/>
      <c r="E44" s="238"/>
      <c r="F44" s="239"/>
      <c r="G44" s="3851"/>
    </row>
    <row r="45" spans="1:7" s="214" customFormat="1" ht="13.5" customHeight="1">
      <c r="A45" s="255" t="s">
        <v>1547</v>
      </c>
      <c r="B45" s="244" t="s">
        <v>1513</v>
      </c>
      <c r="C45" s="245">
        <f ca="1">C46</f>
        <v>59</v>
      </c>
      <c r="D45" s="235">
        <f ca="1">C47</f>
        <v>4.0000000000000001E-3</v>
      </c>
      <c r="E45" s="236" t="s">
        <v>1539</v>
      </c>
      <c r="F45" s="246">
        <f ca="1">F27</f>
        <v>0.2</v>
      </c>
      <c r="G45" s="247" t="s">
        <v>1548</v>
      </c>
    </row>
    <row r="46" spans="1:7" s="214" customFormat="1" ht="13.5" customHeight="1">
      <c r="A46" s="779" t="s">
        <v>346</v>
      </c>
      <c r="B46" s="248" t="s">
        <v>1549</v>
      </c>
      <c r="C46" s="249">
        <f ca="1">ROUND((C33+C39)*F27,0)</f>
        <v>59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398</v>
      </c>
      <c r="D49" s="232"/>
      <c r="E49" s="232"/>
      <c r="F49" s="264"/>
      <c r="G49" s="234" t="s">
        <v>1554</v>
      </c>
    </row>
    <row r="50" spans="1:7" s="258" customFormat="1" ht="24">
      <c r="A50" s="255" t="s">
        <v>1555</v>
      </c>
      <c r="B50" s="210" t="s">
        <v>1556</v>
      </c>
      <c r="C50" s="232"/>
      <c r="D50" s="232"/>
      <c r="E50" s="232"/>
      <c r="F50" s="264">
        <f>IF('数据-取费表'!B24=0,'数据-取费表'!N16,1)</f>
        <v>0.63</v>
      </c>
      <c r="G50" s="247" t="s">
        <v>1557</v>
      </c>
    </row>
    <row r="51" spans="1:7" ht="16.5" customHeight="1">
      <c r="A51" s="255" t="s">
        <v>1558</v>
      </c>
      <c r="B51" s="210" t="s">
        <v>1559</v>
      </c>
      <c r="C51" s="232">
        <f ca="1">ROUND(C49*F50,0)</f>
        <v>251</v>
      </c>
      <c r="D51" s="232"/>
      <c r="E51" s="232"/>
      <c r="F51" s="264"/>
      <c r="G51" s="234" t="s">
        <v>1560</v>
      </c>
    </row>
    <row r="52" spans="1:7" s="208" customFormat="1" ht="16.5" thickBot="1">
      <c r="A52" s="265" t="s">
        <v>1561</v>
      </c>
      <c r="B52" s="266"/>
      <c r="C52" s="267">
        <f ca="1">C31+C51</f>
        <v>2314</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5" sqref="I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2343.9470999999999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21927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14737414.240000002</v>
      </c>
      <c r="D5" s="211" t="s">
        <v>1469</v>
      </c>
      <c r="E5" s="212" t="s">
        <v>1470</v>
      </c>
      <c r="F5" s="212" t="s">
        <v>1471</v>
      </c>
      <c r="G5" s="213"/>
    </row>
    <row r="6" spans="1:8" s="214" customFormat="1" ht="13.5" customHeight="1">
      <c r="A6" s="777" t="s">
        <v>1472</v>
      </c>
      <c r="B6" s="215" t="s">
        <v>1473</v>
      </c>
      <c r="C6" s="216">
        <f>基准地价修正!C33*基准地价修正!D33+基准地价修正!C37*基准地价修正!D37</f>
        <v>14093758.240000002</v>
      </c>
      <c r="D6" s="217"/>
      <c r="E6" s="218"/>
      <c r="F6" s="218"/>
      <c r="G6" s="219"/>
    </row>
    <row r="7" spans="1:8" s="214" customFormat="1" ht="13.5" customHeight="1">
      <c r="A7" s="777" t="s">
        <v>1474</v>
      </c>
      <c r="B7" s="215" t="s">
        <v>1475</v>
      </c>
      <c r="C7" s="220">
        <f>ROUND(C6*F7,0)</f>
        <v>429860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213796</v>
      </c>
      <c r="D8" s="222"/>
      <c r="E8" s="220"/>
      <c r="F8" s="221"/>
      <c r="G8" s="1855" t="s">
        <v>3587</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213796</v>
      </c>
      <c r="D10" s="844">
        <f ca="1">IF(B1="",'数据-汇总表'!E6,IF(INDIRECT("'数据-取费表'!c"&amp;$G$1)="住宅",INDIRECT("'数据-取费表'!s"&amp;$G$1),INDIRECT("'数据-取费表'!k"&amp;$G$1)+INDIRECT("'数据-取费表'!s"&amp;$G$1)))</f>
        <v>1068.98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1068.98</v>
      </c>
      <c r="E19" s="211">
        <f>'数据-取费表'!B31</f>
        <v>200</v>
      </c>
      <c r="F19" s="231"/>
      <c r="G19" s="1855" t="s">
        <v>3589</v>
      </c>
    </row>
    <row r="20" spans="1:7" s="214" customFormat="1" ht="13.5" customHeight="1">
      <c r="A20" s="255" t="s">
        <v>1574</v>
      </c>
      <c r="B20" s="210" t="s">
        <v>1575</v>
      </c>
      <c r="C20" s="232">
        <f ca="1">ROUND((C5+C19)*F20,0)</f>
        <v>294748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1260819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1248587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12232</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3006432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3006432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20934389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2894798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2565552</v>
      </c>
      <c r="D34" s="217"/>
      <c r="E34" s="220"/>
      <c r="F34" s="257"/>
      <c r="G34" s="219"/>
    </row>
    <row r="35" spans="1:7" ht="13.5" customHeight="1">
      <c r="A35" s="779" t="s">
        <v>351</v>
      </c>
      <c r="B35" s="215" t="s">
        <v>1527</v>
      </c>
      <c r="C35" s="220">
        <f ca="1">ROUND(C34*F35,0)</f>
        <v>76967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213796</v>
      </c>
      <c r="D37" s="217">
        <f ca="1">D19</f>
        <v>1068.98</v>
      </c>
      <c r="E37" s="249">
        <f>'数据-取费表'!B35</f>
        <v>200</v>
      </c>
      <c r="F37" s="259"/>
      <c r="G37" s="261"/>
    </row>
    <row r="38" spans="1:7" ht="13.5" customHeight="1">
      <c r="A38" s="779" t="s">
        <v>354</v>
      </c>
      <c r="B38" s="215" t="s">
        <v>1533</v>
      </c>
      <c r="C38" s="220">
        <f ca="1">ROUND(C34*F38,0)</f>
        <v>38483</v>
      </c>
      <c r="D38" s="220"/>
      <c r="E38" s="220"/>
      <c r="F38" s="259">
        <f>'数据-取费表'!B36</f>
        <v>1.4999999999999999E-2</v>
      </c>
      <c r="G38" s="219" t="s">
        <v>1528</v>
      </c>
    </row>
    <row r="39" spans="1:7" s="214" customFormat="1" ht="13.5" customHeight="1">
      <c r="A39" s="255" t="s">
        <v>1534</v>
      </c>
      <c r="B39" s="210" t="s">
        <v>1535</v>
      </c>
      <c r="C39" s="232">
        <f ca="1">ROUND(C33*F20,0)</f>
        <v>57896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122537</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120134</v>
      </c>
      <c r="D42" s="238"/>
      <c r="E42" s="238"/>
      <c r="F42" s="239"/>
      <c r="G42" s="3849" t="s">
        <v>1591</v>
      </c>
    </row>
    <row r="43" spans="1:7" ht="13.5" customHeight="1">
      <c r="A43" s="779" t="s">
        <v>347</v>
      </c>
      <c r="B43" s="215" t="s">
        <v>1545</v>
      </c>
      <c r="C43" s="238">
        <f ca="1">ROUND(IF('数据-取费表'!B22&lt;=1,C39*F22*'数据-取费表'!B20/2,C39*(POWER((1+F22),'数据-取费表'!B20/2)-1)),0)</f>
        <v>2403</v>
      </c>
      <c r="D43" s="238"/>
      <c r="E43" s="238"/>
      <c r="F43" s="239"/>
      <c r="G43" s="3850"/>
    </row>
    <row r="44" spans="1:7" ht="13.5" customHeight="1">
      <c r="A44" s="779" t="s">
        <v>348</v>
      </c>
      <c r="B44" s="215" t="s">
        <v>1546</v>
      </c>
      <c r="C44" s="238">
        <f ca="1">ROUND(IF('数据-取费表'!B22&lt;=1,C40*F22*'数据-取费表'!B20/2,C40*(POWER((1+F22),'数据-取费表'!B20/2)-1)),4)</f>
        <v>8.0000000000000004E-4</v>
      </c>
      <c r="D44" s="238"/>
      <c r="E44" s="238"/>
      <c r="F44" s="239"/>
      <c r="G44" s="3851"/>
    </row>
    <row r="45" spans="1:7" s="214" customFormat="1" ht="13.5" customHeight="1">
      <c r="A45" s="255" t="s">
        <v>1547</v>
      </c>
      <c r="B45" s="244" t="s">
        <v>1513</v>
      </c>
      <c r="C45" s="245">
        <f ca="1">C46</f>
        <v>590539</v>
      </c>
      <c r="D45" s="235">
        <f ca="1">C47</f>
        <v>4.0000000000000001E-3</v>
      </c>
      <c r="E45" s="236" t="s">
        <v>1539</v>
      </c>
      <c r="F45" s="246">
        <f ca="1">F27</f>
        <v>0.2</v>
      </c>
      <c r="G45" s="247" t="s">
        <v>1548</v>
      </c>
    </row>
    <row r="46" spans="1:7" s="214" customFormat="1" ht="13.5" customHeight="1">
      <c r="A46" s="779" t="s">
        <v>346</v>
      </c>
      <c r="B46" s="248" t="s">
        <v>1549</v>
      </c>
      <c r="C46" s="249">
        <f ca="1">ROUND((C33+C39)*F27,0)</f>
        <v>590539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3976321</v>
      </c>
      <c r="D49" s="232"/>
      <c r="E49" s="232"/>
      <c r="F49" s="264"/>
      <c r="G49" s="234" t="s">
        <v>1554</v>
      </c>
    </row>
    <row r="50" spans="1:7" s="258" customFormat="1">
      <c r="A50" s="255" t="s">
        <v>1555</v>
      </c>
      <c r="B50" s="210" t="s">
        <v>1556</v>
      </c>
      <c r="C50" s="232"/>
      <c r="D50" s="232"/>
      <c r="E50" s="232"/>
      <c r="F50" s="264">
        <f>IF('数据-取费表'!B24=0,'数据-取费表'!N16,1)</f>
        <v>0.63</v>
      </c>
      <c r="G50" s="247"/>
    </row>
    <row r="51" spans="1:7" ht="16.5" customHeight="1">
      <c r="A51" s="255" t="s">
        <v>1558</v>
      </c>
      <c r="B51" s="210" t="s">
        <v>1593</v>
      </c>
      <c r="C51" s="232">
        <f ca="1">ROUND(C49*F50,0)</f>
        <v>2505082</v>
      </c>
      <c r="D51" s="232"/>
      <c r="E51" s="232"/>
      <c r="F51" s="264"/>
      <c r="G51" s="234" t="s">
        <v>1560</v>
      </c>
    </row>
    <row r="52" spans="1:7" s="208" customFormat="1" ht="16.5" thickBot="1">
      <c r="A52" s="265" t="s">
        <v>1561</v>
      </c>
      <c r="B52" s="266"/>
      <c r="C52" s="267">
        <f ca="1">C31+C51</f>
        <v>23439471</v>
      </c>
      <c r="D52" s="266"/>
      <c r="E52" s="266"/>
      <c r="F52" s="266"/>
      <c r="G52" s="268"/>
    </row>
    <row r="55" spans="1:7" ht="15">
      <c r="B55" s="270" t="s">
        <v>1562</v>
      </c>
      <c r="C55" s="271"/>
    </row>
    <row r="56" spans="1:7">
      <c r="B56" s="273" t="s">
        <v>802</v>
      </c>
      <c r="C56" s="275">
        <f ca="1">1-C57</f>
        <v>0.89300000000000002</v>
      </c>
    </row>
    <row r="57" spans="1:7">
      <c r="B57" s="273" t="s">
        <v>803</v>
      </c>
      <c r="C57" s="274">
        <f ca="1">ROUND(C51/C52,3)</f>
        <v>0.107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H7" sqref="H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1068.98</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1410</v>
      </c>
      <c r="C2" s="1998" t="s">
        <v>1935</v>
      </c>
      <c r="D2" s="1999" t="s">
        <v>1936</v>
      </c>
      <c r="E2" s="3421"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Ⅲ—12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19004</v>
      </c>
      <c r="U2" s="1212">
        <f>'数据-汇总表'!F19</f>
        <v>523.84</v>
      </c>
      <c r="V2" s="3360">
        <f>ROUND(T2*U2/10000,0)</f>
        <v>996</v>
      </c>
      <c r="W2" s="1215"/>
      <c r="X2" s="1215"/>
      <c r="Y2" s="1215"/>
      <c r="Z2" s="1215"/>
      <c r="AA2" s="1215"/>
      <c r="AB2" s="1215"/>
      <c r="AC2" s="1216"/>
      <c r="AD2" s="1217"/>
      <c r="AE2" s="1217"/>
      <c r="AF2" s="1217"/>
      <c r="AG2" s="1217"/>
      <c r="AH2" s="1217"/>
      <c r="AI2" s="1217"/>
      <c r="AJ2" s="1218"/>
    </row>
    <row r="3" spans="1:36" ht="15.75">
      <c r="A3" s="203" t="s">
        <v>1940</v>
      </c>
      <c r="B3" s="204">
        <f>ROUND(B2*10000/D1,0)</f>
        <v>13190</v>
      </c>
      <c r="C3" s="1998" t="s">
        <v>1941</v>
      </c>
      <c r="D3" s="1999" t="s">
        <v>1942</v>
      </c>
      <c r="E3" s="3419" t="s">
        <v>2443</v>
      </c>
      <c r="F3" s="2003" t="s">
        <v>3583</v>
      </c>
      <c r="G3" s="751">
        <f>IF(F3="宗地容积率",'数据-汇总表'!I4,IF(F3="估价对象容积率",'数据-汇总表'!I6,'数据-汇总表'!I7))</f>
        <v>2</v>
      </c>
      <c r="H3" s="170" t="s">
        <v>1943</v>
      </c>
      <c r="I3" s="774">
        <v>1</v>
      </c>
      <c r="J3" s="2001" t="s">
        <v>1944</v>
      </c>
      <c r="K3" s="1118"/>
      <c r="L3" s="2002" t="s">
        <v>1945</v>
      </c>
      <c r="M3" s="863">
        <f>SUMPRODUCT((区片价!B30:B54=I2)*(区片价!C3:G3=E2)*(区片价!C30:G54))</f>
        <v>21220</v>
      </c>
      <c r="N3" s="865">
        <f>SUMPRODUCT((因素修正幅度!B30:B54=I2)*(因素修正幅度!C3:G3=E2)*(因素修正幅度!C30:G54))</f>
        <v>7.8E-2</v>
      </c>
      <c r="O3" s="1118"/>
      <c r="P3" s="1118"/>
      <c r="Q3" s="1118"/>
      <c r="R3" s="1211">
        <v>2</v>
      </c>
      <c r="S3" s="3360">
        <f>ROUND(SUMPRODUCT((B106:B110=R3)*(C105:N105=G2)*(C106:N110)),4)</f>
        <v>1.1838</v>
      </c>
      <c r="T3" s="3360">
        <f t="shared" si="0"/>
        <v>14979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935"/>
      <c r="B4" s="3936"/>
      <c r="C4" s="3936"/>
      <c r="D4" s="3937"/>
      <c r="E4" s="3937"/>
      <c r="F4" s="3937"/>
      <c r="G4" s="3937"/>
      <c r="H4" s="3937"/>
      <c r="I4" s="3937"/>
      <c r="J4" s="393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12660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21220</v>
      </c>
      <c r="D5" s="1338">
        <f>ROUND(C6*C17+C20,0)</f>
        <v>21220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11165</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21220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10730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三级</v>
      </c>
      <c r="Y7" s="1213" t="s">
        <v>1956</v>
      </c>
      <c r="Z7" s="1214">
        <f>G3</f>
        <v>2</v>
      </c>
      <c r="AA7" s="1215"/>
      <c r="AB7" s="1215"/>
      <c r="AC7" s="1216"/>
      <c r="AD7" s="1217"/>
      <c r="AE7" s="1217"/>
      <c r="AF7" s="1217"/>
      <c r="AG7" s="1217"/>
      <c r="AH7" s="1217"/>
      <c r="AI7" s="1217"/>
      <c r="AJ7" s="1218"/>
    </row>
    <row r="8" spans="1:36" ht="25.5">
      <c r="A8" s="3298"/>
      <c r="B8" s="170" t="s">
        <v>1957</v>
      </c>
      <c r="C8" s="2025" t="s">
        <v>3584</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932" t="s">
        <v>1960</v>
      </c>
      <c r="X8" s="393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934"/>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93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1.02</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39" t="s">
        <v>3250</v>
      </c>
      <c r="B20" s="167" t="s">
        <v>1994</v>
      </c>
      <c r="C20" s="3324">
        <f>ROUND(IF(F21="与级别开发程度一致",0,(G21-E21)/C21),0)</f>
        <v>0</v>
      </c>
      <c r="D20" s="3340" t="s">
        <v>1998</v>
      </c>
      <c r="E20" s="3341"/>
      <c r="F20" s="3945" t="s">
        <v>1995</v>
      </c>
      <c r="G20" s="3946"/>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940"/>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3585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3" t="s">
        <v>2002</v>
      </c>
      <c r="E23" s="760">
        <v>44197</v>
      </c>
      <c r="F23" s="2053" t="s">
        <v>2003</v>
      </c>
      <c r="G23" s="761">
        <f>'数据-取费表'!B2</f>
        <v>45062</v>
      </c>
      <c r="H23" s="3342" t="s">
        <v>3252</v>
      </c>
      <c r="I23" s="3343" t="str">
        <f>IF(H23="季度增幅（自定义）",SUMIF(N25:N28,E2,O25:O28),"")</f>
        <v/>
      </c>
      <c r="J23" s="3445" t="s">
        <v>3251</v>
      </c>
      <c r="K23" s="1124"/>
      <c r="L23" s="2054" t="s">
        <v>2004</v>
      </c>
      <c r="M23" s="1327">
        <f>ROUND(SUMIF(地价!B2:G2,E2,地价!B16:G16),0)</f>
        <v>350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0.69499999999999995</v>
      </c>
      <c r="D24" s="2059" t="s">
        <v>2007</v>
      </c>
      <c r="E24" s="1334">
        <f>存贷款利率!E22/100</f>
        <v>4.3499999999999997E-2</v>
      </c>
      <c r="F24" s="2059" t="s">
        <v>1999</v>
      </c>
      <c r="G24" s="767">
        <f>SUMIF(M30:Q30,E2,M33:Q33)</f>
        <v>5.5E-2</v>
      </c>
      <c r="H24" s="2059" t="s">
        <v>2008</v>
      </c>
      <c r="I24" s="768">
        <f>SUMIF('数据-取费表'!C6:C15,E2,'数据-取费表'!F6:F15)/COUNTIF('数据-取费表'!C6:C15,E2)</f>
        <v>17.75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3586</v>
      </c>
      <c r="C25" s="770">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1.0427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1.0386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1410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103</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19004</v>
      </c>
      <c r="D33" s="2097">
        <f>'数据-汇总表'!F19</f>
        <v>523.84</v>
      </c>
      <c r="E33" s="772">
        <f>ROUND(C33*D33/10000,0)</f>
        <v>996</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43"/>
      <c r="B37" s="2112" t="s">
        <v>2036</v>
      </c>
      <c r="C37" s="175">
        <f>ROUND(D5*C22*C23*C24*C28*F37,0)</f>
        <v>7592</v>
      </c>
      <c r="D37" s="2097">
        <f>'数据-汇总表'!G19</f>
        <v>545.14</v>
      </c>
      <c r="E37" s="171">
        <f>ROUND(C37*D37/10000,0)</f>
        <v>414</v>
      </c>
      <c r="F37" s="171">
        <f>SUMIF(修正!A57:A68,G2,修正!B57:B68)</f>
        <v>0.6</v>
      </c>
      <c r="G37" s="171">
        <f>ROUND(IF(E2="工业",C37*$M$42,C37*$M$41),0)</f>
        <v>1898</v>
      </c>
      <c r="H37" s="171">
        <f>D37</f>
        <v>545.14</v>
      </c>
      <c r="I37" s="171">
        <f>ROUND(G37*H37/10000,0)</f>
        <v>103</v>
      </c>
      <c r="J37" s="3011"/>
      <c r="K37" s="3358" t="s">
        <v>3262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44"/>
      <c r="B38" s="2040" t="s">
        <v>2037</v>
      </c>
      <c r="C38" s="175">
        <f>ROUND(D5*C22*C23*C24*C28*F38,0)</f>
        <v>3796</v>
      </c>
      <c r="D38" s="2097"/>
      <c r="E38" s="171">
        <f t="shared" ref="E38:E42" si="4">ROUND(C38*D38/10000,0)</f>
        <v>0</v>
      </c>
      <c r="F38" s="171">
        <f>SUMIF(修正!A57:A68,G2,修正!C57:C68)</f>
        <v>0.3</v>
      </c>
      <c r="G38" s="171">
        <f>ROUND(IF(E2="工业",C38*$M$42,C38*$M$41),0)</f>
        <v>949</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44"/>
      <c r="B39" s="2040" t="s">
        <v>3255</v>
      </c>
      <c r="C39" s="175">
        <f>ROUND(D5*C22*C23*C24*C28*F39,0)</f>
        <v>3163</v>
      </c>
      <c r="D39" s="2097"/>
      <c r="E39" s="171">
        <f t="shared" si="4"/>
        <v>0</v>
      </c>
      <c r="F39" s="171">
        <f>SUMIF(修正!A57:A68,G2,修正!D57:D68)</f>
        <v>0.25</v>
      </c>
      <c r="G39" s="171">
        <f>ROUND(IF(E2="工业",C39*$M$42,C39*$M$41),0)</f>
        <v>791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3163</v>
      </c>
      <c r="D40" s="2097"/>
      <c r="E40" s="171">
        <f t="shared" si="4"/>
        <v>0</v>
      </c>
      <c r="F40" s="175">
        <f>SUMIF(修正!A57:A68,G2,修正!E57:E68)</f>
        <v>0.25</v>
      </c>
      <c r="G40" s="171">
        <f>ROUND(IF(E2="工业",C40*$M$42,C40*$M$41),0)</f>
        <v>791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2998</v>
      </c>
      <c r="D41" s="2097"/>
      <c r="E41" s="171">
        <f t="shared" si="4"/>
        <v>0</v>
      </c>
      <c r="F41" s="175">
        <f>SUMIF(修正!A57:A68,G2,修正!F57:F68)</f>
        <v>0.25</v>
      </c>
      <c r="G41" s="171">
        <f>ROUND(IF(E2="工业",C41*$M$42,C41*$M$41),0)</f>
        <v>750</v>
      </c>
      <c r="H41" s="171">
        <f t="shared" si="5"/>
        <v>0</v>
      </c>
      <c r="I41" s="171">
        <f t="shared" si="6"/>
        <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1799</v>
      </c>
      <c r="D42" s="2102"/>
      <c r="E42" s="187">
        <f t="shared" si="4"/>
        <v>0</v>
      </c>
      <c r="F42" s="766">
        <f>SUMIF(修正!A57:A68,G2,修正!G57:G68)</f>
        <v>0.15</v>
      </c>
      <c r="G42" s="187">
        <f>ROUND(IF(E2="工业",C42*$M$42,C42*$M$41),0)</f>
        <v>450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0.65869999999999995</v>
      </c>
      <c r="D44" s="171" t="s">
        <v>1999</v>
      </c>
      <c r="E44" s="2152">
        <f>G24</f>
        <v>5.5E-2</v>
      </c>
      <c r="F44" s="171" t="s">
        <v>2008</v>
      </c>
      <c r="G44" s="183">
        <f>项目基本情况!D15</f>
        <v>17.75</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1.0386</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tr">
        <f>'比较法-商业'!C16</f>
        <v>较好</v>
      </c>
      <c r="D50" s="1064">
        <f t="shared" ref="D50:D58" si="7">SUMIF($J$49:$N$49,C50,J50:N50)</f>
        <v>1.17E-2</v>
      </c>
      <c r="E50" s="743">
        <f>ROUND(SUM(D50:D58),4)</f>
        <v>3.8600000000000002E-2</v>
      </c>
      <c r="F50" s="1813">
        <f>IF(E2="商业",SUMIF(L1:L12,G2,N1:N12),"——")</f>
        <v>7.8E-2</v>
      </c>
      <c r="G50" s="1062">
        <f>H50</f>
        <v>1.17E-2</v>
      </c>
      <c r="H50" s="1065">
        <f t="shared" ref="H50:H58" si="8">IFERROR(ROUNDDOWN($F$50*I50/2,4),"——")</f>
        <v>1.17E-2</v>
      </c>
      <c r="I50" s="3366">
        <v>0.3</v>
      </c>
      <c r="J50" s="1063">
        <f t="shared" ref="J50:J58" si="9">K50+$G50</f>
        <v>2.3400000000000001E-2</v>
      </c>
      <c r="K50" s="1063">
        <f t="shared" ref="K50:K58" si="10">$L50+$G50</f>
        <v>1.17E-2</v>
      </c>
      <c r="L50" s="1063">
        <v>0</v>
      </c>
      <c r="M50" s="1063">
        <f t="shared" ref="M50:N58" si="11">L50-$G50</f>
        <v>-1.17E-2</v>
      </c>
      <c r="N50" s="1063">
        <f t="shared" si="11"/>
        <v>-2.3400000000000001E-2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tr">
        <f>'比较法-商业'!C18</f>
        <v>较好</v>
      </c>
      <c r="D51" s="1064">
        <f t="shared" si="7"/>
        <v>8.5000000000000006E-3</v>
      </c>
      <c r="E51" s="744"/>
      <c r="F51" s="1813"/>
      <c r="G51" s="1062">
        <f t="shared" ref="G51:G58" si="12">H51</f>
        <v>8.5000000000000006E-3</v>
      </c>
      <c r="H51" s="1065">
        <f t="shared" si="8"/>
        <v>8.5000000000000006E-3</v>
      </c>
      <c r="I51" s="3366">
        <v>0.22</v>
      </c>
      <c r="J51" s="1063">
        <f t="shared" si="9"/>
        <v>1.7000000000000001E-2</v>
      </c>
      <c r="K51" s="1063">
        <f t="shared" si="10"/>
        <v>8.5000000000000006E-3</v>
      </c>
      <c r="L51" s="1063">
        <v>0</v>
      </c>
      <c r="M51" s="1063">
        <f t="shared" si="11"/>
        <v>-8.5000000000000006E-3</v>
      </c>
      <c r="N51" s="1063">
        <f t="shared" si="11"/>
        <v>-1.7000000000000001E-2</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t="s">
        <v>3410</v>
      </c>
      <c r="D52" s="1064">
        <f t="shared" si="7"/>
        <v>4.5999999999999999E-3</v>
      </c>
      <c r="E52" s="744"/>
      <c r="F52" s="1813"/>
      <c r="G52" s="1062">
        <f t="shared" si="12"/>
        <v>4.5999999999999999E-3</v>
      </c>
      <c r="H52" s="1065">
        <f t="shared" si="8"/>
        <v>4.5999999999999999E-3</v>
      </c>
      <c r="I52" s="3366">
        <v>0.12</v>
      </c>
      <c r="J52" s="1063">
        <f t="shared" si="9"/>
        <v>9.1999999999999998E-3</v>
      </c>
      <c r="K52" s="1063">
        <f t="shared" si="10"/>
        <v>4.5999999999999999E-3</v>
      </c>
      <c r="L52" s="1063">
        <v>0</v>
      </c>
      <c r="M52" s="1063">
        <f t="shared" si="11"/>
        <v>-4.5999999999999999E-3</v>
      </c>
      <c r="N52" s="1063">
        <f t="shared" si="11"/>
        <v>-9.1999999999999998E-3</v>
      </c>
      <c r="AA52" s="1119"/>
      <c r="AB52" s="1119"/>
      <c r="AC52" s="1119"/>
      <c r="AD52" s="1119"/>
      <c r="AE52" s="1119"/>
      <c r="AF52" s="1119"/>
      <c r="AG52" s="1119"/>
      <c r="AH52" s="1119"/>
      <c r="AI52" s="1119"/>
      <c r="AJ52" s="1119"/>
      <c r="AK52" s="1119"/>
    </row>
    <row r="53" spans="1:37" s="1118" customFormat="1" ht="36.75">
      <c r="A53" s="2129" t="s">
        <v>2054</v>
      </c>
      <c r="B53" s="2134" t="s">
        <v>2055</v>
      </c>
      <c r="C53" s="2043" t="s">
        <v>3410</v>
      </c>
      <c r="D53" s="1064">
        <f t="shared" si="7"/>
        <v>1.9E-3</v>
      </c>
      <c r="E53" s="744"/>
      <c r="F53" s="1813"/>
      <c r="G53" s="1062">
        <f t="shared" si="12"/>
        <v>1.9E-3</v>
      </c>
      <c r="H53" s="1065">
        <f t="shared" si="8"/>
        <v>1.9E-3</v>
      </c>
      <c r="I53" s="3366">
        <v>0.05</v>
      </c>
      <c r="J53" s="1063">
        <f t="shared" si="9"/>
        <v>3.8E-3</v>
      </c>
      <c r="K53" s="1063">
        <f t="shared" si="10"/>
        <v>1.9E-3</v>
      </c>
      <c r="L53" s="1063">
        <v>0</v>
      </c>
      <c r="M53" s="1063">
        <f t="shared" si="11"/>
        <v>-1.9E-3</v>
      </c>
      <c r="N53" s="1063">
        <f t="shared" si="11"/>
        <v>-3.8E-3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3410</v>
      </c>
      <c r="D54" s="1064">
        <f t="shared" si="7"/>
        <v>3.0999999999999999E-3</v>
      </c>
      <c r="E54" s="744"/>
      <c r="F54" s="1813"/>
      <c r="G54" s="1062">
        <f t="shared" si="12"/>
        <v>3.0999999999999999E-3</v>
      </c>
      <c r="H54" s="1065">
        <f t="shared" si="8"/>
        <v>3.0999999999999999E-3</v>
      </c>
      <c r="I54" s="3366">
        <v>0.08</v>
      </c>
      <c r="J54" s="1063">
        <f t="shared" si="9"/>
        <v>6.1999999999999998E-3</v>
      </c>
      <c r="K54" s="1063">
        <f t="shared" si="10"/>
        <v>3.0999999999999999E-3</v>
      </c>
      <c r="L54" s="1063">
        <v>0</v>
      </c>
      <c r="M54" s="1063">
        <f t="shared" si="11"/>
        <v>-3.0999999999999999E-3</v>
      </c>
      <c r="N54" s="1063">
        <f t="shared" si="11"/>
        <v>-6.1999999999999998E-3</v>
      </c>
      <c r="AA54" s="1119"/>
      <c r="AB54" s="1119"/>
      <c r="AC54" s="1119"/>
      <c r="AD54" s="1119"/>
      <c r="AE54" s="1119"/>
      <c r="AF54" s="1119"/>
      <c r="AG54" s="1119"/>
      <c r="AH54" s="1119"/>
      <c r="AI54" s="1119"/>
      <c r="AJ54" s="1119"/>
      <c r="AK54" s="1119"/>
    </row>
    <row r="55" spans="1:37" s="1118" customFormat="1" ht="24">
      <c r="A55" s="2129" t="s">
        <v>2057</v>
      </c>
      <c r="B55" s="2135" t="s">
        <v>2058</v>
      </c>
      <c r="C55" s="2043" t="s">
        <v>3410</v>
      </c>
      <c r="D55" s="1064">
        <f t="shared" si="7"/>
        <v>1.9E-3</v>
      </c>
      <c r="E55" s="744"/>
      <c r="F55" s="1813"/>
      <c r="G55" s="1062">
        <f t="shared" si="12"/>
        <v>1.9E-3</v>
      </c>
      <c r="H55" s="1065">
        <f t="shared" si="8"/>
        <v>1.9E-3</v>
      </c>
      <c r="I55" s="3366">
        <v>0.05</v>
      </c>
      <c r="J55" s="1063">
        <f t="shared" si="9"/>
        <v>3.8E-3</v>
      </c>
      <c r="K55" s="1063">
        <f t="shared" si="10"/>
        <v>1.9E-3</v>
      </c>
      <c r="L55" s="1063">
        <v>0</v>
      </c>
      <c r="M55" s="1063">
        <f t="shared" si="11"/>
        <v>-1.9E-3</v>
      </c>
      <c r="N55" s="1063">
        <f t="shared" si="11"/>
        <v>-3.8E-3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3410</v>
      </c>
      <c r="D56" s="1064">
        <f t="shared" si="7"/>
        <v>1.9E-3</v>
      </c>
      <c r="E56" s="744"/>
      <c r="F56" s="1813"/>
      <c r="G56" s="1062">
        <f t="shared" si="12"/>
        <v>1.9E-3</v>
      </c>
      <c r="H56" s="1065">
        <f t="shared" si="8"/>
        <v>1.9E-3</v>
      </c>
      <c r="I56" s="3366">
        <v>0.05</v>
      </c>
      <c r="J56" s="1063">
        <f t="shared" si="9"/>
        <v>3.8E-3</v>
      </c>
      <c r="K56" s="1063">
        <f t="shared" si="10"/>
        <v>1.9E-3</v>
      </c>
      <c r="L56" s="1063">
        <v>0</v>
      </c>
      <c r="M56" s="1063">
        <f t="shared" si="11"/>
        <v>-1.9E-3</v>
      </c>
      <c r="N56" s="1063">
        <f t="shared" si="11"/>
        <v>-3.8E-3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3410</v>
      </c>
      <c r="D57" s="1064">
        <f t="shared" si="7"/>
        <v>3.0999999999999999E-3</v>
      </c>
      <c r="E57" s="744"/>
      <c r="F57" s="1813"/>
      <c r="G57" s="1062">
        <f t="shared" si="12"/>
        <v>3.0999999999999999E-3</v>
      </c>
      <c r="H57" s="1065">
        <f t="shared" si="8"/>
        <v>3.0999999999999999E-3</v>
      </c>
      <c r="I57" s="3366">
        <v>0.08</v>
      </c>
      <c r="J57" s="1063">
        <f t="shared" si="9"/>
        <v>6.1999999999999998E-3</v>
      </c>
      <c r="K57" s="1063">
        <f t="shared" si="10"/>
        <v>3.0999999999999999E-3</v>
      </c>
      <c r="L57" s="1063">
        <v>0</v>
      </c>
      <c r="M57" s="1063">
        <f t="shared" si="11"/>
        <v>-3.0999999999999999E-3</v>
      </c>
      <c r="N57" s="1063">
        <f t="shared" si="11"/>
        <v>-6.1999999999999998E-3</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3410</v>
      </c>
      <c r="D58" s="1064">
        <f t="shared" si="7"/>
        <v>1.9E-3</v>
      </c>
      <c r="E58" s="745"/>
      <c r="F58" s="1813"/>
      <c r="G58" s="1062">
        <f t="shared" si="12"/>
        <v>1.9E-3</v>
      </c>
      <c r="H58" s="1065">
        <f t="shared" si="8"/>
        <v>1.9E-3</v>
      </c>
      <c r="I58" s="3367">
        <v>0.05</v>
      </c>
      <c r="J58" s="1063">
        <f t="shared" si="9"/>
        <v>3.8E-3</v>
      </c>
      <c r="K58" s="1063">
        <f t="shared" si="10"/>
        <v>1.9E-3</v>
      </c>
      <c r="L58" s="1063">
        <v>0</v>
      </c>
      <c r="M58" s="1063">
        <f t="shared" si="11"/>
        <v>-1.9E-3</v>
      </c>
      <c r="N58" s="1063">
        <f t="shared" si="11"/>
        <v>-3.8E-3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941" t="s">
        <v>3290</v>
      </c>
      <c r="B103" s="3941"/>
      <c r="C103" s="3941"/>
      <c r="D103" s="3941"/>
      <c r="E103" s="3941"/>
      <c r="F103" s="3941"/>
      <c r="G103" s="3941"/>
      <c r="H103" s="3941"/>
      <c r="I103" s="3941"/>
      <c r="J103" s="3941"/>
      <c r="K103" s="3389"/>
      <c r="L103" s="3389"/>
      <c r="M103" s="3389"/>
      <c r="N103" s="3389"/>
    </row>
    <row r="104" spans="1:14">
      <c r="A104" s="3942" t="s">
        <v>3291</v>
      </c>
      <c r="B104" s="3942" t="s">
        <v>3292</v>
      </c>
      <c r="C104" s="3390" t="s">
        <v>3293</v>
      </c>
      <c r="D104" s="3391"/>
      <c r="E104" s="3391"/>
      <c r="F104" s="3391"/>
      <c r="G104" s="3391"/>
      <c r="H104" s="3391"/>
      <c r="I104" s="3391"/>
      <c r="J104" s="3392"/>
      <c r="K104" s="3393"/>
      <c r="L104" s="3393"/>
      <c r="M104" s="3393"/>
      <c r="N104" s="3393"/>
    </row>
    <row r="105" spans="1:14">
      <c r="A105" s="3942"/>
      <c r="B105" s="3942"/>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928"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2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2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2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2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29"/>
      <c r="B111" s="3394" t="s">
        <v>3264</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930"/>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931" t="s">
        <v>3307</v>
      </c>
      <c r="B113" s="3931"/>
      <c r="C113" s="3931"/>
      <c r="D113" s="3931"/>
      <c r="E113" s="3931"/>
      <c r="F113" s="3931"/>
      <c r="G113" s="3931"/>
      <c r="H113" s="3931"/>
      <c r="I113" s="3931"/>
      <c r="J113" s="393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2</v>
      </c>
      <c r="C116" s="3399" t="s">
        <v>3309</v>
      </c>
      <c r="D116" s="3400">
        <f>SUMPRODUCT((A118:A122=F116)*(B117:M117=H116)*B118:M122)</f>
        <v>0.92100000000000004</v>
      </c>
      <c r="E116" s="1999" t="s">
        <v>3310</v>
      </c>
      <c r="F116" s="3401" t="str">
        <f>E2</f>
        <v>商业</v>
      </c>
      <c r="G116" s="1999" t="s">
        <v>3311</v>
      </c>
      <c r="H116" s="3401" t="str">
        <f>G2</f>
        <v>三级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3325</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3326</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3327</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2606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tabSelected="1" workbookViewId="0">
      <selection activeCell="K32" sqref="K32"/>
    </sheetView>
  </sheetViews>
  <sheetFormatPr defaultRowHeight="13.5"/>
  <cols>
    <col min="1" max="1" width="27.625" style="3453" bestFit="1" customWidth="1"/>
    <col min="2" max="2" width="15.125" style="3453" bestFit="1" customWidth="1"/>
    <col min="3" max="3" width="15.125" style="3453" customWidth="1"/>
    <col min="4" max="6" width="9" style="3453"/>
    <col min="7" max="7" width="12.75" style="3453" bestFit="1" customWidth="1"/>
    <col min="8" max="8" width="19.25" style="3453" bestFit="1" customWidth="1"/>
    <col min="9" max="9" width="17.375" style="3453" bestFit="1" customWidth="1"/>
    <col min="10" max="16384" width="9" style="3453"/>
  </cols>
  <sheetData>
    <row r="1" spans="1:10">
      <c r="A1" s="3452" t="s">
        <v>3378</v>
      </c>
      <c r="B1" s="3452" t="s">
        <v>3379</v>
      </c>
      <c r="C1" s="3452" t="s">
        <v>3386</v>
      </c>
      <c r="D1" s="3452" t="s">
        <v>3380</v>
      </c>
      <c r="E1" s="3452" t="s">
        <v>3381</v>
      </c>
      <c r="F1" s="3452" t="s">
        <v>3382</v>
      </c>
      <c r="G1" s="3452" t="s">
        <v>3383</v>
      </c>
      <c r="H1" s="3452" t="s">
        <v>3396</v>
      </c>
      <c r="I1" s="3452" t="s">
        <v>3389</v>
      </c>
    </row>
    <row r="2" spans="1:10" s="3465" customFormat="1">
      <c r="A2" s="3464" t="s">
        <v>3376</v>
      </c>
      <c r="B2" s="3464" t="s">
        <v>3377</v>
      </c>
      <c r="C2" s="3464" t="s">
        <v>3387</v>
      </c>
      <c r="D2" s="3464">
        <v>37</v>
      </c>
      <c r="E2" s="3464">
        <f>14800/30/D2</f>
        <v>13.333333333333332</v>
      </c>
      <c r="F2" s="3464">
        <v>180000</v>
      </c>
      <c r="G2" s="3464">
        <v>17629735590</v>
      </c>
      <c r="H2" s="3464" t="s">
        <v>3398</v>
      </c>
      <c r="I2" s="3464"/>
    </row>
    <row r="3" spans="1:10" s="3465" customFormat="1">
      <c r="A3" s="3464" t="s">
        <v>3591</v>
      </c>
      <c r="B3" s="3464" t="s">
        <v>3384</v>
      </c>
      <c r="C3" s="3464" t="s">
        <v>3388</v>
      </c>
      <c r="D3" s="3464">
        <v>25</v>
      </c>
      <c r="E3" s="3464">
        <f>10000/30/D3</f>
        <v>13.333333333333332</v>
      </c>
      <c r="F3" s="3464" t="s">
        <v>3385</v>
      </c>
      <c r="G3" s="3464">
        <v>18400667980</v>
      </c>
      <c r="H3" s="3464" t="s">
        <v>3397</v>
      </c>
      <c r="I3" s="3464" t="s">
        <v>3390</v>
      </c>
      <c r="J3" s="3466"/>
    </row>
    <row r="4" spans="1:10">
      <c r="A4" s="3452" t="s">
        <v>3391</v>
      </c>
      <c r="B4" s="3452" t="s">
        <v>3392</v>
      </c>
      <c r="C4" s="3452" t="s">
        <v>3393</v>
      </c>
      <c r="D4" s="3454">
        <v>80</v>
      </c>
      <c r="E4" s="3454">
        <f>15000/30/D4</f>
        <v>6.25</v>
      </c>
      <c r="F4" s="3452">
        <v>220000</v>
      </c>
      <c r="G4" s="3452">
        <v>17629735590</v>
      </c>
      <c r="H4" s="3452" t="s">
        <v>3400</v>
      </c>
      <c r="I4" s="3452"/>
      <c r="J4" s="3455"/>
    </row>
    <row r="5" spans="1:10" s="3465" customFormat="1">
      <c r="A5" s="3947" t="s">
        <v>3592</v>
      </c>
      <c r="B5" s="3947" t="s">
        <v>3394</v>
      </c>
      <c r="C5" s="3947" t="s">
        <v>3395</v>
      </c>
      <c r="D5" s="3464">
        <v>170</v>
      </c>
      <c r="E5" s="3464">
        <v>12</v>
      </c>
      <c r="F5" s="3464" t="s">
        <v>3385</v>
      </c>
      <c r="G5" s="3947">
        <v>18611091201</v>
      </c>
      <c r="H5" s="3947" t="s">
        <v>3399</v>
      </c>
      <c r="I5" s="3464"/>
      <c r="J5" s="3466"/>
    </row>
    <row r="6" spans="1:10" s="3469" customFormat="1">
      <c r="A6" s="3947"/>
      <c r="B6" s="3947"/>
      <c r="C6" s="3947"/>
      <c r="D6" s="3467">
        <v>340</v>
      </c>
      <c r="E6" s="3467">
        <v>12</v>
      </c>
      <c r="F6" s="3467" t="s">
        <v>3385</v>
      </c>
      <c r="G6" s="3947"/>
      <c r="H6" s="3947"/>
      <c r="I6" s="3467"/>
      <c r="J6" s="3468"/>
    </row>
    <row r="7" spans="1:10" s="3469" customFormat="1">
      <c r="A7" s="3947"/>
      <c r="B7" s="3947"/>
      <c r="C7" s="3947"/>
      <c r="D7" s="3467">
        <v>510</v>
      </c>
      <c r="E7" s="3467">
        <v>12</v>
      </c>
      <c r="F7" s="3467" t="s">
        <v>3385</v>
      </c>
      <c r="G7" s="3947"/>
      <c r="H7" s="3947"/>
      <c r="I7" s="3467"/>
      <c r="J7" s="3468"/>
    </row>
    <row r="8" spans="1:10">
      <c r="F8" s="3456"/>
      <c r="G8" s="3456"/>
      <c r="H8" s="3456"/>
      <c r="I8" s="3456"/>
      <c r="J8" s="3455"/>
    </row>
    <row r="9" spans="1:10">
      <c r="A9" s="3456"/>
      <c r="F9" s="3456"/>
      <c r="G9" s="3456"/>
      <c r="H9" s="3456"/>
      <c r="I9" s="3456"/>
      <c r="J9" s="3455"/>
    </row>
    <row r="10" spans="1:10">
      <c r="F10" s="3456"/>
      <c r="G10" s="3456"/>
      <c r="H10" s="3456"/>
      <c r="I10" s="3456"/>
      <c r="J10" s="3455"/>
    </row>
    <row r="11" spans="1:10">
      <c r="A11" s="3456"/>
      <c r="F11" s="3456"/>
      <c r="G11" s="3456"/>
      <c r="H11" s="3456"/>
      <c r="I11" s="3456"/>
      <c r="J11" s="3455"/>
    </row>
    <row r="12" spans="1:10">
      <c r="A12" s="3456"/>
      <c r="F12" s="3456"/>
      <c r="G12" s="3456"/>
      <c r="H12" s="3456"/>
      <c r="I12" s="3456"/>
      <c r="J12" s="3455"/>
    </row>
    <row r="13" spans="1:10">
      <c r="F13" s="3456"/>
      <c r="G13" s="3456"/>
      <c r="H13" s="3456"/>
      <c r="I13" s="3456"/>
      <c r="J13" s="3455"/>
    </row>
    <row r="14" spans="1:10">
      <c r="F14" s="3456"/>
      <c r="G14" s="3456"/>
      <c r="H14" s="3456"/>
      <c r="I14" s="3456"/>
      <c r="J14" s="3455"/>
    </row>
    <row r="15" spans="1:10">
      <c r="A15" s="3456"/>
      <c r="F15" s="3456"/>
      <c r="G15" s="3456"/>
      <c r="H15" s="3456"/>
      <c r="I15" s="3456"/>
      <c r="J15" s="3455"/>
    </row>
    <row r="16" spans="1:10">
      <c r="F16" s="3456"/>
      <c r="G16" s="3456"/>
      <c r="H16" s="3456"/>
      <c r="I16" s="3456"/>
      <c r="J16" s="3455"/>
    </row>
    <row r="17" spans="1:10">
      <c r="A17" s="3456"/>
      <c r="F17" s="3456"/>
      <c r="G17" s="3456"/>
      <c r="H17" s="3456"/>
      <c r="I17" s="3456"/>
      <c r="J17" s="3455"/>
    </row>
    <row r="18" spans="1:10">
      <c r="A18" s="3456"/>
      <c r="F18" s="3456"/>
      <c r="G18" s="3456"/>
      <c r="H18" s="3456"/>
      <c r="I18" s="3456"/>
      <c r="J18" s="3455"/>
    </row>
    <row r="19" spans="1:10">
      <c r="F19" s="3456"/>
      <c r="G19" s="3456"/>
      <c r="H19" s="3456"/>
      <c r="I19" s="3456"/>
      <c r="J19" s="3455"/>
    </row>
    <row r="20" spans="1:10">
      <c r="F20" s="3456"/>
      <c r="G20" s="3456"/>
      <c r="H20" s="3456"/>
      <c r="I20" s="3456"/>
      <c r="J20" s="3455"/>
    </row>
    <row r="21" spans="1:10">
      <c r="F21" s="3456"/>
      <c r="G21" s="3456"/>
      <c r="H21" s="3456"/>
      <c r="I21" s="3456"/>
      <c r="J21" s="3455"/>
    </row>
    <row r="22" spans="1:10">
      <c r="A22" s="3456"/>
      <c r="F22" s="3456"/>
      <c r="G22" s="3456"/>
      <c r="H22" s="3456"/>
      <c r="I22" s="3456"/>
      <c r="J22" s="3455"/>
    </row>
    <row r="23" spans="1:10">
      <c r="F23" s="3456"/>
      <c r="G23" s="3456"/>
      <c r="H23" s="3456"/>
      <c r="I23" s="3456"/>
      <c r="J23" s="3455"/>
    </row>
    <row r="24" spans="1:10">
      <c r="F24" s="3456"/>
      <c r="G24" s="3456"/>
      <c r="H24" s="3456"/>
      <c r="I24" s="3456"/>
      <c r="J24" s="3455"/>
    </row>
  </sheetData>
  <mergeCells count="5">
    <mergeCell ref="A5:A7"/>
    <mergeCell ref="B5:B7"/>
    <mergeCell ref="C5:C7"/>
    <mergeCell ref="G5:G7"/>
    <mergeCell ref="H5:H7"/>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69" t="str">
        <f>IF(项目基本情况!B9="房地产市场价值","估价结果一览表","结果表-2")</f>
        <v>结果表-2</v>
      </c>
      <c r="B1" s="3569"/>
      <c r="C1" s="3569"/>
      <c r="D1" s="3569"/>
      <c r="E1" s="3569"/>
      <c r="F1" s="3569"/>
      <c r="G1" s="3569"/>
      <c r="H1" s="3569"/>
      <c r="I1" s="3569"/>
    </row>
    <row r="2" spans="1:9" ht="30" customHeight="1" thickTop="1">
      <c r="A2" s="3570" t="s">
        <v>928</v>
      </c>
      <c r="B2" s="3570" t="s">
        <v>929</v>
      </c>
      <c r="C2" s="3570" t="s">
        <v>930</v>
      </c>
      <c r="D2" s="3570" t="str">
        <f>结果表!D116</f>
        <v>出让国有建设用地使用权价值</v>
      </c>
      <c r="E2" s="3570"/>
      <c r="F2" s="3570" t="str">
        <f>结果表!F116</f>
        <v>在建建筑物价值</v>
      </c>
      <c r="G2" s="3570"/>
      <c r="H2" s="3570" t="str">
        <f>IF(项目基本情况!B9="房地产市场价值","房地产市场价值","房地产价值")</f>
        <v>房地产价值</v>
      </c>
      <c r="I2" s="3570"/>
    </row>
    <row r="3" spans="1:9" ht="15">
      <c r="A3" s="3565"/>
      <c r="B3" s="3565"/>
      <c r="C3" s="3565"/>
      <c r="D3" s="853" t="s">
        <v>925</v>
      </c>
      <c r="E3" s="853" t="s">
        <v>931</v>
      </c>
      <c r="F3" s="853" t="s">
        <v>925</v>
      </c>
      <c r="G3" s="853" t="s">
        <v>926</v>
      </c>
      <c r="H3" s="853" t="s">
        <v>925</v>
      </c>
      <c r="I3" s="853" t="s">
        <v>926</v>
      </c>
    </row>
    <row r="4" spans="1:9" ht="15">
      <c r="A4" s="1504" t="str">
        <f>项目基本情况!S2</f>
        <v>房地产</v>
      </c>
      <c r="B4" s="853">
        <f>项目基本情况!C17</f>
        <v>1068.98</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65" t="s">
        <v>927</v>
      </c>
      <c r="B5" s="3565"/>
      <c r="C5" s="3565"/>
      <c r="D5" s="3565" t="e">
        <f ca="1">结果表!D119</f>
        <v>#REF!</v>
      </c>
      <c r="E5" s="3565"/>
      <c r="F5" s="3565" t="e">
        <f ca="1">结果表!F119</f>
        <v>#REF!</v>
      </c>
      <c r="G5" s="3565"/>
      <c r="H5" s="3565" t="e">
        <f ca="1">结果表!H119</f>
        <v>#REF!</v>
      </c>
      <c r="I5" s="3565"/>
    </row>
    <row r="6" spans="1:9" ht="15.75">
      <c r="A6" s="3564" t="str">
        <f>结果表!A120</f>
        <v>估价师知悉的法定优先受偿款</v>
      </c>
      <c r="B6" s="3564"/>
      <c r="C6" s="3564"/>
      <c r="D6" s="3564">
        <f>结果表!D120</f>
        <v>0</v>
      </c>
      <c r="E6" s="3564"/>
      <c r="F6" s="3564"/>
      <c r="G6" s="3564"/>
      <c r="H6" s="3564"/>
      <c r="I6" s="3564"/>
    </row>
    <row r="7" spans="1:9" ht="15">
      <c r="A7" s="3565" t="s">
        <v>927</v>
      </c>
      <c r="B7" s="3565"/>
      <c r="C7" s="3565"/>
      <c r="D7" s="3566" t="str">
        <f>结果表!D121</f>
        <v>零元整</v>
      </c>
      <c r="E7" s="3567"/>
      <c r="F7" s="3567"/>
      <c r="G7" s="3567"/>
      <c r="H7" s="3567"/>
      <c r="I7" s="3568"/>
    </row>
    <row r="8" spans="1:9" ht="15.75">
      <c r="A8" s="3564" t="str">
        <f>结果表!A122</f>
        <v>房地产抵押价值</v>
      </c>
      <c r="B8" s="3564"/>
      <c r="C8" s="3564"/>
      <c r="D8" s="3564" t="e">
        <f ca="1">结果表!D122</f>
        <v>#REF!</v>
      </c>
      <c r="E8" s="3564"/>
      <c r="F8" s="3564"/>
      <c r="G8" s="3564"/>
      <c r="H8" s="3564"/>
      <c r="I8" s="3564"/>
    </row>
    <row r="9" spans="1:9" ht="15">
      <c r="A9" s="3565" t="s">
        <v>927</v>
      </c>
      <c r="B9" s="3565"/>
      <c r="C9" s="3565"/>
      <c r="D9" s="3565" t="e">
        <f ca="1">结果表!D123</f>
        <v>#REF!</v>
      </c>
      <c r="E9" s="3565"/>
      <c r="F9" s="3565"/>
      <c r="G9" s="3565"/>
      <c r="H9" s="3565"/>
      <c r="I9" s="3565"/>
    </row>
    <row r="10" spans="1:9" ht="15.75">
      <c r="A10" s="3564" t="str">
        <f>结果表!A124</f>
        <v/>
      </c>
      <c r="B10" s="3564"/>
      <c r="C10" s="3564"/>
      <c r="D10" s="3564" t="str">
        <f>结果表!D124</f>
        <v>——</v>
      </c>
      <c r="E10" s="3564"/>
      <c r="F10" s="3564"/>
      <c r="G10" s="3564"/>
      <c r="H10" s="3564"/>
      <c r="I10" s="3564"/>
    </row>
    <row r="11" spans="1:9" ht="15">
      <c r="A11" s="3565" t="s">
        <v>927</v>
      </c>
      <c r="B11" s="3565"/>
      <c r="C11" s="3565"/>
      <c r="D11" s="3565" t="e">
        <f>结果表!D125</f>
        <v>#VALUE!</v>
      </c>
      <c r="E11" s="3565"/>
      <c r="F11" s="3565"/>
      <c r="G11" s="3565"/>
      <c r="H11" s="3565"/>
      <c r="I11" s="3565"/>
    </row>
    <row r="12" spans="1:9" ht="15.75">
      <c r="A12" s="3564" t="str">
        <f>结果表!A126</f>
        <v/>
      </c>
      <c r="B12" s="3564"/>
      <c r="C12" s="3564"/>
      <c r="D12" s="3564" t="str">
        <f>结果表!D126</f>
        <v>——</v>
      </c>
      <c r="E12" s="3564"/>
      <c r="F12" s="3564"/>
      <c r="G12" s="3564"/>
      <c r="H12" s="3564"/>
      <c r="I12" s="3564"/>
    </row>
    <row r="13" spans="1:9" ht="15.75" thickBot="1">
      <c r="A13" s="3562" t="s">
        <v>927</v>
      </c>
      <c r="B13" s="3562"/>
      <c r="C13" s="3562"/>
      <c r="D13" s="3562" t="e">
        <f>结果表!D127</f>
        <v>#VALUE!</v>
      </c>
      <c r="E13" s="3562"/>
      <c r="F13" s="3562"/>
      <c r="G13" s="3562"/>
      <c r="H13" s="3562"/>
      <c r="I13" s="3562"/>
    </row>
    <row r="14" spans="1:9" ht="15" thickTop="1">
      <c r="A14" s="3563" t="s">
        <v>932</v>
      </c>
      <c r="B14" s="3563"/>
      <c r="C14" s="3563"/>
      <c r="D14" s="3563"/>
      <c r="E14" s="3563"/>
      <c r="F14" s="3563"/>
      <c r="G14" s="3563"/>
      <c r="H14" s="3563"/>
      <c r="I14" s="356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77" t="s">
        <v>949</v>
      </c>
      <c r="B1" s="3577"/>
      <c r="C1" s="3577"/>
      <c r="D1" s="3577"/>
    </row>
    <row r="2" spans="1:4" ht="18">
      <c r="A2" s="3578" t="s">
        <v>933</v>
      </c>
      <c r="B2" s="3578"/>
      <c r="C2" s="3578"/>
      <c r="D2" s="357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78" t="s">
        <v>939</v>
      </c>
      <c r="B6" s="3578"/>
      <c r="C6" s="3578"/>
      <c r="D6" s="357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79" t="s">
        <v>942</v>
      </c>
      <c r="B11" s="3571"/>
      <c r="C11" s="3571"/>
      <c r="D11" s="3571"/>
    </row>
    <row r="12" spans="1:4" ht="15.75">
      <c r="A12" s="35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6"/>
      <c r="C12" s="3576"/>
      <c r="D12" s="3576"/>
    </row>
    <row r="13" spans="1:4" ht="30" customHeight="1">
      <c r="A13" s="3571" t="str">
        <f>IF(项目基本情况!B8="抵押","3.抵押双方在办理抵押登记手续时，应使用本公司出具的正式《房地产评估报告》，特提醒报告使用者注意。","——")</f>
        <v>——</v>
      </c>
      <c r="B13" s="3576"/>
      <c r="C13" s="3576"/>
      <c r="D13" s="3576"/>
    </row>
    <row r="14" spans="1:4" ht="15.75" customHeight="1">
      <c r="A14" s="3571" t="str">
        <f>IF(项目基本情况!B8="抵押","4.本次评估估价师所知悉的法定优先受偿款情况说明如下：","——")</f>
        <v>——</v>
      </c>
      <c r="B14" s="3576"/>
      <c r="C14" s="3576"/>
      <c r="D14" s="3576"/>
    </row>
    <row r="15" spans="1:4" ht="42" customHeight="1">
      <c r="A15" s="3571" t="str">
        <f>IF(项目基本情况!B8="抵押","（1）"&amp;CONCATENATE(项目基本情况!L20,项目基本情况!L21,项目基本情况!L22),"——")</f>
        <v>——</v>
      </c>
      <c r="B15" s="3571"/>
      <c r="C15" s="3571"/>
      <c r="D15" s="3571"/>
    </row>
    <row r="16" spans="1:4" ht="30" customHeight="1">
      <c r="A16" s="3573" t="s">
        <v>943</v>
      </c>
      <c r="B16" s="3573"/>
      <c r="C16" s="3573"/>
      <c r="D16" s="3573"/>
    </row>
    <row r="17" spans="1:4" ht="144" customHeight="1">
      <c r="A17" s="3573" t="s">
        <v>944</v>
      </c>
      <c r="B17" s="3573"/>
      <c r="C17" s="3573"/>
      <c r="D17" s="3573"/>
    </row>
    <row r="18" spans="1:4" ht="15.75" customHeight="1">
      <c r="A18" s="3571" t="str">
        <f>IF(项目基本情况!B8="抵押",结果表!K120,"——")</f>
        <v>——</v>
      </c>
      <c r="B18" s="3571"/>
      <c r="C18" s="3571"/>
      <c r="D18" s="3571"/>
    </row>
    <row r="19" spans="1:4" ht="46.5" customHeight="1">
      <c r="A19" s="35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1"/>
      <c r="C19" s="3571"/>
      <c r="D19" s="3571"/>
    </row>
    <row r="20" spans="1:4" ht="57.75" customHeight="1">
      <c r="A20" s="35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1"/>
      <c r="C20" s="3571"/>
      <c r="D20" s="3571"/>
    </row>
    <row r="21" spans="1:4" ht="57.75" customHeight="1">
      <c r="A21" s="35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4"/>
      <c r="C21" s="3574"/>
      <c r="D21" s="3574"/>
    </row>
    <row r="22" spans="1:4" ht="18.75" customHeight="1">
      <c r="A22" s="3575" t="s">
        <v>945</v>
      </c>
      <c r="B22" s="3575"/>
      <c r="C22" s="3575"/>
      <c r="D22" s="357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72">
        <v>42551</v>
      </c>
      <c r="D31" s="35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85" t="s">
        <v>956</v>
      </c>
      <c r="B15" s="3580" t="s">
        <v>109</v>
      </c>
      <c r="C15" s="3581"/>
    </row>
    <row r="16" spans="1:7" ht="13.5">
      <c r="A16" s="3586"/>
      <c r="B16" s="3580" t="s">
        <v>42</v>
      </c>
      <c r="C16" s="3581"/>
    </row>
    <row r="17" spans="1:3" ht="13.5">
      <c r="A17" s="3586"/>
      <c r="B17" s="3583" t="s">
        <v>957</v>
      </c>
      <c r="C17" s="1531" t="s">
        <v>956</v>
      </c>
    </row>
    <row r="18" spans="1:3" ht="13.5">
      <c r="A18" s="3586"/>
      <c r="B18" s="3583"/>
      <c r="C18" s="1531" t="s">
        <v>958</v>
      </c>
    </row>
    <row r="19" spans="1:3" ht="13.5">
      <c r="A19" s="3586"/>
      <c r="B19" s="3583"/>
      <c r="C19" s="1531" t="s">
        <v>959</v>
      </c>
    </row>
    <row r="20" spans="1:3" ht="13.5">
      <c r="A20" s="3587"/>
      <c r="B20" s="3582" t="s">
        <v>960</v>
      </c>
      <c r="C20" s="3581"/>
    </row>
    <row r="21" spans="1:3" ht="13.5">
      <c r="A21" s="1532" t="s">
        <v>961</v>
      </c>
      <c r="B21" s="1533"/>
      <c r="C21" s="1534"/>
    </row>
    <row r="22" spans="1:3" ht="13.5">
      <c r="A22" s="3584" t="s">
        <v>962</v>
      </c>
      <c r="B22" s="3582" t="s">
        <v>963</v>
      </c>
      <c r="C22" s="3581"/>
    </row>
    <row r="23" spans="1:3" ht="13.5">
      <c r="A23" s="3584"/>
      <c r="B23" s="3582" t="s">
        <v>964</v>
      </c>
      <c r="C23" s="3581"/>
    </row>
    <row r="24" spans="1:3" ht="13.5">
      <c r="A24" s="3584"/>
      <c r="B24" s="3582" t="s">
        <v>965</v>
      </c>
      <c r="C24" s="3581"/>
    </row>
    <row r="25" spans="1:3" ht="13.5">
      <c r="A25" s="3584"/>
      <c r="B25" s="3583" t="s">
        <v>966</v>
      </c>
      <c r="C25" s="1531" t="s">
        <v>967</v>
      </c>
    </row>
    <row r="26" spans="1:3" ht="13.5">
      <c r="A26" s="3584"/>
      <c r="B26" s="3583"/>
      <c r="C26" s="1531" t="s">
        <v>968</v>
      </c>
    </row>
    <row r="27" spans="1:3" ht="13.5">
      <c r="A27" s="3584"/>
      <c r="B27" s="3583"/>
      <c r="C27" s="1531" t="s">
        <v>969</v>
      </c>
    </row>
    <row r="28" spans="1:3" ht="13.5">
      <c r="A28" s="3584"/>
      <c r="B28" s="3583"/>
      <c r="C28" s="1531" t="s">
        <v>970</v>
      </c>
    </row>
    <row r="29" spans="1:3" ht="13.5">
      <c r="A29" s="3584"/>
      <c r="B29" s="3583"/>
      <c r="C29" s="1531" t="s">
        <v>971</v>
      </c>
    </row>
    <row r="30" spans="1:3" ht="13.5">
      <c r="A30" s="3584"/>
      <c r="B30" s="3583"/>
      <c r="C30" s="1531" t="s">
        <v>972</v>
      </c>
    </row>
    <row r="31" spans="1:3" ht="13.5">
      <c r="A31" s="3584"/>
      <c r="B31" s="3583"/>
      <c r="C31" s="1531" t="s">
        <v>973</v>
      </c>
    </row>
    <row r="32" spans="1:3" ht="13.5">
      <c r="A32" s="3584"/>
      <c r="B32" s="3583"/>
      <c r="C32" s="1531" t="s">
        <v>974</v>
      </c>
    </row>
    <row r="33" spans="1:3" ht="13.5">
      <c r="A33" s="3584"/>
      <c r="B33" s="358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45068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88" t="s">
        <v>2160</v>
      </c>
      <c r="B17" s="3588"/>
      <c r="C17" s="3588"/>
      <c r="D17" s="3588"/>
      <c r="E17" s="3588"/>
      <c r="F17" s="3588"/>
      <c r="G17" s="3588"/>
      <c r="H17" s="3588"/>
    </row>
    <row r="18" spans="1:8" ht="24" customHeight="1">
      <c r="A18" s="3589" t="s">
        <v>2161</v>
      </c>
      <c r="B18" s="3589"/>
      <c r="C18" s="3589"/>
      <c r="D18" s="2342"/>
      <c r="E18" s="3590" t="s">
        <v>2162</v>
      </c>
      <c r="F18" s="3589"/>
      <c r="G18" s="358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收益法倒推-商业</vt:lpstr>
      <vt:lpstr>成本法</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2023-05-22T06:52:50Z</dcterms:modified>
</cp:coreProperties>
</file>