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F:\2024-1-0782青岛法院-百子湾\"/>
    </mc:Choice>
  </mc:AlternateContent>
  <xr:revisionPtr revIDLastSave="0" documentId="13_ncr:1_{F0530F96-5ACC-4D72-A948-8CDEE6889D5A}" xr6:coauthVersionLast="47" xr6:coauthVersionMax="47" xr10:uidLastSave="{00000000-0000-0000-0000-000000000000}"/>
  <bookViews>
    <workbookView xWindow="-120" yWindow="-120" windowWidth="38640" windowHeight="212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案例" sheetId="80" r:id="rId37"/>
    <sheet name="法拍"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9">'比较法-住宅'!$A$1:$K$54,'比较法-住宅'!$A$57:$M$131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N8" i="81"/>
  <c r="N7" i="81"/>
  <c r="O8" i="81"/>
  <c r="O7" i="81"/>
  <c r="O6" i="81"/>
  <c r="E104" i="21"/>
  <c r="F104" i="21" s="1"/>
  <c r="D104" i="21"/>
  <c r="R36" i="80"/>
  <c r="D14" i="9"/>
  <c r="I33" i="21"/>
  <c r="G33" i="21"/>
  <c r="E33" i="21"/>
  <c r="C33" i="21"/>
  <c r="I47" i="21"/>
  <c r="G47" i="21"/>
  <c r="E47" i="21"/>
  <c r="D5" i="80"/>
  <c r="D6" i="80"/>
  <c r="D4" i="80"/>
  <c r="C6" i="69"/>
  <c r="D33" i="43"/>
  <c r="Y6" i="1"/>
  <c r="N21" i="1"/>
  <c r="F19" i="6"/>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O23" i="71"/>
  <c r="D25" i="71"/>
  <c r="AH23" i="71"/>
  <c r="AG23" i="71"/>
  <c r="AE23" i="71"/>
  <c r="AF23" i="71" s="1"/>
  <c r="AD23" i="71"/>
  <c r="AD24" i="71"/>
  <c r="AG24" i="71"/>
  <c r="AH24" i="71"/>
  <c r="AE24" i="71"/>
  <c r="AF24" i="71"/>
  <c r="N24" i="71"/>
  <c r="B24" i="71" s="1"/>
  <c r="B23" i="71" s="1"/>
  <c r="Q24" i="71"/>
  <c r="P24" i="71"/>
  <c r="O24" i="71"/>
  <c r="C24" i="7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Q71" i="71"/>
  <c r="P71" i="71"/>
  <c r="O71" i="71"/>
  <c r="N71" i="71"/>
  <c r="B70"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P32" i="71"/>
  <c r="O32" i="71"/>
  <c r="N32" i="71"/>
  <c r="X32" i="71" s="1"/>
  <c r="Q31" i="71"/>
  <c r="P31" i="71"/>
  <c r="O31" i="71"/>
  <c r="N31" i="71"/>
  <c r="Q30" i="71"/>
  <c r="AB26" i="71" s="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C34" i="71"/>
  <c r="D34" i="71" s="1"/>
  <c r="C35" i="71"/>
  <c r="C36" i="71" s="1"/>
  <c r="X35" i="71"/>
  <c r="C38" i="71"/>
  <c r="D38" i="71" s="1"/>
  <c r="Y37" i="71"/>
  <c r="Z37" i="71" s="1"/>
  <c r="X38" i="71"/>
  <c r="C28" i="71"/>
  <c r="Y28" i="71"/>
  <c r="Z28" i="71" s="1"/>
  <c r="C39" i="71"/>
  <c r="C43" i="71"/>
  <c r="C44" i="71" s="1"/>
  <c r="C51" i="71"/>
  <c r="P28" i="71"/>
  <c r="E28" i="71" s="1"/>
  <c r="E63" i="71"/>
  <c r="E64" i="71"/>
  <c r="U64" i="71" s="1"/>
  <c r="E67" i="71"/>
  <c r="Q28" i="71"/>
  <c r="C59" i="71"/>
  <c r="C60" i="71" s="1"/>
  <c r="D58" i="71"/>
  <c r="D68" i="71"/>
  <c r="Q68" i="71"/>
  <c r="C71" i="71"/>
  <c r="C70" i="71" s="1"/>
  <c r="D70" i="71" s="1"/>
  <c r="E71" i="71"/>
  <c r="E70" i="71" s="1"/>
  <c r="D72" i="71"/>
  <c r="E75" i="71"/>
  <c r="E74" i="71" s="1"/>
  <c r="C79" i="71"/>
  <c r="D79" i="71" s="1"/>
  <c r="E79" i="71"/>
  <c r="E78" i="71" s="1"/>
  <c r="D80" i="71"/>
  <c r="C83" i="71"/>
  <c r="D83" i="71" s="1"/>
  <c r="C87" i="71"/>
  <c r="S28" i="71"/>
  <c r="F28" i="71"/>
  <c r="F27" i="71" s="1"/>
  <c r="F26" i="71" s="1"/>
  <c r="AA27" i="71"/>
  <c r="C82" i="71"/>
  <c r="D82" i="71" s="1"/>
  <c r="C78" i="71"/>
  <c r="D78" i="71" s="1"/>
  <c r="D71" i="71"/>
  <c r="D59" i="71"/>
  <c r="P67" i="71"/>
  <c r="E66" i="71"/>
  <c r="P65"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H27" i="40" s="1"/>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H8" i="34"/>
  <c r="U8" i="34" s="1"/>
  <c r="F8" i="34"/>
  <c r="D121" i="33"/>
  <c r="E121" i="33"/>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J44" i="21" s="1"/>
  <c r="AC44" i="21" s="1"/>
  <c r="B98" i="21"/>
  <c r="H31" i="21" s="1"/>
  <c r="B96" i="21"/>
  <c r="J30" i="21" s="1"/>
  <c r="B94" i="21"/>
  <c r="J29" i="21" s="1"/>
  <c r="AC29" i="21" s="1"/>
  <c r="B92" i="21"/>
  <c r="F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c r="J45" i="39"/>
  <c r="W45" i="39" s="1"/>
  <c r="J44" i="39"/>
  <c r="AC44" i="39" s="1"/>
  <c r="F36" i="39"/>
  <c r="F35" i="39"/>
  <c r="AA35" i="39"/>
  <c r="U9" i="39"/>
  <c r="U30" i="37"/>
  <c r="W31" i="37"/>
  <c r="E103"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S31" i="35"/>
  <c r="U34" i="35"/>
  <c r="F36" i="34"/>
  <c r="J35" i="34"/>
  <c r="U34" i="34"/>
  <c r="H39" i="33"/>
  <c r="AB39" i="33" s="1"/>
  <c r="F26" i="33"/>
  <c r="U33" i="33"/>
  <c r="S40" i="33"/>
  <c r="W39" i="33"/>
  <c r="H39" i="37"/>
  <c r="AB39" i="37"/>
  <c r="F11" i="40"/>
  <c r="AA11" i="40"/>
  <c r="H11" i="40"/>
  <c r="AB11" i="40" s="1"/>
  <c r="W8" i="40"/>
  <c r="AB39"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F100" i="39"/>
  <c r="G100" i="39" s="1"/>
  <c r="H27" i="39"/>
  <c r="U27" i="39" s="1"/>
  <c r="J19" i="39"/>
  <c r="AC19" i="39" s="1"/>
  <c r="J17" i="39"/>
  <c r="J27" i="39"/>
  <c r="AC27" i="39" s="1"/>
  <c r="F27" i="39"/>
  <c r="F11" i="21"/>
  <c r="S11" i="21" s="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H42" i="21"/>
  <c r="U42" i="21" s="1"/>
  <c r="J44" i="34"/>
  <c r="F44" i="34"/>
  <c r="J10" i="35"/>
  <c r="AC10" i="35" s="1"/>
  <c r="H14" i="21"/>
  <c r="U14" i="21" s="1"/>
  <c r="H28" i="21"/>
  <c r="AB28" i="21" s="1"/>
  <c r="AA28" i="21"/>
  <c r="J28" i="21"/>
  <c r="W28" i="21" s="1"/>
  <c r="H30" i="21"/>
  <c r="U30" i="21" s="1"/>
  <c r="F30" i="21"/>
  <c r="S30" i="21" s="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68" i="3"/>
  <c r="BL564" i="3"/>
  <c r="BL560" i="3"/>
  <c r="BL554" i="3"/>
  <c r="BL546" i="3"/>
  <c r="BL542" i="3"/>
  <c r="BL538" i="3"/>
  <c r="BL534" i="3"/>
  <c r="BL530" i="3"/>
  <c r="BL526" i="3"/>
  <c r="BL522" i="3"/>
  <c r="BL516" i="3"/>
  <c r="BL512" i="3"/>
  <c r="BL506" i="3"/>
  <c r="BL502" i="3"/>
  <c r="BL498" i="3"/>
  <c r="BL494" i="3"/>
  <c r="BL578" i="3"/>
  <c r="BL570" i="3"/>
  <c r="BL566" i="3"/>
  <c r="BL562" i="3"/>
  <c r="BL556" i="3"/>
  <c r="BL552" i="3"/>
  <c r="BL544" i="3"/>
  <c r="BL540" i="3"/>
  <c r="BL536" i="3"/>
  <c r="G533" i="3"/>
  <c r="BL532" i="3"/>
  <c r="G529" i="3"/>
  <c r="BL528" i="3"/>
  <c r="G525" i="3"/>
  <c r="BL524" i="3"/>
  <c r="BL518" i="3"/>
  <c r="BL514" i="3"/>
  <c r="BL510" i="3"/>
  <c r="BL504" i="3"/>
  <c r="BL500" i="3"/>
  <c r="BL496" i="3"/>
  <c r="G493" i="3"/>
  <c r="BA582" i="3"/>
  <c r="BA578" i="3"/>
  <c r="BA574" i="3"/>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AZ522" i="3" s="1"/>
  <c r="BA520" i="3"/>
  <c r="BA518" i="3"/>
  <c r="BA516" i="3"/>
  <c r="AZ516" i="3" s="1"/>
  <c r="BA514" i="3"/>
  <c r="BA512" i="3"/>
  <c r="BA510" i="3"/>
  <c r="AZ510" i="3" s="1"/>
  <c r="BA508" i="3"/>
  <c r="AZ508" i="3" s="1"/>
  <c r="BA506" i="3"/>
  <c r="BA504" i="3"/>
  <c r="AZ504" i="3" s="1"/>
  <c r="BA502" i="3"/>
  <c r="BA500" i="3"/>
  <c r="BA498" i="3"/>
  <c r="AZ498" i="3" s="1"/>
  <c r="BA496" i="3"/>
  <c r="AZ496" i="3" s="1"/>
  <c r="BA494" i="3"/>
  <c r="BA587" i="3"/>
  <c r="BA583" i="3"/>
  <c r="BA579" i="3"/>
  <c r="BA575"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AZ497" i="3" s="1"/>
  <c r="BA495" i="3"/>
  <c r="BA493" i="3"/>
  <c r="AZ560" i="3"/>
  <c r="G581" i="3"/>
  <c r="G577" i="3"/>
  <c r="G575" i="3"/>
  <c r="G573" i="3"/>
  <c r="G569" i="3"/>
  <c r="G567" i="3"/>
  <c r="G565" i="3"/>
  <c r="G563" i="3"/>
  <c r="G561" i="3"/>
  <c r="BL558" i="3"/>
  <c r="BA557" i="3"/>
  <c r="AC557" i="3"/>
  <c r="G557" i="3" s="1"/>
  <c r="BQ557" i="3"/>
  <c r="BL557" i="3" s="1"/>
  <c r="BQ583" i="3"/>
  <c r="BQ581" i="3"/>
  <c r="BQ579" i="3"/>
  <c r="BQ577" i="3"/>
  <c r="BL577" i="3" s="1"/>
  <c r="BQ575" i="3"/>
  <c r="BL575" i="3"/>
  <c r="BQ573" i="3"/>
  <c r="BQ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W47" i="34"/>
  <c r="AC36" i="34"/>
  <c r="AC45" i="33"/>
  <c r="W44" i="33"/>
  <c r="U11" i="33"/>
  <c r="U19" i="21"/>
  <c r="W44" i="21"/>
  <c r="F43" i="33"/>
  <c r="AA43" i="33" s="1"/>
  <c r="W15" i="34"/>
  <c r="AC15" i="34"/>
  <c r="W16" i="35"/>
  <c r="G107" i="37"/>
  <c r="H107" i="37" s="1"/>
  <c r="I107" i="37" s="1"/>
  <c r="J107" i="37" s="1"/>
  <c r="K107" i="37" s="1"/>
  <c r="L107" i="37" s="1"/>
  <c r="M107" i="37" s="1"/>
  <c r="H37" i="21"/>
  <c r="U37" i="21" s="1"/>
  <c r="H19" i="34"/>
  <c r="AB19" i="34" s="1"/>
  <c r="F36" i="35"/>
  <c r="S36" i="35" s="1"/>
  <c r="J9" i="37"/>
  <c r="W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AZ192" i="3" s="1"/>
  <c r="G193" i="3"/>
  <c r="BA195" i="3"/>
  <c r="AZ195" i="3" s="1"/>
  <c r="BL196" i="3"/>
  <c r="G197" i="3"/>
  <c r="BA199" i="3"/>
  <c r="AZ199" i="3" s="1"/>
  <c r="BL200" i="3"/>
  <c r="AZ200" i="3" s="1"/>
  <c r="G201" i="3"/>
  <c r="BA203" i="3"/>
  <c r="BL204" i="3"/>
  <c r="AZ5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BL388" i="3"/>
  <c r="G389" i="3"/>
  <c r="BA391" i="3"/>
  <c r="AZ391" i="3" s="1"/>
  <c r="BL392" i="3"/>
  <c r="G393" i="3"/>
  <c r="AZ291" i="3"/>
  <c r="BO5" i="3"/>
  <c r="BM5" i="3"/>
  <c r="BH5" i="3"/>
  <c r="BF5" i="3"/>
  <c r="BD5" i="3"/>
  <c r="AZ341" i="3"/>
  <c r="AC5" i="3"/>
  <c r="AZ506" i="3"/>
  <c r="G548" i="3"/>
  <c r="G538" i="3"/>
  <c r="G520" i="3"/>
  <c r="G502" i="3"/>
  <c r="BS5" i="3"/>
  <c r="BP5" i="3"/>
  <c r="BN5" i="3"/>
  <c r="G29" i="6" s="1"/>
  <c r="BI5" i="3"/>
  <c r="BG5" i="3"/>
  <c r="BE5" i="3"/>
  <c r="G17" i="3"/>
  <c r="BA17" i="3"/>
  <c r="BT5" i="3"/>
  <c r="AZ350" i="3"/>
  <c r="BA15" i="3"/>
  <c r="AZ15" i="3" s="1"/>
  <c r="BR5" i="3"/>
  <c r="AZ380" i="3"/>
  <c r="AZ392" i="3"/>
  <c r="AZ509" i="3"/>
  <c r="G509" i="3"/>
  <c r="BL493"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U27" i="40"/>
  <c r="J27" i="40"/>
  <c r="AC27" i="40" s="1"/>
  <c r="F27" i="40"/>
  <c r="AA27" i="40" s="1"/>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69"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C39" i="40"/>
  <c r="W39" i="40"/>
  <c r="W12" i="33"/>
  <c r="AC12" i="33"/>
  <c r="AA32" i="36"/>
  <c r="S32" i="36"/>
  <c r="AZ437" i="3"/>
  <c r="AZ473" i="3"/>
  <c r="BL14" i="3"/>
  <c r="U30" i="33"/>
  <c r="AC13" i="34"/>
  <c r="AA47" i="34"/>
  <c r="W28" i="37"/>
  <c r="S19" i="39"/>
  <c r="F12" i="33"/>
  <c r="H12" i="39"/>
  <c r="U12" i="39" s="1"/>
  <c r="AB12" i="39"/>
  <c r="F39" i="40"/>
  <c r="BA14" i="3"/>
  <c r="AZ254" i="3"/>
  <c r="AZ297" i="3"/>
  <c r="AZ149" i="3"/>
  <c r="AZ173" i="3"/>
  <c r="AZ181" i="3"/>
  <c r="B12" i="1"/>
  <c r="E12" i="1" s="1"/>
  <c r="B10" i="1"/>
  <c r="E10" i="1" s="1"/>
  <c r="K12" i="1"/>
  <c r="M12" i="1" s="1"/>
  <c r="S13" i="1"/>
  <c r="AR13" i="1" s="1"/>
  <c r="R13" i="1"/>
  <c r="AC34" i="33"/>
  <c r="AA34" i="33"/>
  <c r="B41" i="1"/>
  <c r="F48" i="9" s="1"/>
  <c r="O52" i="9" s="1"/>
  <c r="AB37" i="40"/>
  <c r="S35" i="40"/>
  <c r="AC36" i="40"/>
  <c r="W38" i="40"/>
  <c r="AA32" i="40"/>
  <c r="S17" i="40"/>
  <c r="S23" i="40"/>
  <c r="AC17" i="40"/>
  <c r="AC15" i="40"/>
  <c r="AB27"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U27" i="33" s="1"/>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41" i="21"/>
  <c r="AB39" i="21"/>
  <c r="S39" i="21"/>
  <c r="J15" i="21"/>
  <c r="W15" i="21" s="1"/>
  <c r="F77" i="21"/>
  <c r="G77" i="21"/>
  <c r="F23" i="21"/>
  <c r="S23" i="21" s="1"/>
  <c r="E85" i="21"/>
  <c r="D120" i="9"/>
  <c r="D121" i="9" s="1"/>
  <c r="D7" i="52" s="1"/>
  <c r="C18" i="9"/>
  <c r="D18" i="9" s="1"/>
  <c r="F34" i="67"/>
  <c r="F62" i="67" s="1"/>
  <c r="M20" i="67"/>
  <c r="F34" i="15"/>
  <c r="F62" i="15" s="1"/>
  <c r="G13" i="3"/>
  <c r="BA13" i="3"/>
  <c r="BL17" i="3"/>
  <c r="AZ17" i="3" s="1"/>
  <c r="BL13" i="3"/>
  <c r="J56" i="9"/>
  <c r="J57" i="9" s="1"/>
  <c r="J59" i="9" s="1"/>
  <c r="J61" i="9" s="1"/>
  <c r="U29" i="34"/>
  <c r="E5"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AB31" i="21"/>
  <c r="U31" i="21"/>
  <c r="AC15" i="21"/>
  <c r="U13" i="21"/>
  <c r="AB13" i="21"/>
  <c r="J37" i="21"/>
  <c r="W37" i="21" s="1"/>
  <c r="H15" i="21"/>
  <c r="U15" i="21"/>
  <c r="J17" i="21"/>
  <c r="AC17" i="21" s="1"/>
  <c r="AC19" i="21"/>
  <c r="W39" i="21"/>
  <c r="W30" i="21"/>
  <c r="S46" i="21"/>
  <c r="H45" i="21"/>
  <c r="U45" i="21" s="1"/>
  <c r="F29" i="21"/>
  <c r="AA29" i="21" s="1"/>
  <c r="F13" i="21"/>
  <c r="AA13" i="21" s="1"/>
  <c r="H9" i="21"/>
  <c r="AB9" i="21" s="1"/>
  <c r="J9" i="21"/>
  <c r="W9" i="21" s="1"/>
  <c r="AA31" i="21"/>
  <c r="U17" i="21"/>
  <c r="W29" i="21"/>
  <c r="S19" i="21"/>
  <c r="S9" i="21"/>
  <c r="AA9" i="21"/>
  <c r="K141" i="21"/>
  <c r="K144" i="21"/>
  <c r="K143" i="21"/>
  <c r="U27" i="21"/>
  <c r="AB25" i="21"/>
  <c r="AB44" i="21"/>
  <c r="AA30" i="21"/>
  <c r="W13" i="21"/>
  <c r="AC45" i="21"/>
  <c r="F10" i="21"/>
  <c r="AA10" i="21" s="1"/>
  <c r="K145" i="21"/>
  <c r="W25" i="21"/>
  <c r="W31" i="21"/>
  <c r="S27" i="21"/>
  <c r="S17" i="21"/>
  <c r="AA15" i="21"/>
  <c r="AC27" i="21"/>
  <c r="AC26" i="21"/>
  <c r="AB29" i="21"/>
  <c r="S28" i="21"/>
  <c r="AC34"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AA21" i="39"/>
  <c r="S21" i="39"/>
  <c r="AC17" i="37"/>
  <c r="J19" i="37"/>
  <c r="W19" i="37" s="1"/>
  <c r="G75"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AB27" i="33"/>
  <c r="G91" i="33"/>
  <c r="H91" i="33" s="1"/>
  <c r="I91" i="33" s="1"/>
  <c r="J91" i="33" s="1"/>
  <c r="K91" i="33" s="1"/>
  <c r="L91" i="33" s="1"/>
  <c r="M91" i="33" s="1"/>
  <c r="J27" i="33"/>
  <c r="W27" i="33" s="1"/>
  <c r="U25" i="33"/>
  <c r="AA25" i="33"/>
  <c r="G87" i="33"/>
  <c r="H87" i="33" s="1"/>
  <c r="I87" i="33" s="1"/>
  <c r="J87" i="33" s="1"/>
  <c r="K87" i="33" s="1"/>
  <c r="L87" i="33" s="1"/>
  <c r="M87" i="33" s="1"/>
  <c r="J25" i="33"/>
  <c r="W25" i="33" s="1"/>
  <c r="AB23" i="33"/>
  <c r="F23" i="33"/>
  <c r="G85" i="33"/>
  <c r="AA19" i="33"/>
  <c r="H19" i="33"/>
  <c r="H17" i="33"/>
  <c r="U17" i="33" s="1"/>
  <c r="F17" i="33"/>
  <c r="S17" i="33" s="1"/>
  <c r="AC17" i="33"/>
  <c r="AA23" i="21"/>
  <c r="AB15" i="21"/>
  <c r="J23" i="21"/>
  <c r="AC23" i="21" s="1"/>
  <c r="F85" i="21"/>
  <c r="G85" i="21" s="1"/>
  <c r="H23" i="21"/>
  <c r="AB23" i="21" s="1"/>
  <c r="D6" i="52"/>
  <c r="AP7" i="1"/>
  <c r="AB45" i="21"/>
  <c r="AC9" i="21"/>
  <c r="A18" i="62"/>
  <c r="B64" i="72" s="1"/>
  <c r="U32" i="39"/>
  <c r="AC32" i="39"/>
  <c r="W32" i="39"/>
  <c r="J63" i="37"/>
  <c r="K63" i="37" s="1"/>
  <c r="L63" i="37" s="1"/>
  <c r="M63" i="37" s="1"/>
  <c r="J11" i="37"/>
  <c r="AC11" i="37" s="1"/>
  <c r="J11" i="34"/>
  <c r="W11" i="34" s="1"/>
  <c r="AB36" i="33"/>
  <c r="AB19" i="33"/>
  <c r="U19" i="33"/>
  <c r="AA17" i="33"/>
  <c r="U23" i="21"/>
  <c r="W23" i="21"/>
  <c r="H109" i="9"/>
  <c r="M49" i="9" s="1"/>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F43" i="67"/>
  <c r="B8" i="76"/>
  <c r="E10" i="76"/>
  <c r="F16" i="67"/>
  <c r="F4" i="73"/>
  <c r="M22" i="67"/>
  <c r="F7" i="73"/>
  <c r="E12" i="76"/>
  <c r="F26" i="67"/>
  <c r="B7" i="76"/>
  <c r="F40" i="67"/>
  <c r="C76" i="15"/>
  <c r="M26" i="67"/>
  <c r="F8" i="67"/>
  <c r="B10" i="76"/>
  <c r="F6" i="67"/>
  <c r="L48" i="67"/>
  <c r="F43" i="15"/>
  <c r="M6" i="15"/>
  <c r="L47" i="67"/>
  <c r="B13" i="76"/>
  <c r="E2" i="68"/>
  <c r="F20" i="31"/>
  <c r="F13" i="67"/>
  <c r="M8" i="67"/>
  <c r="F38" i="67"/>
  <c r="F13" i="15"/>
  <c r="F7" i="67"/>
  <c r="F7" i="15"/>
  <c r="F9" i="67"/>
  <c r="F3" i="73"/>
  <c r="F37" i="67"/>
  <c r="M6" i="67"/>
  <c r="M9" i="67"/>
  <c r="C76" i="67"/>
  <c r="E2" i="69"/>
  <c r="E7" i="76"/>
  <c r="D35" i="9"/>
  <c r="J15" i="67"/>
  <c r="F36" i="67"/>
  <c r="M28" i="67"/>
  <c r="L47" i="15"/>
  <c r="F42" i="67"/>
  <c r="AO13" i="1"/>
  <c r="E11" i="76"/>
  <c r="M29" i="67"/>
  <c r="E13" i="76"/>
  <c r="F6" i="73"/>
  <c r="E8" i="76"/>
  <c r="E9" i="76"/>
  <c r="F5" i="73"/>
  <c r="B9" i="76"/>
  <c r="B11" i="76"/>
  <c r="B12" i="76"/>
  <c r="D6" i="73"/>
  <c r="F26" i="15"/>
  <c r="D34" i="9"/>
  <c r="M24" i="15"/>
  <c r="M24" i="67"/>
  <c r="F16" i="15"/>
  <c r="J42" i="21" l="1"/>
  <c r="S42" i="21"/>
  <c r="AB38" i="21"/>
  <c r="AC38" i="21"/>
  <c r="AA38" i="21"/>
  <c r="S35" i="21"/>
  <c r="AB42" i="21"/>
  <c r="AA43" i="21"/>
  <c r="AA41" i="21"/>
  <c r="U40" i="21"/>
  <c r="AC40" i="21"/>
  <c r="U43" i="21"/>
  <c r="AA36" i="21"/>
  <c r="AB36" i="21"/>
  <c r="W36" i="21"/>
  <c r="U34" i="21"/>
  <c r="J32" i="21"/>
  <c r="W32" i="21" s="1"/>
  <c r="F32" i="21"/>
  <c r="S32" i="21" s="1"/>
  <c r="H32" i="21"/>
  <c r="AB32" i="21" s="1"/>
  <c r="AA32" i="21"/>
  <c r="S37" i="21"/>
  <c r="D22" i="15"/>
  <c r="D23" i="15"/>
  <c r="C7" i="21"/>
  <c r="C42" i="1"/>
  <c r="C24" i="12" s="1"/>
  <c r="C7" i="36"/>
  <c r="C46" i="36" s="1"/>
  <c r="D46" i="36" s="1"/>
  <c r="E46" i="36" s="1"/>
  <c r="F46" i="36" s="1"/>
  <c r="G46" i="36" s="1"/>
  <c r="H46" i="36" s="1"/>
  <c r="I46" i="36" s="1"/>
  <c r="G23" i="43"/>
  <c r="C23" i="43" s="1"/>
  <c r="C7" i="33"/>
  <c r="C7" i="34"/>
  <c r="M47" i="9"/>
  <c r="C7" i="35"/>
  <c r="C48" i="35" s="1"/>
  <c r="D48" i="35" s="1"/>
  <c r="E48" i="35" s="1"/>
  <c r="AC27" i="33"/>
  <c r="AC23" i="37"/>
  <c r="U9" i="21"/>
  <c r="S17" i="37"/>
  <c r="U21" i="39"/>
  <c r="S23" i="39"/>
  <c r="AZ372" i="3"/>
  <c r="AZ304" i="3"/>
  <c r="AZ527" i="3"/>
  <c r="AZ540" i="3"/>
  <c r="S14" i="37"/>
  <c r="AA14" i="37"/>
  <c r="U45" i="33"/>
  <c r="AB45" i="33"/>
  <c r="AA44" i="34"/>
  <c r="S44" i="34"/>
  <c r="S36" i="39"/>
  <c r="AA36" i="39"/>
  <c r="F14" i="21"/>
  <c r="J14" i="21"/>
  <c r="AB35" i="33"/>
  <c r="U35" i="33"/>
  <c r="AB33" i="34"/>
  <c r="S13" i="21"/>
  <c r="AA19" i="37"/>
  <c r="W17" i="21"/>
  <c r="AB34" i="33"/>
  <c r="S43" i="34"/>
  <c r="AZ14" i="3"/>
  <c r="F29" i="6"/>
  <c r="AZ379" i="3"/>
  <c r="AZ357" i="3"/>
  <c r="AZ313" i="3"/>
  <c r="AZ306" i="3"/>
  <c r="AA13" i="33"/>
  <c r="AZ535" i="3"/>
  <c r="AZ557" i="3"/>
  <c r="AZ575" i="3"/>
  <c r="S29" i="35"/>
  <c r="AA29" i="35"/>
  <c r="S40" i="21"/>
  <c r="AC25" i="33"/>
  <c r="AA35" i="33"/>
  <c r="U35" i="40"/>
  <c r="AZ503" i="3"/>
  <c r="AZ513" i="3"/>
  <c r="AZ512" i="3"/>
  <c r="AZ520" i="3"/>
  <c r="AZ502" i="3"/>
  <c r="U33" i="40"/>
  <c r="AB33" i="40"/>
  <c r="AA26" i="33"/>
  <c r="S26" i="33"/>
  <c r="AC8" i="34"/>
  <c r="W8" i="34"/>
  <c r="H36" i="39"/>
  <c r="J36" i="39"/>
  <c r="AC36" i="39" s="1"/>
  <c r="BA584" i="3"/>
  <c r="AZ584" i="3" s="1"/>
  <c r="BL582" i="3"/>
  <c r="AZ582" i="3" s="1"/>
  <c r="BL581" i="3"/>
  <c r="BA581" i="3"/>
  <c r="BL580" i="3"/>
  <c r="BA580" i="3"/>
  <c r="AZ580" i="3" s="1"/>
  <c r="BL579" i="3"/>
  <c r="AZ579" i="3" s="1"/>
  <c r="BA577" i="3"/>
  <c r="BK5" i="3"/>
  <c r="BC5" i="3"/>
  <c r="BA576" i="3"/>
  <c r="AZ576" i="3" s="1"/>
  <c r="BL574" i="3"/>
  <c r="BJ5" i="3"/>
  <c r="BB5" i="3"/>
  <c r="BA573" i="3"/>
  <c r="AZ572" i="3"/>
  <c r="BL571" i="3"/>
  <c r="AZ571" i="3" s="1"/>
  <c r="AZ164" i="3"/>
  <c r="AZ327" i="3"/>
  <c r="AZ324" i="3"/>
  <c r="AZ577" i="3"/>
  <c r="AZ574" i="3"/>
  <c r="S14" i="34"/>
  <c r="AA14" i="34"/>
  <c r="W31" i="33"/>
  <c r="AC31" i="33"/>
  <c r="S28" i="34"/>
  <c r="AB26" i="37"/>
  <c r="U26" i="37"/>
  <c r="H25" i="37"/>
  <c r="F25" i="37"/>
  <c r="J25" i="37"/>
  <c r="AC40" i="39"/>
  <c r="W40" i="39"/>
  <c r="BL585" i="3"/>
  <c r="AZ585" i="3" s="1"/>
  <c r="AZ531" i="3"/>
  <c r="BL573" i="3"/>
  <c r="AZ573" i="3" s="1"/>
  <c r="BL583" i="3"/>
  <c r="AZ583" i="3" s="1"/>
  <c r="AZ568" i="3"/>
  <c r="H33" i="36"/>
  <c r="J33" i="36"/>
  <c r="AC33" i="36" s="1"/>
  <c r="AB34" i="40"/>
  <c r="U34" i="40"/>
  <c r="AZ387" i="3"/>
  <c r="AZ370" i="3"/>
  <c r="AZ362" i="3"/>
  <c r="AZ338" i="3"/>
  <c r="AZ307" i="3"/>
  <c r="AZ390" i="3"/>
  <c r="AZ371" i="3"/>
  <c r="AZ351" i="3"/>
  <c r="AZ336" i="3"/>
  <c r="AZ305" i="3"/>
  <c r="AZ360" i="3"/>
  <c r="AZ539" i="3"/>
  <c r="AZ529" i="3"/>
  <c r="AZ537" i="3"/>
  <c r="AZ518" i="3"/>
  <c r="AZ526" i="3"/>
  <c r="AZ546" i="3"/>
  <c r="AZ564" i="3"/>
  <c r="S11" i="36"/>
  <c r="AB17" i="34"/>
  <c r="J31" i="39"/>
  <c r="F9" i="34"/>
  <c r="AA9" i="34" s="1"/>
  <c r="J9" i="34"/>
  <c r="J12" i="34"/>
  <c r="H12" i="34"/>
  <c r="AZ480" i="3"/>
  <c r="G551" i="3"/>
  <c r="BL550" i="3"/>
  <c r="G542" i="3"/>
  <c r="BL398" i="3"/>
  <c r="G402" i="3"/>
  <c r="BL403" i="3"/>
  <c r="G406" i="3"/>
  <c r="BA408" i="3"/>
  <c r="AZ408" i="3" s="1"/>
  <c r="BA409" i="3"/>
  <c r="AZ409" i="3" s="1"/>
  <c r="BA411" i="3"/>
  <c r="AZ411" i="3" s="1"/>
  <c r="BL414" i="3"/>
  <c r="BL415" i="3"/>
  <c r="BA417" i="3"/>
  <c r="AZ417" i="3" s="1"/>
  <c r="BL421" i="3"/>
  <c r="BL422" i="3"/>
  <c r="BL425" i="3"/>
  <c r="BL426" i="3"/>
  <c r="AZ426" i="3" s="1"/>
  <c r="BA428" i="3"/>
  <c r="BA429" i="3"/>
  <c r="BA430" i="3"/>
  <c r="AZ430" i="3" s="1"/>
  <c r="BA432" i="3"/>
  <c r="AZ432" i="3" s="1"/>
  <c r="BA434" i="3"/>
  <c r="BA436" i="3"/>
  <c r="BA438" i="3"/>
  <c r="G442" i="3"/>
  <c r="G443" i="3"/>
  <c r="BA446" i="3"/>
  <c r="BA450" i="3"/>
  <c r="BA453" i="3"/>
  <c r="AZ453" i="3" s="1"/>
  <c r="BA455" i="3"/>
  <c r="AZ455" i="3" s="1"/>
  <c r="BL460" i="3"/>
  <c r="BL461" i="3"/>
  <c r="BL463" i="3"/>
  <c r="AZ463" i="3" s="1"/>
  <c r="G465" i="3"/>
  <c r="BA471" i="3"/>
  <c r="AZ471" i="3" s="1"/>
  <c r="AZ487" i="3"/>
  <c r="U9" i="40"/>
  <c r="S27" i="35"/>
  <c r="W33" i="33"/>
  <c r="G585" i="3"/>
  <c r="BL587" i="3"/>
  <c r="AZ587" i="3" s="1"/>
  <c r="BL586" i="3"/>
  <c r="AZ586" i="3" s="1"/>
  <c r="G574"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42" i="3"/>
  <c r="BL444" i="3"/>
  <c r="AZ444" i="3" s="1"/>
  <c r="BL448" i="3"/>
  <c r="G451" i="3"/>
  <c r="BA454" i="3"/>
  <c r="BA457" i="3"/>
  <c r="AZ457" i="3" s="1"/>
  <c r="BA459" i="3"/>
  <c r="AZ459" i="3" s="1"/>
  <c r="BA460" i="3"/>
  <c r="AZ460" i="3" s="1"/>
  <c r="BA461" i="3"/>
  <c r="BL464" i="3"/>
  <c r="AZ464" i="3" s="1"/>
  <c r="BL466" i="3"/>
  <c r="G468" i="3"/>
  <c r="G469" i="3"/>
  <c r="BL476" i="3"/>
  <c r="AZ476" i="3" s="1"/>
  <c r="BL477" i="3"/>
  <c r="BL478" i="3"/>
  <c r="BL480" i="3"/>
  <c r="BA483" i="3"/>
  <c r="BL483" i="3"/>
  <c r="BA486" i="3"/>
  <c r="BL489" i="3"/>
  <c r="BL491" i="3"/>
  <c r="BL492" i="3"/>
  <c r="BA315" i="3"/>
  <c r="AZ315" i="3" s="1"/>
  <c r="BA333" i="3"/>
  <c r="BL346" i="3"/>
  <c r="AZ346" i="3" s="1"/>
  <c r="AZ228" i="3"/>
  <c r="BA551" i="3"/>
  <c r="AZ551" i="3" s="1"/>
  <c r="BA550" i="3"/>
  <c r="AZ550" i="3" s="1"/>
  <c r="BL548" i="3"/>
  <c r="AZ548" i="3" s="1"/>
  <c r="BL16" i="3"/>
  <c r="AZ16" i="3" s="1"/>
  <c r="BA401" i="3"/>
  <c r="AZ401" i="3" s="1"/>
  <c r="BA403" i="3"/>
  <c r="AZ403" i="3" s="1"/>
  <c r="BA404" i="3"/>
  <c r="BA405" i="3"/>
  <c r="AZ405" i="3" s="1"/>
  <c r="BL410" i="3"/>
  <c r="G412" i="3"/>
  <c r="G418" i="3"/>
  <c r="BA422" i="3"/>
  <c r="AZ422" i="3" s="1"/>
  <c r="G437" i="3"/>
  <c r="BL438" i="3"/>
  <c r="AZ438" i="3" s="1"/>
  <c r="BL439" i="3"/>
  <c r="BA441" i="3"/>
  <c r="AZ441" i="3" s="1"/>
  <c r="BL445" i="3"/>
  <c r="BL446" i="3"/>
  <c r="AZ448" i="3"/>
  <c r="BL449" i="3"/>
  <c r="BL450" i="3"/>
  <c r="BL452" i="3"/>
  <c r="BL456" i="3"/>
  <c r="AZ456" i="3" s="1"/>
  <c r="AZ466" i="3"/>
  <c r="BL468" i="3"/>
  <c r="BL470" i="3"/>
  <c r="AZ470" i="3" s="1"/>
  <c r="BA482" i="3"/>
  <c r="BA484" i="3"/>
  <c r="AZ484" i="3" s="1"/>
  <c r="G491" i="3"/>
  <c r="BA303" i="3"/>
  <c r="AZ303" i="3" s="1"/>
  <c r="BA307" i="3"/>
  <c r="BL314" i="3"/>
  <c r="AZ314" i="3" s="1"/>
  <c r="BA332" i="3"/>
  <c r="BL332"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L471" i="3"/>
  <c r="BL475" i="3"/>
  <c r="BA477" i="3"/>
  <c r="BA478" i="3"/>
  <c r="AZ478" i="3" s="1"/>
  <c r="BA481" i="3"/>
  <c r="G484" i="3"/>
  <c r="BA488" i="3"/>
  <c r="AZ488" i="3" s="1"/>
  <c r="BA491" i="3"/>
  <c r="AZ491" i="3" s="1"/>
  <c r="BL324" i="3"/>
  <c r="BL328" i="3"/>
  <c r="AZ328" i="3" s="1"/>
  <c r="G329" i="3"/>
  <c r="BA335" i="3"/>
  <c r="AZ335" i="3" s="1"/>
  <c r="BA339" i="3"/>
  <c r="AZ339" i="3" s="1"/>
  <c r="G343" i="3"/>
  <c r="G347" i="3"/>
  <c r="BA348" i="3"/>
  <c r="AZ270" i="3"/>
  <c r="AZ302" i="3"/>
  <c r="AZ108" i="3"/>
  <c r="B100" i="43"/>
  <c r="B57" i="43"/>
  <c r="B68" i="43"/>
  <c r="B77" i="43"/>
  <c r="C29" i="39"/>
  <c r="X25" i="71"/>
  <c r="X26" i="71"/>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AZ276" i="3" s="1"/>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D44" i="71"/>
  <c r="T44" i="71"/>
  <c r="C47" i="71"/>
  <c r="D47" i="71" s="1"/>
  <c r="D46"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BL178" i="3"/>
  <c r="BA180" i="3"/>
  <c r="AZ180" i="3" s="1"/>
  <c r="BL182" i="3"/>
  <c r="AZ182" i="3" s="1"/>
  <c r="B13" i="1"/>
  <c r="E13" i="1" s="1"/>
  <c r="K13" i="1"/>
  <c r="M13" i="1" s="1"/>
  <c r="O13" i="1" s="1"/>
  <c r="P13" i="1" s="1"/>
  <c r="U21" i="33"/>
  <c r="AB21" i="33"/>
  <c r="AC18" i="35"/>
  <c r="W18" i="35"/>
  <c r="D60" i="71"/>
  <c r="T60" i="71"/>
  <c r="C40" i="71"/>
  <c r="D39" i="71"/>
  <c r="AB32" i="71"/>
  <c r="AB27" i="71"/>
  <c r="E34" i="71"/>
  <c r="E35" i="71" s="1"/>
  <c r="E36" i="71" s="1"/>
  <c r="U36" i="71" s="1"/>
  <c r="AA30" i="71"/>
  <c r="AA28" i="71"/>
  <c r="T76" i="71"/>
  <c r="D76" i="71"/>
  <c r="C75" i="71"/>
  <c r="G364" i="3"/>
  <c r="BA367" i="3"/>
  <c r="AZ367" i="3" s="1"/>
  <c r="BA370" i="3"/>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AZ201" i="3"/>
  <c r="AZ27" i="3"/>
  <c r="G51" i="3"/>
  <c r="BL64" i="3"/>
  <c r="AZ64" i="3" s="1"/>
  <c r="F40" i="69"/>
  <c r="C40" i="69"/>
  <c r="D35" i="71"/>
  <c r="B27" i="71"/>
  <c r="B26" i="71" s="1"/>
  <c r="C30" i="71"/>
  <c r="Y29" i="71"/>
  <c r="Z29" i="71" s="1"/>
  <c r="Y25" i="71"/>
  <c r="Z25" i="71" s="1"/>
  <c r="X28" i="71"/>
  <c r="X31" i="71"/>
  <c r="C55" i="71"/>
  <c r="D54" i="71"/>
  <c r="N67" i="71"/>
  <c r="B66" i="71"/>
  <c r="C67" i="71"/>
  <c r="T68" i="71"/>
  <c r="O68" i="71"/>
  <c r="BL193" i="3"/>
  <c r="BL194" i="3"/>
  <c r="AZ194" i="3" s="1"/>
  <c r="BA198" i="3"/>
  <c r="AZ198" i="3" s="1"/>
  <c r="G199" i="3"/>
  <c r="G205" i="3"/>
  <c r="BL206" i="3"/>
  <c r="BA19" i="3"/>
  <c r="AZ19" i="3" s="1"/>
  <c r="G27" i="3"/>
  <c r="BA27" i="3"/>
  <c r="BL30" i="3"/>
  <c r="BL31" i="3"/>
  <c r="AZ31" i="3" s="1"/>
  <c r="G37" i="3"/>
  <c r="BL40" i="3"/>
  <c r="BL41" i="3"/>
  <c r="AZ41" i="3" s="1"/>
  <c r="BL45" i="3"/>
  <c r="BA48" i="3"/>
  <c r="BA49" i="3"/>
  <c r="BA51" i="3"/>
  <c r="AZ51" i="3" s="1"/>
  <c r="G55" i="3"/>
  <c r="BL56" i="3"/>
  <c r="BA58" i="3"/>
  <c r="BL59" i="3"/>
  <c r="AZ59" i="3" s="1"/>
  <c r="BL60" i="3"/>
  <c r="BA61" i="3"/>
  <c r="AZ61" i="3" s="1"/>
  <c r="BA68" i="3"/>
  <c r="BA73" i="3"/>
  <c r="AZ73" i="3" s="1"/>
  <c r="G81" i="3"/>
  <c r="BL85" i="3"/>
  <c r="BA86" i="3"/>
  <c r="BL97" i="3"/>
  <c r="AZ97" i="3" s="1"/>
  <c r="G103" i="3"/>
  <c r="BA103" i="3"/>
  <c r="AZ103" i="3" s="1"/>
  <c r="BA104" i="3"/>
  <c r="BA106" i="3"/>
  <c r="AZ106" i="3" s="1"/>
  <c r="BL108" i="3"/>
  <c r="W21" i="37"/>
  <c r="AC21" i="37"/>
  <c r="U21" i="37"/>
  <c r="AB21" i="34"/>
  <c r="U21" i="34"/>
  <c r="C86" i="71"/>
  <c r="D86" i="71" s="1"/>
  <c r="D87" i="71"/>
  <c r="C52" i="71"/>
  <c r="D51" i="71"/>
  <c r="AB34" i="71"/>
  <c r="AB33" i="71"/>
  <c r="C63" i="71"/>
  <c r="D62" i="71"/>
  <c r="F66" i="71"/>
  <c r="Q67" i="71"/>
  <c r="P68" i="71"/>
  <c r="U68" i="71"/>
  <c r="C23" i="71"/>
  <c r="B22" i="71"/>
  <c r="B21" i="71" s="1"/>
  <c r="B20" i="71" s="1"/>
  <c r="E22" i="71"/>
  <c r="E21" i="71" s="1"/>
  <c r="E20" i="71" s="1"/>
  <c r="AA3" i="71"/>
  <c r="BA190" i="3"/>
  <c r="AZ190" i="3" s="1"/>
  <c r="BA197" i="3"/>
  <c r="AZ197" i="3" s="1"/>
  <c r="BL201" i="3"/>
  <c r="BL203" i="3"/>
  <c r="AZ203" i="3" s="1"/>
  <c r="BA204" i="3"/>
  <c r="AZ204" i="3" s="1"/>
  <c r="BA18" i="3"/>
  <c r="AZ18" i="3" s="1"/>
  <c r="BL21" i="3"/>
  <c r="G23" i="3"/>
  <c r="BL29" i="3"/>
  <c r="G33" i="3"/>
  <c r="G34" i="3"/>
  <c r="BA37" i="3"/>
  <c r="BL39" i="3"/>
  <c r="G43" i="3"/>
  <c r="G44" i="3"/>
  <c r="BA45" i="3"/>
  <c r="AZ45" i="3" s="1"/>
  <c r="BA46" i="3"/>
  <c r="BL49" i="3"/>
  <c r="BL50" i="3"/>
  <c r="AZ50" i="3" s="1"/>
  <c r="BL51" i="3"/>
  <c r="G53" i="3"/>
  <c r="BL53" i="3"/>
  <c r="BA56" i="3"/>
  <c r="BA57" i="3"/>
  <c r="BL58" i="3"/>
  <c r="G60" i="3"/>
  <c r="BA60" i="3"/>
  <c r="BA63" i="3"/>
  <c r="AZ63" i="3" s="1"/>
  <c r="BA66" i="3"/>
  <c r="BL74" i="3"/>
  <c r="AZ74" i="3" s="1"/>
  <c r="G75" i="3"/>
  <c r="BL75" i="3"/>
  <c r="BA80" i="3"/>
  <c r="BL84" i="3"/>
  <c r="G89" i="3"/>
  <c r="BA90" i="3"/>
  <c r="BA109" i="3"/>
  <c r="BA111" i="3"/>
  <c r="AZ111" i="3" s="1"/>
  <c r="W21" i="21"/>
  <c r="P66" i="71"/>
  <c r="AB25" i="71"/>
  <c r="AB28" i="71"/>
  <c r="T28" i="71"/>
  <c r="D28" i="71"/>
  <c r="U28" i="71" s="1"/>
  <c r="C27" i="71"/>
  <c r="X33" i="71"/>
  <c r="X34" i="71"/>
  <c r="X36" i="71"/>
  <c r="AB37" i="71"/>
  <c r="AB35" i="71"/>
  <c r="S72" i="71"/>
  <c r="V72" i="71"/>
  <c r="F71" i="71"/>
  <c r="F70" i="71" s="1"/>
  <c r="V80" i="71"/>
  <c r="BA185" i="3"/>
  <c r="BL191" i="3"/>
  <c r="AZ191" i="3" s="1"/>
  <c r="G192" i="3"/>
  <c r="BA193" i="3"/>
  <c r="AZ193" i="3" s="1"/>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BL57" i="3"/>
  <c r="G62" i="3"/>
  <c r="BL62" i="3"/>
  <c r="AZ62" i="3" s="1"/>
  <c r="BL63" i="3"/>
  <c r="G65" i="3"/>
  <c r="BL65" i="3"/>
  <c r="AZ65" i="3" s="1"/>
  <c r="BL66" i="3"/>
  <c r="BL67" i="3"/>
  <c r="AZ67" i="3" s="1"/>
  <c r="G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F3" i="35"/>
  <c r="AC18" i="36"/>
  <c r="W18" i="36"/>
  <c r="AB25" i="40"/>
  <c r="U25" i="40"/>
  <c r="B32" i="71"/>
  <c r="S32" i="71" s="1"/>
  <c r="Y27" i="71"/>
  <c r="Z27" i="71" s="1"/>
  <c r="Y26" i="71"/>
  <c r="Z26" i="71" s="1"/>
  <c r="BA71" i="3"/>
  <c r="G76" i="3"/>
  <c r="BL77" i="3"/>
  <c r="AZ77" i="3" s="1"/>
  <c r="BA79" i="3"/>
  <c r="AZ79" i="3" s="1"/>
  <c r="G82" i="3"/>
  <c r="G83" i="3"/>
  <c r="BA84" i="3"/>
  <c r="BL88" i="3"/>
  <c r="AZ88" i="3" s="1"/>
  <c r="G90" i="3"/>
  <c r="BL90" i="3"/>
  <c r="BL92" i="3"/>
  <c r="G101" i="3"/>
  <c r="BA101" i="3"/>
  <c r="AZ101" i="3" s="1"/>
  <c r="G108" i="3"/>
  <c r="G109" i="3"/>
  <c r="BL112" i="3"/>
  <c r="S21" i="34"/>
  <c r="B88" i="43"/>
  <c r="F35" i="71"/>
  <c r="F36" i="71" s="1"/>
  <c r="V36" i="71" s="1"/>
  <c r="AA34" i="71"/>
  <c r="B51" i="71"/>
  <c r="B52" i="71" s="1"/>
  <c r="S52" i="71" s="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68"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89" i="3"/>
  <c r="AZ385" i="3"/>
  <c r="AZ212" i="3"/>
  <c r="AZ220"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1" i="6"/>
  <c r="E60" i="39" s="1"/>
  <c r="H16" i="1"/>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M7" i="15"/>
  <c r="F50" i="15"/>
  <c r="F71" i="15"/>
  <c r="F66" i="67"/>
  <c r="L59" i="15"/>
  <c r="N59" i="15"/>
  <c r="M59" i="15"/>
  <c r="Q71" i="67"/>
  <c r="C27" i="67"/>
  <c r="F71" i="67"/>
  <c r="C27" i="15"/>
  <c r="N59" i="67"/>
  <c r="L59" i="67"/>
  <c r="L58" i="67"/>
  <c r="M59" i="67"/>
  <c r="B13" i="70"/>
  <c r="M7" i="67"/>
  <c r="J6" i="67" s="1"/>
  <c r="F50" i="67"/>
  <c r="F68" i="67"/>
  <c r="F64" i="67"/>
  <c r="C36" i="68"/>
  <c r="D9" i="68"/>
  <c r="F8" i="15"/>
  <c r="D3" i="73"/>
  <c r="M28" i="15"/>
  <c r="C16" i="67"/>
  <c r="J15" i="15"/>
  <c r="F38" i="15"/>
  <c r="C16" i="15"/>
  <c r="M22" i="15"/>
  <c r="C36" i="69"/>
  <c r="F40" i="15"/>
  <c r="M26" i="15"/>
  <c r="M8" i="15"/>
  <c r="D4" i="73"/>
  <c r="F27" i="69"/>
  <c r="L48" i="15"/>
  <c r="D7" i="73"/>
  <c r="F37" i="15"/>
  <c r="M23" i="15"/>
  <c r="M29" i="15"/>
  <c r="F6" i="15"/>
  <c r="D9" i="69"/>
  <c r="F9" i="15"/>
  <c r="F36" i="15"/>
  <c r="M9" i="15"/>
  <c r="D5" i="73"/>
  <c r="F42" i="15"/>
  <c r="AC42" i="21" l="1"/>
  <c r="W42" i="21"/>
  <c r="U32" i="21"/>
  <c r="N370" i="46"/>
  <c r="J26" i="43"/>
  <c r="F26" i="43"/>
  <c r="P6" i="1"/>
  <c r="C13" i="12" s="1"/>
  <c r="G16" i="1"/>
  <c r="F10" i="39" s="1"/>
  <c r="AA10" i="39" s="1"/>
  <c r="E10" i="6"/>
  <c r="P26" i="43"/>
  <c r="C6" i="15"/>
  <c r="F31" i="15"/>
  <c r="F66" i="15"/>
  <c r="F64" i="15"/>
  <c r="F65" i="15"/>
  <c r="F68" i="15"/>
  <c r="L58" i="15"/>
  <c r="Q60" i="15" s="1"/>
  <c r="J53" i="15"/>
  <c r="L56" i="15" s="1"/>
  <c r="J57" i="15"/>
  <c r="J55" i="15" s="1"/>
  <c r="J58" i="15" s="1"/>
  <c r="Q50" i="15" s="1"/>
  <c r="I54" i="15"/>
  <c r="F51" i="15"/>
  <c r="C49" i="15" s="1"/>
  <c r="AC25" i="37"/>
  <c r="W25" i="37"/>
  <c r="C56" i="71"/>
  <c r="D55" i="71"/>
  <c r="AZ238" i="3"/>
  <c r="D20" i="53"/>
  <c r="B40" i="72" s="1"/>
  <c r="E15" i="6"/>
  <c r="E64" i="39" s="1"/>
  <c r="E28" i="6"/>
  <c r="K14" i="1" s="1"/>
  <c r="K16" i="1" s="1"/>
  <c r="AZ84" i="3"/>
  <c r="C26" i="71"/>
  <c r="D26" i="71" s="1"/>
  <c r="D27" i="71"/>
  <c r="AZ66" i="3"/>
  <c r="C22" i="71"/>
  <c r="D23" i="71"/>
  <c r="AZ86" i="3"/>
  <c r="AZ58" i="3"/>
  <c r="AZ49" i="3"/>
  <c r="N65" i="71"/>
  <c r="N66" i="71"/>
  <c r="C31" i="71"/>
  <c r="D30" i="71"/>
  <c r="AZ229" i="3"/>
  <c r="AZ218" i="3"/>
  <c r="D75" i="71"/>
  <c r="C74" i="71"/>
  <c r="D74" i="71" s="1"/>
  <c r="AZ121" i="3"/>
  <c r="AZ332" i="3"/>
  <c r="AZ404" i="3"/>
  <c r="AZ483" i="3"/>
  <c r="AA25" i="37"/>
  <c r="S25" i="37"/>
  <c r="B19" i="71"/>
  <c r="B18" i="71" s="1"/>
  <c r="B17" i="71" s="1"/>
  <c r="B16" i="71" s="1"/>
  <c r="S20" i="71"/>
  <c r="AC9" i="34"/>
  <c r="W9" i="34"/>
  <c r="AB33" i="36"/>
  <c r="U33" i="36"/>
  <c r="J7" i="36"/>
  <c r="E26" i="43"/>
  <c r="H26" i="43"/>
  <c r="E13" i="6"/>
  <c r="E12" i="6"/>
  <c r="E57" i="40" s="1"/>
  <c r="E14" i="6"/>
  <c r="AZ206" i="3"/>
  <c r="AZ261" i="3"/>
  <c r="AZ53" i="3"/>
  <c r="AZ57" i="3"/>
  <c r="T40" i="71"/>
  <c r="D40" i="71"/>
  <c r="AZ223" i="3"/>
  <c r="AZ429" i="3"/>
  <c r="U12" i="34"/>
  <c r="AB12" i="34"/>
  <c r="W31" i="39"/>
  <c r="AC31" i="39"/>
  <c r="U25" i="37"/>
  <c r="AB25" i="37"/>
  <c r="W14" i="21"/>
  <c r="AC14" i="21"/>
  <c r="D67" i="71"/>
  <c r="C66" i="71"/>
  <c r="O67" i="71"/>
  <c r="J6" i="15"/>
  <c r="J18" i="15" s="1"/>
  <c r="J7" i="37"/>
  <c r="AC7" i="37" s="1"/>
  <c r="AZ112" i="3"/>
  <c r="G5" i="3"/>
  <c r="B3" i="3" s="1"/>
  <c r="E539" i="3" s="1"/>
  <c r="AZ36" i="3"/>
  <c r="AZ295" i="3"/>
  <c r="AZ281" i="3"/>
  <c r="AZ253" i="3"/>
  <c r="AZ215" i="3"/>
  <c r="AZ348" i="3"/>
  <c r="AZ71" i="3"/>
  <c r="C64" i="71"/>
  <c r="D63" i="71"/>
  <c r="T52" i="71"/>
  <c r="D52" i="71"/>
  <c r="AZ178" i="3"/>
  <c r="AZ118" i="3"/>
  <c r="AZ263" i="3"/>
  <c r="AZ243" i="3"/>
  <c r="AZ368" i="3"/>
  <c r="AZ353" i="3"/>
  <c r="AZ461" i="3"/>
  <c r="AZ454" i="3"/>
  <c r="AZ428" i="3"/>
  <c r="W12" i="34"/>
  <c r="AC12" i="34"/>
  <c r="U36" i="39"/>
  <c r="AB36" i="39"/>
  <c r="S14" i="21"/>
  <c r="AA14" i="21"/>
  <c r="K1" i="73"/>
  <c r="E510" i="3"/>
  <c r="E575" i="3"/>
  <c r="E466" i="3"/>
  <c r="I3" i="6"/>
  <c r="E417" i="3"/>
  <c r="E152" i="3"/>
  <c r="E363" i="3"/>
  <c r="E409" i="3"/>
  <c r="E46" i="3"/>
  <c r="E300" i="3"/>
  <c r="E67" i="3"/>
  <c r="E355" i="3"/>
  <c r="E264" i="3"/>
  <c r="E198" i="3"/>
  <c r="E42" i="3"/>
  <c r="E129" i="3"/>
  <c r="E34" i="3"/>
  <c r="E251" i="3"/>
  <c r="E287" i="3"/>
  <c r="E140" i="3"/>
  <c r="E525" i="3"/>
  <c r="E456" i="3"/>
  <c r="E408" i="3"/>
  <c r="E360" i="3"/>
  <c r="E13" i="3"/>
  <c r="E420" i="3"/>
  <c r="E104" i="3"/>
  <c r="E225" i="3"/>
  <c r="E428" i="3"/>
  <c r="E78" i="3"/>
  <c r="E324" i="3"/>
  <c r="E49" i="3"/>
  <c r="E370" i="3"/>
  <c r="E326" i="3"/>
  <c r="E16" i="3"/>
  <c r="E223" i="3"/>
  <c r="E393" i="3"/>
  <c r="E543" i="3"/>
  <c r="E486" i="3"/>
  <c r="E440" i="3"/>
  <c r="AH6" i="3"/>
  <c r="E498" i="3"/>
  <c r="E463" i="3"/>
  <c r="E108" i="3"/>
  <c r="E202" i="3"/>
  <c r="E346" i="3"/>
  <c r="L6" i="3"/>
  <c r="E43" i="3"/>
  <c r="E15" i="3"/>
  <c r="E38" i="3"/>
  <c r="E137" i="3"/>
  <c r="E299" i="3"/>
  <c r="E392" i="3"/>
  <c r="E52" i="3"/>
  <c r="E123" i="3"/>
  <c r="E340" i="3"/>
  <c r="E50" i="3"/>
  <c r="E176" i="3"/>
  <c r="E365" i="3"/>
  <c r="E101" i="3"/>
  <c r="E552"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Q74" i="15"/>
  <c r="Q61" i="15"/>
  <c r="AE11" i="1"/>
  <c r="AE9" i="1"/>
  <c r="F27" i="68"/>
  <c r="AE7" i="1"/>
  <c r="AE8" i="1"/>
  <c r="AE12" i="1"/>
  <c r="AE10" i="1"/>
  <c r="G1" i="73"/>
  <c r="AE6" i="1"/>
  <c r="F41" i="67"/>
  <c r="C28" i="43" l="1"/>
  <c r="T9" i="43" s="1"/>
  <c r="V9" i="43" s="1"/>
  <c r="H10" i="39"/>
  <c r="U10" i="39" s="1"/>
  <c r="S10" i="39"/>
  <c r="H10" i="40"/>
  <c r="AB10" i="40" s="1"/>
  <c r="J10" i="40"/>
  <c r="AC10" i="40" s="1"/>
  <c r="J10" i="39"/>
  <c r="W10" i="39" s="1"/>
  <c r="F10" i="40"/>
  <c r="S10" i="40" s="1"/>
  <c r="J5" i="15"/>
  <c r="J24" i="15" s="1"/>
  <c r="D26" i="43"/>
  <c r="C25" i="43" s="1"/>
  <c r="Q52" i="15"/>
  <c r="F1" i="15"/>
  <c r="E504" i="3"/>
  <c r="E154" i="3"/>
  <c r="E459" i="3"/>
  <c r="E66" i="3"/>
  <c r="E39" i="3"/>
  <c r="E341" i="3"/>
  <c r="E375" i="3"/>
  <c r="E464" i="3"/>
  <c r="E284" i="3"/>
  <c r="E138" i="3"/>
  <c r="E520" i="3"/>
  <c r="E312" i="3"/>
  <c r="E250" i="3"/>
  <c r="E521" i="3"/>
  <c r="E90" i="3"/>
  <c r="E141" i="3"/>
  <c r="E218" i="3"/>
  <c r="E364" i="3"/>
  <c r="E112" i="3"/>
  <c r="E339" i="3"/>
  <c r="E170" i="3"/>
  <c r="E473" i="3"/>
  <c r="E333" i="3"/>
  <c r="E178" i="3"/>
  <c r="E401" i="3"/>
  <c r="E490" i="3"/>
  <c r="E427" i="3"/>
  <c r="E105" i="3"/>
  <c r="E83" i="3"/>
  <c r="E232" i="3"/>
  <c r="E220" i="3"/>
  <c r="E243" i="3"/>
  <c r="E26" i="3"/>
  <c r="E497" i="3"/>
  <c r="E469" i="3"/>
  <c r="E173" i="3"/>
  <c r="E113" i="3"/>
  <c r="E383" i="3"/>
  <c r="E332" i="3"/>
  <c r="E63" i="3"/>
  <c r="E492" i="3"/>
  <c r="E425" i="3"/>
  <c r="E241" i="3"/>
  <c r="E517" i="3"/>
  <c r="R6" i="3"/>
  <c r="E307" i="3"/>
  <c r="E413" i="3"/>
  <c r="E195" i="3"/>
  <c r="E179" i="3"/>
  <c r="E462" i="3"/>
  <c r="E542" i="3"/>
  <c r="E266" i="3"/>
  <c r="E436" i="3"/>
  <c r="E323" i="3"/>
  <c r="E354" i="3"/>
  <c r="E110" i="3"/>
  <c r="E416" i="3"/>
  <c r="E222" i="3"/>
  <c r="E386" i="3"/>
  <c r="E348" i="3"/>
  <c r="E398" i="3"/>
  <c r="E524" i="3"/>
  <c r="E62" i="3"/>
  <c r="E147" i="3"/>
  <c r="AQ6" i="3"/>
  <c r="E234" i="3"/>
  <c r="E455" i="3"/>
  <c r="E60" i="3"/>
  <c r="E276" i="3"/>
  <c r="E40" i="3"/>
  <c r="J6" i="3"/>
  <c r="E422" i="3"/>
  <c r="E493" i="3"/>
  <c r="E188" i="3"/>
  <c r="E158" i="3"/>
  <c r="E342" i="3"/>
  <c r="E412" i="3"/>
  <c r="E115" i="3"/>
  <c r="E452" i="3"/>
  <c r="E451" i="3"/>
  <c r="E405" i="3"/>
  <c r="E22" i="3"/>
  <c r="E206" i="3"/>
  <c r="E18" i="3"/>
  <c r="E513" i="3"/>
  <c r="E144" i="3"/>
  <c r="E267" i="3"/>
  <c r="E544" i="3"/>
  <c r="E56" i="3"/>
  <c r="E449" i="3"/>
  <c r="E212" i="3"/>
  <c r="E534" i="3"/>
  <c r="E205" i="3"/>
  <c r="E102" i="3"/>
  <c r="E522" i="3"/>
  <c r="E96" i="3"/>
  <c r="AL6" i="3"/>
  <c r="E21" i="3"/>
  <c r="E81" i="3"/>
  <c r="E233" i="3"/>
  <c r="E23" i="3"/>
  <c r="E249" i="3"/>
  <c r="E64" i="3"/>
  <c r="E76" i="3"/>
  <c r="E292" i="3"/>
  <c r="E95" i="3"/>
  <c r="E435" i="3"/>
  <c r="E255" i="3"/>
  <c r="E442" i="3"/>
  <c r="E199" i="3"/>
  <c r="E235" i="3"/>
  <c r="E75" i="3"/>
  <c r="E281" i="3"/>
  <c r="E309" i="3"/>
  <c r="E381" i="3"/>
  <c r="E33" i="3"/>
  <c r="E310" i="3"/>
  <c r="E103" i="3"/>
  <c r="E484" i="3"/>
  <c r="E389" i="3"/>
  <c r="E192" i="3"/>
  <c r="E479" i="3"/>
  <c r="E554" i="3"/>
  <c r="E541" i="3"/>
  <c r="E499" i="3"/>
  <c r="E536" i="3"/>
  <c r="E3" i="6"/>
  <c r="F59" i="15"/>
  <c r="Q73" i="15"/>
  <c r="W7" i="37"/>
  <c r="O65" i="71"/>
  <c r="D66" i="71"/>
  <c r="O66" i="71"/>
  <c r="D22" i="71"/>
  <c r="C21" i="71"/>
  <c r="D31" i="71"/>
  <c r="C32" i="71"/>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63" i="39"/>
  <c r="E59" i="40"/>
  <c r="D56" i="71"/>
  <c r="T56" i="71"/>
  <c r="T64" i="71"/>
  <c r="D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C33" i="43" l="1"/>
  <c r="C34" i="43" s="1"/>
  <c r="E34" i="43" s="1"/>
  <c r="T3" i="43"/>
  <c r="V3" i="43" s="1"/>
  <c r="T12" i="43"/>
  <c r="V12" i="43" s="1"/>
  <c r="C41" i="43"/>
  <c r="G41" i="43" s="1"/>
  <c r="I41" i="43" s="1"/>
  <c r="T5" i="43"/>
  <c r="V5" i="43" s="1"/>
  <c r="T4" i="43"/>
  <c r="V4" i="43" s="1"/>
  <c r="T14" i="43"/>
  <c r="V14" i="43" s="1"/>
  <c r="T11" i="43"/>
  <c r="V11" i="43" s="1"/>
  <c r="C38" i="43"/>
  <c r="G38" i="43" s="1"/>
  <c r="I38" i="43" s="1"/>
  <c r="C37" i="43"/>
  <c r="E37" i="43" s="1"/>
  <c r="T6" i="43"/>
  <c r="V6" i="43" s="1"/>
  <c r="T8" i="43"/>
  <c r="V8" i="43" s="1"/>
  <c r="T16" i="43"/>
  <c r="V16" i="43" s="1"/>
  <c r="T13" i="43"/>
  <c r="V13" i="43" s="1"/>
  <c r="C39" i="43"/>
  <c r="E39" i="43" s="1"/>
  <c r="C42" i="43"/>
  <c r="E42" i="43" s="1"/>
  <c r="C40" i="43"/>
  <c r="E40" i="43" s="1"/>
  <c r="T2" i="43"/>
  <c r="V2" i="43" s="1"/>
  <c r="T10" i="43"/>
  <c r="V10" i="43" s="1"/>
  <c r="T7" i="43"/>
  <c r="V7" i="43" s="1"/>
  <c r="T15" i="43"/>
  <c r="V15" i="43" s="1"/>
  <c r="W10" i="40"/>
  <c r="F25" i="12"/>
  <c r="C26" i="12" s="1"/>
  <c r="D25" i="12" s="1"/>
  <c r="F22" i="68"/>
  <c r="C26" i="68" s="1"/>
  <c r="D22" i="68" s="1"/>
  <c r="F22" i="69"/>
  <c r="F41" i="69" s="1"/>
  <c r="F24" i="15"/>
  <c r="C24" i="15" s="1"/>
  <c r="D116" i="43"/>
  <c r="F22" i="11"/>
  <c r="C24" i="11" s="1"/>
  <c r="F24" i="67"/>
  <c r="C24" i="67" s="1"/>
  <c r="T32" i="71"/>
  <c r="D32" i="71"/>
  <c r="D21" i="71"/>
  <c r="C20" i="7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14" i="67"/>
  <c r="C17" i="15"/>
  <c r="C34" i="69"/>
  <c r="D10" i="69"/>
  <c r="G40" i="43" l="1"/>
  <c r="I40" i="43" s="1"/>
  <c r="G37" i="43"/>
  <c r="I37" i="43" s="1"/>
  <c r="E41" i="43"/>
  <c r="G39" i="43"/>
  <c r="I39" i="43" s="1"/>
  <c r="G42" i="43"/>
  <c r="I42" i="43" s="1"/>
  <c r="E33" i="43"/>
  <c r="E38" i="43"/>
  <c r="F41" i="68"/>
  <c r="C44" i="68"/>
  <c r="D41" i="68" s="1"/>
  <c r="C44" i="11"/>
  <c r="D41" i="11" s="1"/>
  <c r="C26" i="69"/>
  <c r="D22" i="69" s="1"/>
  <c r="H22" i="6"/>
  <c r="H24" i="6"/>
  <c r="C44" i="69"/>
  <c r="D41" i="69" s="1"/>
  <c r="H21" i="6"/>
  <c r="C26" i="11"/>
  <c r="D22" i="11" s="1"/>
  <c r="C23" i="11"/>
  <c r="C19" i="71"/>
  <c r="T20" i="71"/>
  <c r="D20" i="71"/>
  <c r="U20" i="71" s="1"/>
  <c r="H25" i="6"/>
  <c r="C25" i="1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30" i="43"/>
  <c r="C5" i="69"/>
  <c r="C23" i="69" s="1"/>
  <c r="B29" i="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8" i="68"/>
  <c r="C5" i="68" s="1"/>
  <c r="C23" i="68" s="1"/>
  <c r="C18" i="12"/>
  <c r="C21" i="12" s="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B3" i="43"/>
  <c r="C27" i="12"/>
  <c r="C25" i="12" s="1"/>
  <c r="C30" i="12"/>
  <c r="C28" i="12" s="1"/>
  <c r="C20" i="68"/>
  <c r="C28" i="68" s="1"/>
  <c r="C27" i="68" s="1"/>
  <c r="C16" i="71"/>
  <c r="D17"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E48" i="21" l="1"/>
  <c r="E53" i="21" s="1"/>
  <c r="F53" i="21" s="1"/>
  <c r="C32" i="12"/>
  <c r="B2" i="12" s="1"/>
  <c r="B3" i="12" s="1"/>
  <c r="C25" i="68"/>
  <c r="C22" i="68" s="1"/>
  <c r="C31" i="68"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2" i="21" l="1"/>
  <c r="F52" i="21" s="1"/>
  <c r="I53" i="21"/>
  <c r="J53" i="21" s="1"/>
  <c r="C52" i="68"/>
  <c r="B2" i="68" s="1"/>
  <c r="B3"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7"/>
  <c r="D2" i="34"/>
  <c r="L51" i="15"/>
  <c r="D2" i="36"/>
  <c r="C19" i="9"/>
  <c r="D2" i="35"/>
  <c r="D103" i="9" l="1"/>
  <c r="C102" i="9"/>
  <c r="G19" i="9"/>
  <c r="G21" i="9" s="1"/>
  <c r="D22" i="9"/>
  <c r="C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C20" i="9"/>
  <c r="AO12" i="1"/>
  <c r="AO6" i="1"/>
  <c r="AO11" i="1"/>
  <c r="AO10" i="1"/>
  <c r="C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<sst xmlns="http://schemas.openxmlformats.org/spreadsheetml/2006/main" count="7882" uniqueCount="3455">
  <si>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</si>
  <si>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</si>
  <si>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</si>
  <si>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</si>
  <si>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</si>
  <si>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</si>
  <si>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</si>
  <si>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</si>
  <si>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</si>
  <si>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</si>
  <si>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</si>
  <si>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</si>
  <si>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</si>
  <si>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</si>
  <si>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</si>
  <si>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</si>
  <si>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</si>
  <si>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</si>
  <si>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</si>
  <si>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</si>
  <si>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</si>
  <si>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</si>
  <si>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</si>
  <si>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</si>
  <si>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</si>
  <si>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</si>
  <si>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</si>
  <si>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</si>
  <si>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</si>
  <si>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</si>
  <si>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</si>
  <si>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</si>
  <si>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</si>
  <si>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</si>
  <si>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</si>
  <si>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</si>
  <si>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</si>
  <si>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</si>
  <si>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</si>
  <si>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</si>
  <si>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</si>
  <si>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</si>
  <si>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</si>
  <si>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</si>
  <si>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</si>
  <si>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</si>
  <si>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</si>
  <si>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</si>
  <si>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</si>
  <si>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</si>
  <si>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</si>
  <si>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</si>
  <si>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</si>
  <si>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</si>
  <si>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</si>
  <si>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</si>
  <si>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</si>
  <si>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</si>
  <si>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</si>
  <si>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</si>
  <si>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</si>
  <si>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</si>
  <si>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</si>
  <si>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</si>
  <si>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</si>
  <si>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</si>
  <si>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</si>
  <si>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</si>
  <si>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</si>
  <si>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</si>
  <si>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</si>
  <si>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</si>
  <si>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</si>
  <si>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</si>
  <si>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</si>
  <si>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</si>
  <si>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</si>
  <si>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</si>
  <si>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</si>
  <si>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</si>
  <si>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</si>
  <si>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</si>
  <si>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</si>
  <si>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</si>
  <si>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</si>
  <si>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</si>
  <si>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</si>
  <si>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</si>
  <si>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</si>
  <si>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</si>
  <si>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</si>
  <si>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</si>
  <si>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</si>
  <si>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</si>
  <si>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</si>
  <si>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</si>
  <si>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</si>
  <si>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</si>
  <si>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</si>
  <si>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</si>
  <si>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</si>
  <si>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</si>
  <si>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</si>
  <si>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</si>
  <si>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</si>
  <si>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</si>
  <si>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</si>
  <si>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</si>
  <si>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</si>
  <si>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</si>
  <si>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</si>
  <si>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</si>
  <si>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</si>
  <si>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</si>
  <si>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</si>
  <si>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</si>
  <si>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</si>
  <si>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</si>
  <si>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</si>
  <si>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</si>
  <si>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</si>
  <si>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</si>
  <si>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</si>
  <si>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</si>
  <si>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</si>
  <si>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</si>
  <si>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</si>
  <si>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</si>
  <si>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</si>
  <si>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</si>
  <si>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</si>
  <si>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</si>
  <si>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</si>
  <si>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</si>
  <si>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</si>
  <si>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</si>
  <si>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</si>
  <si>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</si>
  <si>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</si>
  <si>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</si>
  <si>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</si>
  <si>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</si>
  <si>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</si>
  <si>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</si>
  <si>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</si>
  <si>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</si>
  <si>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</si>
  <si>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</si>
  <si>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</si>
  <si>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</si>
  <si>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</si>
  <si>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</si>
  <si>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</si>
  <si>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</si>
  <si>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</si>
  <si>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</si>
  <si>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</si>
  <si>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</si>
  <si>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</si>
  <si>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</si>
  <si>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</si>
  <si>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</si>
  <si>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</si>
  <si>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</si>
  <si>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</si>
  <si>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</si>
  <si>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</si>
  <si>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</si>
  <si>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</si>
  <si>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</si>
  <si>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</si>
  <si>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</si>
  <si>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</si>
  <si>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</si>
  <si>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</si>
  <si>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</si>
  <si>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</si>
  <si>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</si>
  <si>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</si>
  <si>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</si>
  <si>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</si>
  <si>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</si>
  <si>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</si>
  <si>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</si>
  <si>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</si>
  <si>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</si>
  <si>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</si>
  <si>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</si>
  <si>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</si>
  <si>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</si>
  <si>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</si>
  <si>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</si>
  <si>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</si>
  <si>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</si>
  <si>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</si>
  <si>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</si>
  <si>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</si>
  <si>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</si>
  <si>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</si>
  <si>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</si>
  <si>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</si>
  <si>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</si>
  <si>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</si>
  <si>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</si>
  <si>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</si>
  <si>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</si>
  <si>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</si>
  <si>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</si>
  <si>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</si>
  <si>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</si>
  <si>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</si>
  <si>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</si>
  <si>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</si>
  <si>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</si>
  <si>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</si>
  <si>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</si>
  <si>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</si>
  <si>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</si>
  <si>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</si>
  <si>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</si>
  <si>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</si>
  <si>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</si>
  <si>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</si>
  <si>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</si>
  <si>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</si>
  <si>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</si>
  <si>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</si>
  <si>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</si>
  <si>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</si>
  <si>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</si>
  <si>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</si>
  <si>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</si>
  <si>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</si>
  <si>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</si>
  <si>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</si>
  <si>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</si>
  <si>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</si>
  <si>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</si>
  <si>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</si>
  <si>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</si>
  <si>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</si>
  <si>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</si>
  <si>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</si>
  <si>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</si>
  <si>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</si>
  <si>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</si>
  <si>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</si>
  <si>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</si>
  <si>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</si>
  <si>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</si>
  <si>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</si>
  <si>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</si>
  <si>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</si>
  <si>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</si>
  <si>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</si>
  <si>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</si>
  <si>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</si>
  <si>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</si>
  <si>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</si>
  <si>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</si>
  <si>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</si>
  <si>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</si>
  <si>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</si>
  <si>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</si>
  <si>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</si>
  <si>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</si>
  <si>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</si>
  <si>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</si>
  <si>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</si>
  <si>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</si>
  <si>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</si>
  <si>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</si>
  <si>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</si>
  <si>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</si>
  <si>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</si>
  <si>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</si>
  <si>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</si>
  <si>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</si>
  <si>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</si>
  <si>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</si>
  <si>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</si>
  <si>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</si>
  <si>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</si>
  <si>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</si>
  <si>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</si>
  <si>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</si>
  <si>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</si>
  <si>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</si>
  <si>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</si>
  <si>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</si>
  <si>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</si>
  <si>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</si>
  <si>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</si>
  <si>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</si>
  <si>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</si>
  <si>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</si>
  <si>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</si>
  <si>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</si>
  <si>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</si>
  <si>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</si>
  <si>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</si>
  <si>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</si>
  <si>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</si>
  <si>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</si>
  <si>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</si>
  <si>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</si>
  <si>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</si>
  <si>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</si>
  <si>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</si>
  <si>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</si>
  <si>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</si>
  <si>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</si>
  <si>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</si>
  <si>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</si>
  <si>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</si>
  <si>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</si>
  <si>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</si>
  <si>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</si>
  <si>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</si>
  <si>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</si>
  <si>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</si>
  <si>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</si>
  <si>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</si>
  <si>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</si>
  <si>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</si>
  <si>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</si>
  <si>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</si>
  <si>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</si>
  <si>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</si>
  <si>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</si>
  <si>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</si>
  <si>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</si>
  <si>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</si>
  <si>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</si>
  <si>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</si>
  <si>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</si>
  <si>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</si>
  <si>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</si>
  <si>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</si>
  <si>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</si>
  <si>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</si>
  <si>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</si>
  <si>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</si>
  <si>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</si>
  <si>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</si>
  <si>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</si>
  <si>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</si>
  <si>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</si>
  <si>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</si>
  <si>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</si>
  <si>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</si>
  <si>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</si>
  <si>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</si>
  <si>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</si>
  <si>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</si>
  <si>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</si>
  <si>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</si>
  <si>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</si>
  <si>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</si>
  <si>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</si>
  <si>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</si>
  <si>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</si>
  <si>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</si>
  <si>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</si>
  <si>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</si>
  <si>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</si>
  <si>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</si>
  <si>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</si>
  <si>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</si>
  <si>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</si>
  <si>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</si>
  <si>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</si>
  <si>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</si>
  <si>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</si>
  <si>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</si>
  <si>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</si>
  <si>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</si>
  <si>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</si>
  <si>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</si>
  <si>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</si>
  <si>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</si>
  <si>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</si>
  <si>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</si>
  <si>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</si>
  <si>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</si>
  <si>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</si>
  <si>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</si>
  <si>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</si>
  <si>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</si>
  <si>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</si>
  <si>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</si>
  <si>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</si>
  <si>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</si>
  <si>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</si>
  <si>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</si>
  <si>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</si>
  <si>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</si>
  <si>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</si>
  <si>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</si>
  <si>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</si>
  <si>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</si>
  <si>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</si>
  <si>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</si>
  <si>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</si>
  <si>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</si>
  <si>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</si>
  <si>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</si>
  <si>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</si>
  <si>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</si>
  <si>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</si>
  <si>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</si>
  <si>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</si>
  <si>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</si>
  <si>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</si>
  <si>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</si>
  <si>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</si>
  <si>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</si>
  <si>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</si>
  <si>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</si>
  <si>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</si>
  <si>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</si>
  <si>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</si>
  <si>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</si>
  <si>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</si>
  <si>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</si>
  <si>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</si>
  <si>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</si>
  <si>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</si>
  <si>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</si>
  <si>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</si>
  <si>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</si>
  <si>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</si>
  <si>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</si>
  <si>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</si>
  <si>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</si>
  <si>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</si>
  <si>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</si>
  <si>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</si>
  <si>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</si>
  <si>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</si>
  <si>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</si>
  <si>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</si>
  <si>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</si>
  <si>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</si>
  <si>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</si>
  <si>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</si>
  <si>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</si>
  <si>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</si>
  <si>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</si>
  <si>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</si>
  <si>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</si>
  <si>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</si>
  <si>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</si>
  <si>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</si>
  <si>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</si>
  <si>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</si>
  <si>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</si>
  <si>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</si>
  <si>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</si>
  <si>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</si>
  <si>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</si>
  <si>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</si>
  <si>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</si>
  <si>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</si>
  <si>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</si>
  <si>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</si>
  <si>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</si>
  <si>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</si>
  <si>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</si>
  <si>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</si>
  <si>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</si>
  <si>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</si>
  <si>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</si>
  <si>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</si>
  <si>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</si>
  <si>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</si>
  <si>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</si>
  <si>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</si>
  <si>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</si>
  <si>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</si>
  <si>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</si>
  <si>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</si>
  <si>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</si>
  <si>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</si>
  <si>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</si>
  <si>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</si>
  <si>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</si>
  <si>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</si>
  <si>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</si>
  <si>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</si>
  <si>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</si>
  <si>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</si>
  <si>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</si>
  <si>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</si>
  <si>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</si>
  <si>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</si>
  <si>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</si>
  <si>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</si>
  <si>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</si>
  <si>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</si>
  <si>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</si>
  <si>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</si>
  <si>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</si>
  <si>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</si>
  <si>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</si>
  <si>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</si>
  <si>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</si>
  <si>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</si>
  <si>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</si>
  <si>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</si>
  <si>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</si>
  <si>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</si>
  <si>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</si>
  <si>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</si>
  <si>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</si>
  <si>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</si>
  <si>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</si>
  <si>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</si>
  <si>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</si>
  <si>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</si>
  <si>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</si>
  <si>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</si>
  <si>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</si>
  <si>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</si>
  <si>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</si>
  <si>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</si>
  <si>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</si>
  <si>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</si>
  <si>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</si>
  <si>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</si>
  <si>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</si>
  <si>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</si>
  <si>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</si>
  <si>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</si>
  <si>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</si>
  <si>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</si>
  <si>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</si>
  <si>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</si>
  <si>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</si>
  <si>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</si>
  <si>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</si>
  <si>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</si>
  <si>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</si>
  <si>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</si>
  <si>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</si>
  <si>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</si>
  <si>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</si>
  <si>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</si>
  <si>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</si>
  <si>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</si>
  <si>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</si>
  <si>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</si>
  <si>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</si>
  <si>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</si>
  <si>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</si>
  <si>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</si>
  <si>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</si>
  <si>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</si>
  <si>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</si>
  <si>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</si>
  <si>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</si>
  <si>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</si>
  <si>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</si>
  <si>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</si>
  <si>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</si>
  <si>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</si>
  <si>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</si>
  <si>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</si>
  <si>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</si>
  <si>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</si>
  <si>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</si>
  <si>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</si>
  <si>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</si>
  <si>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</si>
  <si>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</si>
  <si>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</si>
  <si>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</si>
  <si>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</si>
  <si>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</si>
  <si>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</si>
  <si>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</si>
  <si>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</si>
  <si>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</si>
  <si>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</si>
  <si>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</si>
  <si>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</si>
  <si>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</si>
  <si>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</si>
  <si>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</si>
  <si>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</si>
  <si>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</si>
  <si>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</si>
  <si>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</si>
  <si>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</si>
  <si>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</si>
  <si>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</si>
  <si>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</si>
  <si>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</si>
  <si>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</si>
  <si>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</si>
  <si>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</si>
  <si>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</si>
  <si>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</si>
  <si>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</si>
  <si>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</si>
  <si>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</si>
  <si>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</si>
  <si>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</si>
  <si>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</si>
  <si>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</si>
  <si>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</si>
  <si>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</si>
  <si>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</si>
  <si>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</si>
  <si>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</si>
  <si>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</si>
  <si>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</si>
  <si>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</si>
  <si>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</si>
  <si>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</si>
  <si>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</si>
  <si>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</si>
  <si>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</si>
  <si>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</si>
  <si>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</si>
  <si>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</si>
  <si>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</si>
  <si>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</si>
  <si>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</si>
  <si>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</si>
  <si>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</si>
  <si>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</si>
  <si>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</si>
  <si>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</si>
  <si>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</si>
  <si>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</si>
  <si>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</si>
  <si>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</si>
  <si>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</si>
  <si>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</si>
  <si>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</si>
  <si>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</si>
  <si>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</si>
  <si>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</si>
  <si>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</si>
  <si>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</si>
  <si>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</si>
  <si>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</si>
  <si>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</si>
  <si>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</si>
  <si>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</si>
  <si>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</si>
  <si>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</si>
  <si>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</si>
  <si>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</si>
  <si>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</si>
  <si>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</si>
  <si>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</si>
  <si>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</si>
  <si>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</si>
  <si>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</si>
  <si>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</si>
  <si>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</si>
  <si>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</si>
  <si>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</si>
  <si>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</si>
  <si>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</si>
  <si>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</si>
  <si>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</si>
  <si>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</si>
  <si>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</si>
  <si>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</si>
  <si>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</si>
  <si>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</si>
  <si>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</si>
  <si>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</si>
  <si>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</si>
  <si>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</si>
  <si>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</si>
  <si>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</si>
  <si>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</si>
  <si>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</si>
  <si>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</si>
  <si>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</si>
  <si>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</si>
  <si>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</si>
  <si>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</si>
  <si>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</si>
  <si>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</si>
  <si>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</si>
  <si>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</si>
  <si>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</si>
  <si>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</si>
  <si>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</si>
  <si>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</si>
  <si>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</si>
  <si>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</si>
  <si>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</si>
  <si>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</si>
  <si>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</si>
  <si>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</si>
  <si>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</si>
  <si>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</si>
  <si>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</si>
  <si>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</si>
  <si>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</si>
  <si>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</si>
  <si>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</si>
  <si>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</si>
  <si>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</si>
  <si>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</si>
  <si>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</si>
  <si>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</si>
  <si>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</si>
  <si>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</si>
  <si>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</si>
  <si>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</si>
  <si>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</si>
  <si>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</si>
  <si>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</si>
  <si>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</si>
  <si>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</si>
  <si>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</si>
  <si>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</si>
  <si>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</si>
  <si>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</si>
  <si>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</si>
  <si>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</si>
  <si>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</si>
  <si>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</si>
  <si>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</si>
  <si>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</si>
  <si>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</si>
  <si>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</si>
  <si>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</si>
  <si>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</si>
  <si>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</si>
  <si>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</si>
  <si>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</si>
  <si>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</si>
  <si>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</si>
  <si>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</si>
  <si>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</si>
  <si>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</si>
  <si>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</si>
  <si>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</si>
  <si>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</si>
  <si>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</si>
  <si>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</si>
  <si>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</si>
  <si>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</si>
  <si>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</si>
  <si>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</si>
  <si>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</si>
  <si>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</si>
  <si>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</si>
  <si>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</si>
  <si>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</si>
  <si>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</si>
  <si>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</si>
  <si>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</si>
  <si>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</si>
  <si>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</si>
  <si>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</si>
  <si>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</si>
  <si>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</si>
  <si>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</si>
  <si>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</si>
  <si>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</si>
  <si>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</si>
  <si>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</si>
  <si>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</si>
  <si>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</si>
  <si>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</si>
  <si>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</si>
  <si>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</si>
  <si>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</si>
  <si>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</si>
  <si>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</si>
  <si>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</si>
  <si>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</si>
  <si>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</si>
  <si>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</si>
  <si>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</si>
  <si>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</si>
  <si>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</si>
  <si>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</si>
  <si>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</si>
  <si>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</si>
  <si>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</si>
  <si>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</si>
  <si>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</si>
  <si>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</si>
  <si>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</si>
  <si>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</si>
  <si>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</si>
  <si>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</si>
  <si>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</si>
  <si>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</si>
  <si>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</si>
  <si>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</si>
  <si>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</si>
  <si>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</si>
  <si>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</si>
  <si>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</si>
  <si>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</si>
  <si>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</si>
  <si>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</si>
  <si>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</si>
  <si>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</si>
  <si>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</si>
  <si>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</si>
  <si>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</si>
  <si>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</si>
  <si>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</si>
  <si>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</si>
  <si>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</si>
  <si>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</si>
  <si>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</si>
  <si>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</si>
  <si>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</si>
  <si>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</si>
  <si>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</si>
  <si>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</si>
  <si>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</si>
  <si>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</si>
  <si>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</si>
  <si>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</si>
  <si>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</si>
  <si>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</si>
  <si>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</si>
  <si>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</si>
  <si>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</si>
  <si>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</si>
  <si>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</si>
  <si>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</si>
  <si>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</si>
  <si>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</si>
  <si>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</si>
  <si>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</si>
  <si>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</si>
  <si>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</si>
  <si>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</si>
  <si>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</si>
  <si>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</si>
  <si>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</si>
  <si>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</si>
  <si>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</si>
  <si>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</si>
  <si>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</si>
  <si>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</si>
  <si>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</si>
  <si>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</si>
  <si>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</si>
  <si>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</si>
  <si>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</si>
  <si>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</si>
  <si>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</si>
  <si>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</si>
  <si>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</si>
  <si>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</si>
  <si>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</si>
  <si>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</si>
  <si>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</si>
  <si>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</si>
  <si>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</si>
  <si>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</si>
  <si>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</si>
  <si>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</si>
  <si>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</si>
  <si>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</si>
  <si>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</si>
  <si>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</si>
  <si>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</si>
  <si>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</si>
  <si>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</si>
  <si>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</si>
  <si>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</si>
  <si>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</si>
  <si>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</si>
  <si>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</si>
  <si>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</si>
  <si>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</si>
  <si>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</si>
  <si>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</si>
  <si>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</si>
  <si>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</si>
  <si>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</si>
  <si>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</si>
  <si>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</si>
  <si>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</si>
  <si>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</si>
  <si>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</si>
  <si>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</si>
  <si>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</si>
  <si>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</si>
  <si>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</si>
  <si>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</si>
  <si>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</si>
  <si>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</si>
  <si>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</si>
  <si>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</si>
  <si>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</si>
  <si>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</si>
  <si>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</si>
  <si>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</si>
  <si>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</si>
  <si>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</si>
  <si>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</si>
  <si>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</si>
  <si>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</si>
  <si>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</si>
  <si>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</si>
  <si>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</si>
  <si>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</si>
  <si>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</si>
  <si>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</si>
  <si>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</si>
  <si>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</si>
  <si>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</si>
  <si>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</si>
  <si>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</si>
  <si>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</si>
  <si>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</si>
  <si>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</si>
  <si>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</si>
  <si>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</si>
  <si>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</si>
  <si>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</si>
  <si>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</si>
  <si>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</si>
  <si>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</si>
  <si>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</si>
  <si>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</si>
  <si>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</si>
  <si>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</si>
  <si>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</si>
  <si>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</si>
  <si>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</si>
  <si>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</si>
  <si>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</si>
  <si>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</si>
  <si>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</si>
  <si>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</si>
  <si>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</si>
  <si>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</si>
  <si>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</si>
  <si>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</si>
  <si>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</si>
  <si>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</si>
  <si>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</si>
  <si>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</si>
  <si>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</si>
  <si>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</si>
  <si>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</si>
  <si>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</si>
  <si>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</si>
  <si>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</si>
  <si>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</si>
  <si>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</si>
  <si>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</si>
  <si>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</si>
  <si>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</si>
  <si>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</si>
  <si>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</si>
  <si>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</si>
  <si>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</si>
  <si>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</si>
  <si>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</si>
  <si>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</si>
  <si>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</si>
  <si>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</si>
  <si>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</si>
  <si>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</si>
  <si>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</si>
  <si>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</si>
  <si>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</si>
  <si>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</si>
  <si>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</si>
  <si>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</si>
  <si>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</si>
  <si>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</si>
  <si>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</si>
  <si>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</si>
  <si>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</si>
  <si>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</si>
  <si>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</si>
  <si>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</si>
  <si>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</si>
  <si>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</si>
  <si>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</si>
  <si>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</si>
  <si>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</si>
  <si>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</si>
  <si>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</si>
  <si>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</si>
  <si>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</si>
  <si>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</si>
  <si>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</si>
  <si>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</si>
  <si>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</si>
  <si>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</si>
  <si>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</si>
  <si>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</si>
  <si>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</si>
  <si>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</si>
  <si>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</si>
  <si>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</si>
  <si>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</si>
  <si>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</si>
  <si>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</si>
  <si>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</si>
  <si>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</si>
  <si>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</si>
  <si>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</si>
  <si>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</si>
  <si>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</si>
  <si>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</si>
  <si>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</si>
  <si>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</si>
  <si>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</si>
  <si>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</si>
  <si>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</si>
  <si>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</si>
  <si>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</si>
  <si>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</si>
  <si>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</si>
  <si>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</si>
  <si>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</si>
  <si>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</si>
  <si>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</si>
  <si>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</si>
  <si>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</si>
  <si>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</si>
  <si>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</si>
  <si>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</si>
  <si>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</si>
  <si>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</si>
  <si>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</si>
  <si>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</si>
  <si>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</si>
  <si>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</si>
  <si>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</si>
  <si>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</si>
  <si>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</si>
  <si>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</si>
  <si>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</si>
  <si>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</si>
  <si>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</si>
  <si>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</si>
  <si>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</si>
  <si>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</si>
  <si>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</si>
  <si>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</si>
  <si>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</si>
  <si>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</si>
  <si>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</si>
  <si>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</si>
  <si>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</si>
  <si>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</si>
  <si>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</si>
  <si>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</si>
  <si>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</si>
  <si>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</si>
  <si>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</si>
  <si>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</si>
  <si>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</si>
  <si>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</si>
  <si>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</si>
  <si>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</si>
  <si>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</si>
  <si>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</si>
  <si>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</si>
  <si>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</si>
  <si>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</si>
  <si>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</si>
  <si>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</si>
  <si>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</si>
  <si>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</si>
  <si>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</si>
  <si>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</si>
  <si>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</si>
  <si>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</si>
  <si>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</si>
  <si>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</si>
  <si>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</si>
  <si>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</si>
  <si>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</si>
  <si>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</si>
  <si>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</si>
  <si>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</si>
  <si>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</si>
  <si>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</si>
  <si>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</si>
  <si>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</si>
  <si>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</si>
  <si>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</si>
  <si>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</si>
  <si>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</si>
  <si>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</si>
  <si>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</si>
  <si>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</si>
  <si>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</si>
  <si>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</si>
  <si>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</si>
  <si>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</si>
  <si>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</si>
  <si>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</si>
  <si>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</si>
  <si>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</si>
  <si>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</si>
  <si>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</si>
  <si>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</si>
  <si>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</si>
  <si>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</si>
  <si>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</si>
  <si>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</si>
  <si>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</si>
  <si>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</si>
  <si>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</si>
  <si>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</si>
  <si>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</si>
  <si>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</si>
  <si>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</si>
  <si>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</si>
  <si>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</si>
  <si>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</si>
  <si>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</si>
  <si>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</si>
  <si>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</si>
  <si>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</si>
  <si>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</si>
  <si>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</si>
  <si>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</si>
  <si>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</si>
  <si>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</si>
  <si>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</si>
  <si>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</si>
  <si>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</si>
  <si>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</si>
  <si>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</si>
  <si>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</si>
  <si>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</si>
  <si>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</si>
  <si>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</si>
  <si>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</si>
  <si>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</si>
  <si>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</si>
  <si>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</si>
  <si>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</si>
  <si>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</si>
  <si>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</si>
  <si>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</si>
  <si>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</si>
  <si>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</si>
  <si>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</si>
  <si>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</si>
  <si>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</si>
  <si>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</si>
  <si>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</si>
  <si>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</si>
  <si>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</si>
  <si>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</si>
  <si>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</si>
  <si>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</si>
  <si>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</si>
  <si>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</si>
  <si>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</si>
  <si>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</si>
  <si>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</si>
  <si>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</si>
  <si>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</si>
  <si>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</si>
  <si>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</si>
  <si>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</si>
  <si>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</si>
  <si>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</si>
  <si>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</si>
  <si>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</si>
  <si>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</si>
  <si>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</si>
  <si>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</si>
  <si>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</si>
  <si>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</si>
  <si>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</si>
  <si>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</si>
  <si>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</si>
  <si>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</si>
  <si>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</si>
  <si>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</si>
  <si>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</si>
  <si>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</si>
  <si>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</si>
  <si>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</si>
  <si>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</si>
  <si>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</si>
  <si>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</si>
  <si>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</si>
  <si>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</si>
  <si>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</si>
  <si>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</si>
  <si>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</si>
  <si>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</si>
  <si>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</si>
  <si>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</si>
  <si>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</si>
  <si>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</si>
  <si>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</si>
  <si>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</si>
  <si>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</si>
  <si>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</si>
  <si>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</si>
  <si>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</si>
  <si>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</si>
  <si>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</si>
  <si>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</si>
  <si>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</si>
  <si>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</si>
  <si>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</si>
  <si>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</si>
  <si>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</si>
  <si>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</si>
  <si>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</si>
  <si>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</si>
  <si>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</si>
  <si>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</si>
  <si>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</si>
  <si>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</si>
  <si>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</si>
  <si>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</si>
  <si>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</si>
  <si>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</si>
  <si>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</si>
  <si>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</si>
  <si>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</si>
  <si>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</si>
  <si>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</si>
  <si>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</si>
  <si>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</si>
  <si>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</si>
  <si>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</si>
  <si>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</si>
  <si>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</si>
  <si>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</si>
  <si>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</si>
  <si>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</si>
  <si>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</si>
  <si>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</si>
  <si>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</si>
  <si>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</si>
  <si>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</si>
  <si>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</si>
  <si>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</si>
  <si>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</si>
  <si>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</si>
  <si>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</si>
  <si>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</si>
  <si>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</si>
  <si>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</si>
  <si>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</si>
  <si>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</si>
  <si>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</si>
  <si>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</si>
  <si>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</si>
  <si>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</si>
  <si>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</si>
  <si>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</si>
  <si>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</si>
  <si>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</si>
  <si>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</si>
  <si>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</si>
  <si>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</si>
  <si>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</si>
  <si>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</si>
  <si>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</si>
  <si>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</si>
  <si>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</si>
  <si>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</si>
  <si>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</si>
  <si>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</si>
  <si>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</si>
  <si>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</si>
  <si>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</si>
  <si>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</si>
  <si>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</si>
  <si>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</si>
  <si>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</si>
  <si>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</si>
  <si>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</si>
  <si>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</si>
  <si>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</si>
  <si>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</si>
  <si>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</si>
  <si>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</si>
  <si>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</si>
  <si>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</si>
  <si>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</si>
  <si>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</si>
  <si>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</si>
  <si>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</si>
  <si>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</si>
  <si>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</si>
  <si>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</si>
  <si>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</si>
  <si>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</si>
  <si>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</si>
  <si>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</si>
  <si>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</si>
  <si>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</si>
  <si>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</si>
  <si>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</si>
  <si>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</si>
  <si>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</si>
  <si>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</si>
  <si>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</si>
  <si>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</si>
  <si>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</si>
  <si>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</si>
  <si>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</si>
  <si>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</si>
  <si>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</si>
  <si>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</si>
  <si>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</si>
  <si>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</si>
  <si>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</si>
  <si>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</si>
  <si>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</si>
  <si>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</si>
  <si>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</si>
  <si>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</si>
  <si>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</si>
  <si>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</si>
  <si>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</si>
  <si>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</si>
  <si>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</si>
  <si>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</si>
  <si>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</si>
  <si>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</si>
  <si>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</si>
  <si>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</si>
  <si>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</si>
  <si>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</si>
  <si>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</si>
  <si>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</si>
  <si>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</si>
  <si>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</si>
  <si>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</si>
  <si>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</si>
  <si>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</si>
  <si>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</si>
  <si>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</si>
  <si>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</si>
  <si>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</si>
  <si>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</si>
  <si>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</si>
  <si>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</si>
  <si>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</si>
  <si>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</si>
  <si>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</si>
  <si>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</si>
  <si>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</si>
  <si>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</si>
  <si>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</si>
  <si>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</si>
  <si>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</si>
  <si>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</si>
  <si>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</si>
  <si>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</si>
  <si>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</si>
  <si>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</si>
  <si>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</si>
  <si>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</si>
  <si>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</si>
  <si>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</si>
  <si>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</si>
  <si>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</si>
  <si>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</si>
  <si>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</si>
  <si>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</si>
  <si>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</si>
  <si>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</si>
  <si>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</si>
  <si>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</si>
  <si>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</si>
  <si>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</si>
  <si>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</si>
  <si>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</si>
  <si>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</si>
  <si>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</si>
  <si>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</si>
  <si>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</si>
  <si>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</si>
  <si>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</si>
  <si>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</si>
  <si>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</si>
  <si>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</si>
  <si>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</si>
  <si>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</si>
  <si>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</si>
  <si>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</si>
  <si>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</si>
  <si>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</si>
  <si>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</si>
  <si>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</si>
  <si>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</si>
  <si>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</si>
  <si>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</si>
  <si>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</si>
  <si>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</si>
  <si>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</si>
  <si>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</si>
  <si>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</si>
  <si>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</si>
  <si>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</si>
  <si>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</si>
  <si>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</si>
  <si>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</si>
  <si>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</si>
  <si>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</si>
  <si>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</si>
  <si>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</si>
  <si>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</si>
  <si>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</si>
  <si>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</si>
  <si>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</si>
  <si>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</si>
  <si>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</si>
  <si>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</si>
  <si>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</si>
  <si>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</si>
  <si>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</si>
  <si>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</si>
  <si>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</si>
  <si>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</si>
  <si>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</si>
  <si>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</si>
  <si>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</si>
  <si>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</si>
  <si>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</si>
  <si>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</si>
  <si>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</si>
  <si>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</si>
  <si>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</si>
  <si>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</si>
  <si>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</si>
  <si>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</si>
  <si>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</si>
  <si>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</si>
  <si>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</si>
  <si>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</si>
  <si>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</si>
  <si>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</si>
  <si>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</si>
  <si>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</si>
  <si>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</si>
  <si>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</si>
  <si>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</si>
  <si>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</si>
  <si>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</si>
  <si>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</si>
  <si>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</si>
  <si>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</si>
  <si>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</si>
  <si>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</si>
  <si>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</si>
  <si>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</si>
  <si>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</si>
  <si>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</si>
  <si>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</si>
  <si>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</si>
  <si>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</si>
  <si>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</si>
  <si>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</si>
  <si>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</si>
  <si>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</si>
  <si>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</si>
  <si>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</si>
  <si>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</si>
  <si>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</si>
  <si>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</si>
  <si>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</si>
  <si>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</si>
  <si>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</si>
  <si>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</si>
  <si>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</si>
  <si>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</si>
  <si>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</si>
  <si>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</si>
  <si>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</si>
  <si>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</si>
  <si>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</si>
  <si>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</si>
  <si>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</si>
  <si>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</si>
  <si>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</si>
  <si>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</si>
  <si>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</si>
  <si>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</si>
  <si>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</si>
  <si>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</si>
  <si>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</si>
  <si>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</si>
  <si>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</si>
  <si>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</si>
  <si>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</si>
  <si>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</si>
  <si>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</si>
  <si>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</si>
  <si>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</si>
  <si>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</si>
  <si>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</si>
  <si>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</si>
  <si>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</si>
  <si>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</si>
  <si>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</si>
  <si>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</si>
  <si>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</si>
  <si>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</si>
  <si>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</si>
  <si>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</si>
  <si>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</si>
  <si>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</si>
  <si>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</si>
  <si>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</si>
  <si>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</si>
  <si>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</si>
  <si>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</si>
  <si>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</si>
  <si>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</si>
  <si>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</si>
  <si>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</si>
  <si>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</si>
  <si>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</si>
  <si>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</si>
  <si>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</si>
  <si>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</si>
  <si>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</si>
  <si>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</si>
  <si>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</si>
  <si>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</si>
  <si>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</si>
  <si>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</si>
  <si>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</si>
  <si>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</si>
  <si>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</si>
  <si>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</si>
  <si>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</si>
  <si>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</si>
  <si>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</si>
  <si>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</si>
  <si>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</si>
  <si>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</si>
  <si>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</si>
  <si>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</si>
  <si>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</si>
  <si>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</si>
  <si>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</si>
  <si>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</si>
  <si>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</si>
  <si>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</si>
  <si>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</si>
  <si>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</si>
  <si>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</si>
  <si>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</si>
  <si>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</si>
  <si>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</si>
  <si>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</si>
  <si>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</si>
  <si>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</si>
  <si>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</si>
  <si>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</si>
  <si>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</si>
  <si>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</si>
  <si>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</si>
  <si>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</si>
  <si>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</si>
  <si>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</si>
  <si>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</si>
  <si>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</si>
  <si>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</si>
  <si>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</si>
  <si>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</si>
  <si>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</si>
  <si>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</si>
  <si>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</si>
  <si>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</si>
  <si>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</si>
  <si>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</si>
  <si>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</si>
  <si>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</si>
  <si>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</si>
  <si>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</si>
  <si>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</si>
  <si>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</si>
  <si>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</si>
  <si>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</si>
  <si>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</si>
  <si>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</si>
  <si>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</si>
  <si>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</si>
  <si>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</si>
  <si>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</si>
  <si>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</si>
  <si>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</si>
  <si>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</si>
  <si>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</si>
  <si>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</si>
  <si>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</si>
  <si>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</si>
  <si>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</si>
  <si>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</si>
  <si>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</si>
  <si>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</si>
  <si>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</si>
  <si>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</si>
  <si>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</si>
  <si>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</si>
  <si>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</si>
  <si>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</si>
  <si>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</si>
  <si>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</si>
  <si>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</si>
  <si>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</si>
  <si>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</si>
  <si>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</si>
  <si>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</si>
  <si>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</si>
  <si>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</si>
  <si>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</si>
  <si>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</si>
  <si>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</si>
  <si>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</si>
  <si>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</si>
  <si>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</si>
  <si>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</si>
  <si>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</si>
  <si>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</si>
  <si>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</si>
  <si>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</si>
  <si>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</si>
  <si>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</si>
  <si>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</si>
  <si>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</si>
  <si>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</si>
  <si>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</si>
  <si>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</si>
  <si>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</si>
  <si>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</si>
  <si>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</si>
  <si>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</si>
  <si>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</si>
  <si>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</si>
  <si>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</si>
  <si>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</si>
  <si>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</si>
  <si>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</si>
  <si>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</si>
  <si>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</si>
  <si>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</si>
  <si>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</si>
  <si>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</si>
  <si>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</si>
  <si>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</si>
  <si>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</si>
  <si>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</si>
  <si>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</si>
  <si>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</si>
  <si>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</si>
  <si>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</si>
  <si>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</si>
  <si>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</si>
  <si>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</si>
  <si>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</si>
  <si>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</si>
  <si>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</si>
  <si>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</si>
  <si>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</si>
  <si>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</si>
  <si>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</si>
  <si>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</si>
  <si>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</si>
  <si>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</si>
  <si>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</si>
  <si>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</si>
  <si>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</si>
  <si>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</si>
  <si>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</si>
  <si>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</si>
  <si>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</si>
  <si>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</si>
  <si>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</si>
  <si>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</si>
  <si>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</si>
  <si>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</si>
  <si>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</si>
  <si>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</si>
  <si>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</si>
  <si>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</si>
  <si>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</si>
  <si>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</si>
  <si>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</si>
  <si>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</si>
  <si>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</si>
  <si>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</si>
  <si>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</si>
  <si>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</si>
  <si>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</si>
  <si>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</si>
  <si>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</si>
  <si>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</si>
  <si>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</si>
  <si>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</si>
  <si>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</si>
  <si>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</si>
  <si>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</si>
  <si>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</si>
  <si>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</si>
  <si>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</si>
  <si>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</si>
  <si>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</si>
  <si>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</si>
  <si>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</si>
  <si>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</si>
  <si>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</si>
  <si>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</si>
  <si>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</si>
  <si>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</si>
  <si>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</si>
  <si>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</si>
  <si>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</si>
  <si>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</si>
  <si>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</si>
  <si>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</si>
  <si>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</si>
  <si>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</si>
  <si>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</si>
  <si>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</si>
  <si>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</si>
  <si>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</si>
  <si>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</si>
  <si>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</si>
  <si>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</si>
  <si>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</si>
  <si>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</si>
  <si>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</si>
  <si>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</si>
  <si>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</si>
  <si>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</si>
  <si>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</si>
  <si>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</si>
  <si>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</si>
  <si>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</si>
  <si>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</si>
  <si>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</si>
  <si>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</si>
  <si>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</si>
  <si>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</si>
  <si>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</si>
  <si>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</si>
  <si>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</si>
  <si>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</si>
  <si>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</si>
  <si>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</si>
  <si>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</si>
  <si>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</si>
  <si>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</si>
  <si>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</si>
  <si>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</si>
  <si>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</si>
  <si>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</si>
  <si>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</si>
  <si>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</si>
  <si>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</si>
  <si>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</si>
  <si>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</si>
  <si>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</si>
  <si>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</si>
  <si>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</si>
  <si>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</si>
  <si>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</si>
  <si>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</si>
  <si>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</si>
  <si>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</si>
  <si>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</si>
  <si>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</si>
  <si>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</si>
  <si>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</si>
  <si>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</si>
  <si>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</si>
  <si>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</si>
  <si>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</si>
  <si>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</si>
  <si>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</si>
  <si>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</si>
  <si>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</si>
  <si>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</si>
  <si>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</si>
  <si>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</si>
  <si>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</si>
  <si>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</si>
  <si>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</si>
  <si>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</si>
  <si>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</si>
  <si>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</si>
  <si>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</si>
  <si>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</si>
  <si>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</si>
  <si>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</si>
  <si>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</si>
  <si>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</si>
  <si>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</si>
  <si>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</si>
  <si>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</si>
  <si>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</si>
  <si>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</si>
  <si>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</si>
  <si>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</si>
  <si>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</si>
  <si>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</si>
  <si>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</si>
  <si>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</si>
  <si>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</si>
  <si>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</si>
  <si>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</si>
  <si>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</si>
  <si>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</si>
  <si>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</si>
  <si>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</si>
  <si>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</si>
  <si>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</si>
  <si>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</si>
  <si>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</si>
  <si>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</si>
  <si>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</si>
  <si>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</si>
  <si>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</si>
  <si>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</si>
  <si>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</si>
  <si>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</si>
  <si>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</si>
  <si>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</si>
  <si>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</si>
  <si>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</si>
  <si>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</si>
  <si>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</si>
  <si>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</si>
  <si>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</si>
  <si>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</si>
  <si>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</si>
  <si>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</si>
  <si>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</si>
  <si>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</si>
  <si>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</si>
  <si>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</si>
  <si>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</si>
  <si>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</si>
  <si>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</si>
  <si>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</si>
  <si>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</si>
  <si>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</si>
  <si>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</si>
  <si>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</si>
  <si>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</si>
  <si>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</si>
  <si>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</si>
  <si>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</si>
  <si>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</si>
  <si>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</si>
  <si>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</si>
  <si>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</si>
  <si>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</si>
  <si>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</si>
  <si>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</si>
  <si>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</si>
  <si>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</si>
  <si>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</si>
  <si>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</si>
  <si>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</si>
  <si>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</si>
  <si>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</si>
  <si>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</si>
  <si>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</si>
  <si>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</si>
  <si>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</si>
  <si>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</si>
  <si>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</si>
  <si>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</si>
  <si>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</si>
  <si>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</si>
  <si>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</si>
  <si>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</si>
  <si>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</si>
  <si>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</si>
  <si>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</si>
  <si>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</si>
  <si>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</si>
  <si>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</si>
  <si>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</si>
  <si>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</si>
  <si>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</si>
  <si>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</si>
  <si>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</si>
  <si>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</si>
  <si>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</si>
  <si>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</si>
  <si>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</si>
  <si>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</si>
  <si>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</si>
  <si>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</si>
  <si>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</si>
  <si>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</si>
  <si>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</si>
  <si>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</si>
  <si>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</si>
  <si>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</si>
  <si>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</si>
  <si>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</si>
  <si>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</si>
  <si>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</si>
  <si>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</si>
  <si>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</si>
  <si>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</si>
  <si>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</si>
  <si>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</si>
  <si>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</si>
  <si>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</si>
  <si>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</si>
  <si>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</si>
  <si>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</si>
  <si>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</si>
  <si>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</si>
  <si>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</si>
  <si>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</si>
  <si>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</si>
  <si>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</si>
  <si>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</si>
  <si>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</si>
  <si>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</si>
  <si>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</si>
  <si>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</si>
  <si>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</si>
  <si>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</si>
  <si>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</si>
  <si>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</si>
  <si>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</si>
  <si>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</si>
  <si>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</si>
  <si>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</si>
  <si>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</si>
  <si>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</si>
  <si>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</si>
  <si>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</si>
  <si>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</si>
  <si>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</si>
  <si>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</si>
  <si>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</si>
  <si>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</si>
  <si>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</si>
  <si>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</si>
  <si>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</si>
  <si>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</si>
  <si>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</si>
  <si>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</si>
  <si>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</si>
  <si>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</si>
  <si>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</si>
  <si>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</si>
  <si>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</si>
  <si>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</si>
  <si>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</si>
  <si>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</si>
  <si>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</si>
  <si>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</si>
  <si>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</si>
  <si>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</si>
  <si>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</si>
  <si>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</si>
  <si>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</si>
  <si>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</si>
  <si>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</si>
  <si>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</si>
  <si>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</si>
  <si>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</si>
  <si>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</si>
  <si>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</si>
  <si>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</si>
  <si>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</si>
  <si>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</si>
  <si>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</si>
  <si>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</si>
  <si>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</si>
  <si>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</si>
  <si>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</si>
  <si>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</si>
  <si>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</si>
  <si>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</si>
  <si>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</si>
  <si>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</si>
  <si>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</si>
  <si>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</si>
  <si>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</si>
  <si>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</si>
  <si>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</si>
  <si>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</si>
  <si>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</si>
  <si>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</si>
  <si>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</si>
  <si>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</si>
  <si>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</si>
  <si>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</si>
  <si>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</si>
  <si>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</si>
  <si>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</si>
  <si>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</si>
  <si>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</si>
  <si>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</si>
  <si>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</si>
  <si>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</si>
  <si>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</si>
  <si>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</si>
  <si>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</si>
  <si>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</si>
  <si>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</si>
  <si>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</si>
  <si>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</si>
  <si>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</si>
  <si>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</si>
  <si>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</si>
  <si>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</si>
  <si>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</si>
  <si>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</si>
  <si>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</si>
  <si>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</si>
  <si>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</si>
  <si>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</si>
  <si>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</si>
  <si>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</si>
  <si>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</si>
  <si>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</si>
  <si>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</si>
  <si>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</si>
  <si>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</si>
  <si>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</si>
  <si>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</si>
  <si>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</si>
  <si>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</si>
  <si>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</si>
  <si>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</si>
  <si>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</si>
  <si>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</si>
  <si>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</si>
  <si>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</si>
  <si>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</si>
  <si>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</si>
  <si>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</si>
  <si>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</si>
  <si>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</si>
  <si>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</si>
  <si>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</si>
  <si>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</si>
  <si>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</si>
  <si>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</si>
  <si>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</si>
  <si>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</si>
  <si>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</si>
  <si>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</si>
  <si>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</si>
  <si>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</si>
  <si>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</si>
  <si>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</si>
  <si>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</si>
  <si>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</si>
  <si>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</si>
  <si>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</si>
  <si>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</si>
  <si>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</si>
  <si>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</si>
  <si>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</si>
  <si>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</si>
  <si>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</si>
  <si>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</si>
  <si>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</si>
  <si>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</si>
  <si>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</si>
  <si>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</si>
  <si>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</si>
  <si>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</si>
  <si>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</si>
  <si>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</si>
  <si>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</si>
  <si>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</si>
  <si>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</si>
  <si>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</si>
  <si>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</si>
  <si>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</si>
  <si>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</si>
  <si>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</si>
  <si>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</si>
  <si>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</si>
  <si>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</si>
  <si>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</si>
  <si>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</si>
  <si>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</si>
  <si>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</si>
  <si>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</si>
  <si>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</si>
  <si>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</si>
  <si>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</si>
  <si>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</si>
  <si>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</si>
  <si>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</si>
  <si>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</si>
  <si>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</si>
  <si>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</si>
  <si>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</si>
  <si>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</si>
  <si>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</si>
  <si>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</si>
  <si>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</si>
  <si>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</si>
  <si>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</si>
  <si>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</si>
  <si>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</si>
  <si>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</si>
  <si>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</si>
  <si>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</si>
  <si>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</si>
  <si>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</si>
  <si>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</si>
  <si>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</si>
  <si>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</si>
  <si>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</si>
  <si>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</si>
  <si>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</si>
  <si>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</si>
  <si>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</si>
  <si>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</si>
  <si>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</si>
  <si>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</si>
  <si>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</si>
  <si>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</si>
  <si>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</si>
  <si>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</si>
  <si>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</si>
  <si>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</si>
  <si>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</si>
  <si>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</si>
  <si>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</si>
  <si>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</si>
  <si>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</si>
  <si>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</si>
  <si>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</si>
  <si>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</si>
  <si>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</si>
  <si>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</si>
  <si>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</si>
  <si>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</si>
  <si>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</si>
  <si>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</si>
  <si>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</si>
  <si>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</si>
  <si>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</si>
  <si>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</si>
  <si>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</si>
  <si>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</si>
  <si>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</si>
  <si>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</si>
  <si>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</si>
  <si>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</si>
  <si>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</si>
  <si>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</si>
  <si>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</si>
  <si>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</si>
  <si>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</si>
  <si>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</si>
  <si>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</si>
  <si>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</si>
  <si>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</si>
  <si>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</si>
  <si>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</si>
  <si>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</si>
  <si>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</si>
  <si>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</si>
  <si>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</si>
  <si>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</si>
  <si>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</si>
  <si>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</si>
  <si>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</si>
  <si>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</si>
  <si>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</si>
  <si>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</si>
  <si>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</si>
  <si>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</si>
  <si>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</si>
  <si>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</si>
  <si>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</si>
  <si>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</si>
  <si>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</si>
  <si>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</si>
  <si>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</si>
  <si>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</si>
  <si>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</si>
  <si>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</si>
  <si>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</si>
  <si>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</si>
  <si>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</si>
  <si>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</si>
  <si>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</si>
  <si>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</si>
  <si>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</si>
  <si>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</si>
  <si>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</si>
  <si>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</si>
  <si>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</si>
  <si>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</si>
  <si>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</si>
  <si>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</si>
  <si>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</si>
  <si>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</si>
  <si>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</si>
  <si>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</si>
  <si>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</si>
  <si>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</si>
  <si>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</si>
  <si>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</si>
  <si>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</si>
  <si>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</si>
  <si>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</si>
  <si>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</si>
  <si>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</si>
  <si>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</si>
  <si>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</si>
  <si>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</si>
  <si>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</si>
  <si>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</si>
  <si>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</si>
  <si>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</si>
  <si>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</si>
  <si>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</si>
  <si>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</si>
  <si>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</si>
  <si>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</si>
  <si>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</si>
  <si>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</si>
  <si>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</si>
  <si>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</si>
  <si>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</si>
  <si>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</si>
  <si>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</si>
  <si>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</si>
  <si>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</si>
  <si>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</si>
  <si>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</si>
  <si>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</si>
  <si>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</si>
  <si>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</si>
  <si>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</si>
  <si>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</si>
  <si>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</si>
  <si>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</si>
  <si>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</si>
  <si>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</si>
  <si>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</si>
  <si>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</si>
  <si>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</si>
  <si>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</si>
  <si>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</si>
  <si>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</si>
  <si>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</si>
  <si>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</si>
  <si>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</si>
  <si>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</si>
  <si>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</si>
  <si>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</si>
  <si>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</si>
  <si>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</si>
  <si>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</si>
  <si>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</si>
  <si>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</si>
  <si>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</si>
  <si>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</si>
  <si>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</si>
  <si>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</si>
  <si>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</si>
  <si>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</si>
  <si>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</si>
  <si>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</si>
  <si>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</si>
  <si>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</si>
  <si>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</si>
  <si>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</si>
  <si>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</si>
  <si>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</si>
  <si>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</si>
  <si>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</si>
  <si>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</si>
  <si>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</si>
  <si>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</si>
  <si>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</si>
  <si>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</si>
  <si>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</si>
  <si>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</si>
  <si>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</si>
  <si>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</si>
  <si>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</si>
  <si>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</si>
  <si>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</si>
  <si>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</si>
  <si>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</si>
  <si>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</si>
  <si>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</si>
  <si>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</si>
  <si>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</si>
  <si>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</si>
  <si>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</si>
  <si>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</si>
  <si>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</si>
  <si>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</si>
  <si>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</si>
  <si>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</si>
  <si>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</si>
  <si>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</si>
  <si>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</si>
  <si>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</si>
  <si>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</si>
  <si>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</si>
  <si>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</si>
  <si>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</si>
  <si>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</si>
  <si>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</si>
  <si>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</si>
  <si>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</si>
  <si>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</si>
  <si>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</si>
  <si>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</si>
  <si>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</si>
  <si>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</si>
  <si>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</si>
  <si>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</si>
  <si>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</si>
  <si>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</si>
  <si>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</si>
  <si>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</si>
  <si>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</si>
  <si>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</si>
  <si>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</si>
  <si>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</si>
  <si>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</si>
  <si>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</si>
  <si>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</si>
  <si>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</si>
  <si>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</si>
  <si>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</si>
  <si>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</si>
  <si>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</si>
  <si>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</si>
  <si>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</si>
  <si>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</si>
  <si>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</si>
  <si>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</si>
  <si>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</si>
  <si>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</si>
  <si>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</si>
  <si>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</si>
  <si>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</si>
  <si>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</si>
  <si>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</si>
  <si>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</si>
  <si>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</si>
  <si>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</si>
  <si>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</si>
  <si>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</si>
  <si>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</si>
  <si>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</si>
  <si>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</si>
  <si>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</si>
  <si>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</si>
  <si>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</si>
  <si>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</si>
  <si>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</si>
  <si>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</si>
  <si>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</si>
  <si>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</si>
  <si>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</si>
  <si>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</si>
  <si>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</si>
  <si>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</si>
  <si>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</si>
  <si>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</si>
  <si>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</si>
  <si>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</si>
  <si>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</si>
  <si>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</si>
  <si>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</si>
  <si>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</si>
  <si>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</si>
  <si>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</si>
  <si>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</si>
  <si>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</si>
  <si>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</si>
  <si>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</si>
  <si>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</si>
  <si>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</si>
  <si>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</si>
  <si>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</si>
  <si>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</si>
  <si>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</si>
  <si>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</si>
  <si>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</si>
  <si>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</si>
  <si>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</si>
  <si>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</si>
  <si>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</si>
  <si>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</si>
  <si>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</si>
  <si>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</si>
  <si>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</si>
  <si>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</si>
  <si>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</si>
  <si>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</si>
  <si>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</si>
  <si>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</si>
  <si>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</si>
  <si>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</si>
  <si>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</si>
  <si>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</si>
  <si>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</si>
  <si>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</si>
  <si>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</si>
  <si>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</si>
  <si>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</si>
  <si>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</si>
  <si>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</si>
  <si>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</si>
  <si>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</si>
  <si>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</si>
  <si>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</si>
  <si>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</si>
  <si>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</si>
  <si>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</si>
  <si>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</si>
  <si>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</si>
  <si>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</si>
  <si>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</si>
  <si>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</si>
  <si>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</si>
  <si>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</si>
  <si>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</si>
  <si>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</si>
  <si>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</si>
  <si>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</si>
  <si>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</si>
  <si>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</si>
  <si>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</si>
  <si>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</si>
  <si>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</si>
  <si>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</si>
  <si>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</si>
  <si>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</si>
  <si>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</si>
  <si>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</si>
  <si>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</si>
  <si>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</si>
  <si>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</si>
  <si>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</si>
  <si>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</si>
  <si>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</si>
  <si>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</si>
  <si>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</si>
  <si>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</si>
  <si>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</si>
  <si>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</si>
  <si>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</si>
  <si>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</si>
  <si>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</si>
  <si>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</si>
  <si>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</si>
  <si>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</si>
  <si>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</si>
  <si>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</si>
  <si>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</si>
  <si>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</si>
  <si>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</si>
  <si>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</si>
  <si>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</si>
  <si>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</si>
  <si>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</si>
  <si>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</si>
  <si>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</si>
  <si>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</si>
  <si>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</si>
  <si>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</si>
  <si>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</si>
  <si>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</si>
  <si>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</si>
  <si>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</si>
  <si>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</si>
  <si>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</si>
  <si>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</si>
  <si>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</si>
  <si>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</si>
  <si>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</si>
  <si>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</si>
  <si>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</si>
  <si>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</si>
  <si>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</si>
  <si>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</si>
  <si>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</si>
  <si>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</si>
  <si>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</si>
  <si>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</si>
  <si>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</si>
  <si>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</si>
  <si>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</si>
  <si>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</si>
  <si>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</si>
  <si>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</si>
  <si>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</si>
  <si>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</si>
  <si>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</si>
  <si>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</si>
  <si>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</si>
  <si>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</si>
  <si>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</si>
  <si>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</si>
  <si>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</si>
  <si>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</si>
  <si>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</si>
  <si>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</si>
  <si>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</si>
  <si>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</si>
  <si>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</si>
  <si>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</si>
  <si>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</si>
  <si>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</si>
  <si>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</si>
  <si>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</si>
  <si>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</si>
  <si>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</si>
  <si>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</si>
  <si>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</si>
  <si>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</si>
  <si>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</si>
  <si>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</si>
  <si>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</si>
  <si>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</si>
  <si>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</si>
  <si>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</si>
  <si>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</si>
  <si>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</si>
  <si>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</si>
  <si>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</si>
  <si>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</si>
  <si>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</si>
  <si>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</si>
  <si>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</si>
  <si>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</si>
  <si>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</si>
  <si>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</si>
  <si>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</si>
  <si>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</si>
  <si>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</si>
  <si>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</si>
  <si>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</si>
  <si>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</si>
  <si>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</si>
  <si>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</si>
  <si>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</si>
  <si>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</si>
  <si>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</si>
  <si>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</si>
  <si>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</si>
  <si>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</si>
  <si>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</si>
  <si>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</si>
  <si>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</si>
  <si>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</si>
  <si>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</si>
  <si>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</si>
  <si>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</si>
  <si>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</si>
  <si>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</si>
  <si>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</si>
  <si>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</si>
  <si>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</si>
  <si>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</si>
  <si>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</si>
  <si>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</si>
  <si>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</si>
  <si>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</si>
  <si>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</si>
  <si>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</si>
  <si>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</si>
  <si>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</si>
  <si>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</si>
  <si>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</si>
  <si>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</si>
  <si>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</si>
  <si>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</si>
  <si>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</si>
  <si>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</si>
  <si>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</si>
  <si>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</si>
  <si>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</si>
  <si>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</si>
  <si>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</si>
  <si>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</si>
  <si>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</si>
  <si>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</si>
  <si>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</si>
  <si>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</si>
  <si>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</si>
  <si>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</si>
  <si>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</si>
  <si>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</si>
  <si>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</si>
  <si>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</si>
  <si>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</si>
  <si>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</si>
  <si>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</si>
  <si>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</si>
  <si>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</si>
  <si>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</si>
  <si>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</si>
  <si>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</si>
  <si>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</si>
  <si>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</si>
  <si>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</si>
  <si>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</si>
  <si>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</si>
  <si>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</si>
  <si>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</si>
  <si>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</si>
  <si>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</si>
  <si>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</si>
  <si>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</si>
  <si>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</si>
  <si>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</si>
  <si>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</si>
  <si>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</si>
  <si>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</si>
  <si>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</si>
  <si>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</si>
  <si>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</si>
  <si>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</si>
  <si>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</si>
  <si>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</si>
  <si>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</si>
  <si>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</si>
  <si>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</si>
  <si>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</si>
  <si>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</si>
  <si>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</si>
  <si>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</si>
  <si>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</si>
  <si>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</si>
  <si>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</si>
  <si>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</si>
  <si>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</si>
  <si>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</si>
  <si>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</si>
  <si>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</si>
  <si>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</si>
  <si>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</si>
  <si>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</si>
  <si>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</si>
  <si>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</si>
  <si>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</si>
  <si>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</si>
  <si>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</si>
  <si>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</si>
  <si>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</si>
  <si>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</si>
  <si>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</si>
  <si>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</si>
  <si>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</si>
  <si>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</si>
  <si>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</si>
  <si>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</si>
  <si>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</si>
  <si>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</si>
  <si>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</si>
  <si>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</si>
  <si>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</si>
  <si>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</si>
  <si>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</si>
  <si>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</si>
  <si>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</si>
  <si>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</si>
  <si>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</si>
  <si>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</si>
  <si>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</si>
  <si>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</si>
  <si>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</si>
  <si>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</si>
  <si>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</si>
  <si>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</si>
  <si>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</si>
  <si>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</si>
  <si>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</si>
  <si>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</si>
  <si>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</si>
  <si>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</si>
  <si>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</si>
  <si>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</si>
  <si>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</si>
  <si>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</si>
  <si>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</si>
  <si>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</si>
  <si>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</si>
  <si>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</si>
  <si>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</si>
  <si>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</si>
  <si>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</si>
  <si>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</si>
  <si>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</si>
  <si>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</si>
  <si>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</si>
  <si>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</si>
  <si>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</si>
  <si>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</si>
  <si>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</si>
  <si>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</si>
  <si>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</si>
  <si>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</si>
  <si>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</si>
  <si>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</si>
  <si>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</si>
  <si>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</si>
  <si>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</si>
  <si>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</si>
  <si>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</si>
  <si>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</si>
  <si>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</si>
  <si>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</si>
  <si>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</si>
  <si>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</si>
  <si>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</si>
  <si>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</si>
  <si>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</si>
  <si>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</si>
  <si>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</si>
  <si>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</si>
  <si>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</si>
  <si>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</si>
  <si>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</si>
  <si>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</si>
  <si>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</si>
  <si>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</si>
  <si>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</si>
  <si>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</si>
  <si>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</si>
  <si>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</si>
  <si>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</si>
  <si>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</si>
  <si>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</si>
  <si>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</si>
  <si>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</si>
  <si>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</si>
  <si>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</si>
  <si>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</si>
  <si>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</si>
  <si>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</si>
  <si>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</si>
  <si>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</si>
  <si>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</si>
  <si>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</si>
  <si>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</si>
  <si>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</si>
  <si>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</si>
  <si>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</si>
  <si>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</si>
  <si>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</si>
  <si>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</si>
  <si>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</si>
  <si>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</si>
  <si>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</si>
  <si>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</si>
  <si>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</si>
  <si>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</si>
  <si>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</si>
  <si>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</si>
  <si>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</si>
  <si>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</si>
  <si>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</si>
  <si>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</si>
  <si>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</si>
  <si>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</si>
  <si>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</si>
  <si>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</si>
  <si>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</si>
  <si>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</si>
  <si>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</si>
  <si>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</si>
  <si>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</si>
  <si>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</si>
  <si>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</si>
  <si>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</si>
  <si>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</si>
  <si>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</si>
  <si>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</si>
  <si>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</si>
  <si>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</si>
  <si>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</si>
  <si>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</si>
  <si>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</si>
  <si>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</si>
  <si>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</si>
  <si>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</si>
  <si>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</si>
  <si>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</si>
  <si>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</si>
  <si>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</si>
  <si>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</si>
  <si>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</si>
  <si>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</si>
  <si>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</si>
  <si>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</si>
  <si>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</si>
  <si>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</si>
  <si>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</si>
  <si>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</si>
  <si>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</si>
  <si>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</si>
  <si>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</si>
  <si>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</si>
  <si>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</si>
  <si>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</si>
  <si>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</si>
  <si>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</si>
  <si>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</si>
  <si>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</si>
  <si>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</si>
  <si>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</si>
  <si>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</si>
  <si>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</si>
  <si>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</si>
  <si>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</si>
  <si>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</si>
  <si>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</si>
  <si>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</si>
  <si>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</si>
  <si>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</si>
  <si>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</si>
  <si>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</si>
  <si>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</si>
  <si>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</si>
  <si>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</si>
  <si>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</si>
  <si>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</si>
  <si>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</si>
  <si>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</si>
  <si>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</si>
  <si>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</si>
  <si>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</si>
  <si>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</si>
  <si>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</si>
  <si>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</si>
  <si>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</si>
  <si>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</si>
  <si>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</si>
  <si>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</si>
  <si>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</si>
  <si>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</si>
  <si>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</si>
  <si>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</si>
  <si>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</si>
  <si>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</si>
  <si>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</si>
  <si>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</si>
  <si>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</si>
  <si>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</si>
  <si>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</si>
  <si>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</si>
  <si>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</si>
  <si>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</si>
  <si>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</si>
  <si>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</si>
  <si>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</si>
  <si>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</si>
  <si>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</si>
  <si>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</si>
  <si>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</si>
  <si>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</si>
  <si>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</si>
  <si>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</si>
  <si>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</si>
  <si>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</si>
  <si>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</si>
  <si>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</si>
  <si>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</si>
  <si>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</si>
  <si>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</si>
  <si>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</si>
  <si>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</si>
  <si>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</si>
  <si>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</si>
  <si>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</si>
  <si>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</si>
  <si>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</si>
  <si>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</si>
  <si>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</si>
  <si>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</si>
  <si>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</si>
  <si>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</si>
  <si>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</si>
  <si>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</si>
  <si>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</si>
  <si>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</si>
  <si>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</si>
  <si>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</si>
  <si>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</si>
  <si>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</si>
  <si>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</si>
  <si>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</si>
  <si>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</si>
  <si>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</si>
  <si>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</si>
  <si>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</si>
  <si>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</si>
  <si>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</si>
  <si>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</si>
  <si>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</si>
  <si>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</si>
  <si>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</si>
  <si>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</si>
  <si>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</si>
  <si>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</si>
  <si>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</si>
  <si>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</si>
  <si>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</si>
  <si>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</si>
  <si>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</si>
  <si>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</si>
  <si>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</si>
  <si>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</si>
  <si>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</si>
  <si>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</si>
  <si>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</si>
  <si>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</si>
  <si>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</si>
  <si>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</si>
  <si>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</si>
  <si>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</si>
  <si>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</si>
  <si>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</si>
  <si>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</si>
  <si>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</si>
  <si>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</si>
  <si>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</si>
  <si>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</si>
  <si>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</si>
  <si>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</si>
  <si>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</si>
  <si>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</si>
  <si>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</si>
  <si>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</si>
  <si>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</si>
  <si>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</si>
  <si>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</si>
  <si>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</si>
  <si>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</si>
  <si>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</si>
  <si>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</si>
  <si>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</si>
  <si>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</si>
  <si>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</si>
  <si>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</si>
  <si>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</si>
  <si>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</si>
  <si>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</si>
  <si>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</si>
  <si>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</si>
  <si>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</si>
  <si>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</si>
  <si>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</si>
  <si>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</si>
  <si>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</si>
  <si>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</si>
  <si>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</si>
  <si>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</si>
  <si>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</si>
  <si>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</si>
  <si>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</si>
  <si>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</si>
  <si>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</si>
  <si>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</si>
  <si>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</si>
  <si>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</si>
  <si>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</si>
  <si>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</si>
  <si>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</si>
  <si>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</si>
  <si>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</si>
  <si>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</si>
  <si>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</si>
  <si>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</si>
  <si>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</si>
  <si>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</si>
  <si>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</si>
  <si>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</si>
  <si>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</si>
  <si>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</si>
  <si>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</si>
  <si>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</si>
  <si>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</si>
  <si>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</si>
  <si>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</si>
  <si>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</si>
  <si>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</si>
  <si>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</si>
  <si>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</si>
  <si>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</si>
  <si>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</si>
  <si>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</si>
  <si>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</si>
  <si>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</si>
  <si>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</si>
  <si>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</si>
  <si>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</si>
  <si>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</si>
  <si>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</si>
  <si>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</si>
  <si>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</si>
  <si>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</si>
  <si>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</si>
  <si>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</si>
  <si>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</si>
  <si>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</si>
  <si>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</si>
  <si>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</si>
  <si>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</si>
  <si>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</si>
  <si>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</si>
  <si>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</si>
  <si>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</si>
  <si>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</si>
  <si>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</si>
  <si>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</si>
  <si>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</si>
  <si>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</si>
  <si>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</si>
  <si>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</si>
  <si>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</si>
  <si>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</si>
  <si>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</si>
  <si>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</si>
  <si>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</si>
  <si>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</si>
  <si>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</si>
  <si>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</si>
  <si>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</si>
  <si>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</si>
  <si>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</si>
  <si>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</si>
  <si>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</si>
  <si>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</si>
  <si>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</si>
  <si>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</si>
  <si>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</si>
  <si>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</si>
  <si>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</si>
  <si>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</si>
  <si>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</si>
  <si>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</si>
  <si>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</si>
  <si>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</si>
  <si>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</si>
  <si>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</si>
  <si>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</si>
  <si>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</si>
  <si>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</si>
  <si>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</si>
  <si>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</si>
  <si>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</si>
  <si>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</si>
  <si>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</si>
  <si>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</si>
  <si>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</si>
  <si>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</si>
  <si>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</si>
  <si>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</si>
  <si>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</si>
  <si>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</si>
  <si>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</si>
  <si>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</si>
  <si>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</si>
  <si>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</si>
  <si>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</si>
  <si>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</si>
  <si>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</si>
  <si>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</si>
  <si>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</si>
  <si>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</si>
  <si>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</si>
  <si>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</si>
  <si>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</si>
  <si>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</si>
  <si>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</si>
  <si>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</si>
  <si>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</si>
  <si>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</si>
  <si>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</si>
  <si>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</si>
  <si>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</si>
  <si>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</si>
  <si>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</si>
  <si>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</si>
  <si>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</si>
  <si>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</si>
  <si>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</si>
  <si>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</si>
  <si>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</si>
  <si>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</si>
  <si>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</si>
  <si>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</si>
  <si>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</si>
  <si>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</si>
  <si>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</si>
  <si>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</si>
  <si>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</si>
  <si>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</si>
  <si>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</si>
  <si>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</si>
  <si>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</si>
  <si>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</si>
  <si>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</si>
  <si>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</si>
  <si>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</si>
  <si>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</si>
  <si>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</si>
  <si>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</si>
  <si>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</si>
  <si>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</si>
  <si>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</si>
  <si>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</si>
  <si>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</si>
  <si>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</si>
  <si>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</si>
  <si>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</si>
  <si>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</si>
  <si>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</si>
  <si>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</si>
  <si>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</si>
  <si>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</si>
  <si>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</si>
  <si>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</si>
  <si>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</si>
  <si>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</si>
  <si>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</si>
  <si>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</si>
  <si>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</si>
  <si>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</si>
  <si>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</si>
  <si>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</si>
  <si>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</si>
  <si>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</si>
  <si>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</si>
  <si>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</si>
  <si>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</si>
  <si>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</si>
  <si>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</si>
  <si>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</si>
  <si>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</si>
  <si>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</si>
  <si>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</si>
  <si>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</si>
  <si>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</si>
  <si>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</si>
  <si>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</si>
  <si>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</si>
  <si>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</si>
  <si>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</si>
  <si>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</si>
  <si>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</si>
  <si>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</si>
  <si>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</si>
  <si>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</si>
  <si>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</si>
  <si>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</si>
  <si>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</si>
  <si>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</si>
  <si>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</si>
  <si>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</si>
  <si>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</si>
  <si>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</si>
  <si>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</si>
  <si>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</si>
  <si>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</si>
  <si>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</si>
  <si>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</si>
  <si>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</si>
  <si>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</si>
  <si>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</si>
  <si>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</si>
  <si>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</si>
  <si>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</si>
  <si>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</si>
  <si>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</si>
  <si>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</si>
  <si>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</si>
  <si>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</si>
  <si>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</si>
  <si>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</si>
  <si>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</si>
  <si>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</si>
  <si>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</si>
  <si>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</si>
  <si>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</si>
  <si>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</si>
  <si>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</si>
  <si>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</si>
  <si>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</si>
  <si>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</si>
  <si>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</si>
  <si>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</si>
  <si>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</si>
  <si>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</si>
  <si>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</si>
  <si>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</si>
  <si>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</si>
  <si>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</si>
  <si>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</si>
  <si>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</si>
  <si>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</si>
  <si>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</si>
  <si>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</si>
  <si>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</si>
  <si>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</si>
  <si>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</si>
  <si>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</si>
  <si>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</si>
  <si>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</si>
  <si>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</si>
  <si>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</si>
  <si>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</si>
  <si>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</si>
  <si>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</si>
  <si>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</si>
  <si>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</si>
  <si>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</si>
  <si>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</si>
  <si>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</si>
  <si>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</si>
  <si>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</si>
  <si>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</si>
  <si>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</si>
  <si>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</si>
  <si>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</si>
  <si>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</si>
  <si>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</si>
  <si>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</si>
  <si>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</si>
  <si>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</si>
  <si>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</si>
  <si>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</si>
  <si>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</si>
  <si>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</si>
  <si>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</si>
  <si>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</si>
  <si>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</si>
  <si>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</si>
  <si>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</si>
  <si>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</si>
  <si>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</si>
  <si>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</si>
  <si>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</si>
  <si>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</si>
  <si>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</si>
  <si>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</si>
  <si>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</si>
  <si>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</si>
  <si>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</si>
  <si>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</si>
  <si>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</si>
  <si>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</si>
  <si>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</si>
  <si>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</si>
  <si>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</si>
  <si>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</si>
  <si>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</si>
  <si>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</si>
  <si>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</si>
  <si>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</si>
  <si>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</si>
  <si>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</si>
  <si>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</si>
  <si>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</si>
  <si>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</si>
  <si>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</si>
  <si>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</si>
  <si>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</si>
  <si>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</si>
  <si>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</si>
  <si>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</si>
  <si>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</si>
  <si>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</si>
  <si>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</si>
  <si>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</si>
  <si>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</si>
  <si>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</si>
  <si>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</si>
  <si>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</si>
  <si>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</si>
  <si>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</si>
  <si>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</si>
  <si>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</si>
  <si>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</si>
  <si>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</si>
  <si>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</si>
  <si>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</si>
  <si>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</si>
  <si>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</si>
  <si>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</si>
  <si>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</si>
  <si>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</si>
  <si>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</si>
  <si>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</si>
  <si>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</si>
  <si>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</si>
  <si>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</si>
  <si>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</si>
  <si>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</si>
  <si>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</si>
  <si>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</si>
  <si>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</si>
  <si>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</si>
  <si>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</si>
  <si>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</si>
  <si>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</si>
  <si>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</si>
  <si>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</si>
  <si>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</si>
  <si>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</si>
  <si>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</si>
  <si>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</si>
  <si>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</si>
  <si>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</si>
  <si>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</si>
  <si>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</si>
  <si>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</si>
  <si>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</si>
  <si>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</si>
  <si>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</si>
  <si>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</si>
  <si>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</si>
  <si>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</si>
  <si>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</si>
  <si>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</si>
  <si>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</si>
  <si>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</si>
  <si>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</si>
  <si>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</si>
  <si>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</si>
  <si>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</si>
  <si>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</si>
  <si>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</si>
  <si>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</si>
  <si>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</si>
  <si>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</si>
  <si>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</si>
  <si>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</si>
  <si>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</si>
  <si>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</si>
  <si>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</si>
  <si>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</si>
  <si>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</si>
  <si>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</si>
  <si>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</si>
  <si>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</si>
  <si>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</si>
  <si>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</si>
  <si>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</si>
  <si>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</si>
  <si>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</si>
  <si>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</si>
  <si>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</si>
  <si>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</si>
  <si>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</si>
  <si>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</si>
  <si>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</si>
  <si>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</si>
  <si>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</si>
  <si>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</si>
  <si>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</si>
  <si>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</si>
  <si>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</si>
  <si>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</si>
  <si>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</si>
  <si>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核定资产</t>
  </si>
  <si>
    <t>房地产市场价值</t>
  </si>
  <si>
    <t>北京市</t>
  </si>
  <si>
    <t>自然人</t>
  </si>
  <si>
    <t>是</t>
  </si>
  <si>
    <t>地上</t>
  </si>
  <si>
    <t>平层住宅</t>
  </si>
  <si>
    <t>住宅</t>
  </si>
  <si>
    <t>住宅</t>
    <phoneticPr fontId="7" type="noConversion"/>
  </si>
  <si>
    <t>成新度</t>
  </si>
  <si>
    <t>收益法 (元)</t>
  </si>
  <si>
    <t>押二</t>
  </si>
  <si>
    <t>钢混</t>
  </si>
  <si>
    <t>非生产用房</t>
  </si>
  <si>
    <t>城镇住宅用地</t>
  </si>
  <si>
    <t>自定义容积率</t>
  </si>
  <si>
    <t>不临65条商业街</t>
  </si>
  <si>
    <t>有</t>
  </si>
  <si>
    <t>无</t>
  </si>
  <si>
    <t>500米范围内</t>
  </si>
  <si>
    <t>与级别开发程度一致</t>
  </si>
  <si>
    <t>较好</t>
  </si>
  <si>
    <t>好</t>
  </si>
  <si>
    <t>通路</t>
  </si>
  <si>
    <t>通电</t>
  </si>
  <si>
    <t>通讯</t>
  </si>
  <si>
    <t>通下水</t>
  </si>
  <si>
    <t>通热</t>
  </si>
  <si>
    <t>燃气</t>
  </si>
  <si>
    <t>平整</t>
  </si>
  <si>
    <t>未包含在土地购买价格中</t>
  </si>
  <si>
    <t>已包含在土地取得成本中</t>
  </si>
  <si>
    <t>3层</t>
    <phoneticPr fontId="134" type="noConversion"/>
  </si>
  <si>
    <t>北排</t>
    <phoneticPr fontId="134" type="noConversion"/>
  </si>
  <si>
    <r>
      <t>2</t>
    </r>
    <r>
      <rPr>
        <sz val="11"/>
        <color theme="1"/>
        <rFont val="宋体"/>
        <family val="3"/>
        <charset val="134"/>
        <scheme val="minor"/>
      </rPr>
      <t>024.7.29</t>
    </r>
    <phoneticPr fontId="134" type="noConversion"/>
  </si>
  <si>
    <t>单套模式</t>
  </si>
  <si>
    <t>售价</t>
  </si>
  <si>
    <t>比较法-住宅</t>
  </si>
  <si>
    <t>成本法 (元)</t>
  </si>
  <si>
    <t>复式</t>
  </si>
  <si>
    <t>复式</t>
    <phoneticPr fontId="24" type="noConversion"/>
  </si>
  <si>
    <t>平层</t>
  </si>
  <si>
    <t>平层</t>
    <phoneticPr fontId="24" type="noConversion"/>
  </si>
  <si>
    <t>未成交</t>
    <phoneticPr fontId="134" type="noConversion"/>
  </si>
  <si>
    <t>北京市朝阳区百子湾南2路74号院4号楼15层2单元1803号房产 - 司法拍卖 - 阿里资产 (taobao.com)</t>
  </si>
  <si>
    <t>平层</t>
    <phoneticPr fontId="134" type="noConversion"/>
  </si>
  <si>
    <t>评估单价</t>
    <phoneticPr fontId="134" type="noConversion"/>
  </si>
  <si>
    <t>成交单价</t>
    <phoneticPr fontId="134" type="noConversion"/>
  </si>
  <si>
    <t>拍品详情 - 司法拍卖 (jd.com)</t>
  </si>
  <si>
    <r>
      <t>2</t>
    </r>
    <r>
      <rPr>
        <sz val="11"/>
        <color theme="1"/>
        <rFont val="宋体"/>
        <family val="3"/>
        <charset val="134"/>
        <scheme val="minor"/>
      </rPr>
      <t>023.11.6</t>
    </r>
    <phoneticPr fontId="134" type="noConversion"/>
  </si>
  <si>
    <r>
      <t>2</t>
    </r>
    <r>
      <rPr>
        <sz val="11"/>
        <color theme="1"/>
        <rFont val="宋体"/>
        <family val="3"/>
        <charset val="134"/>
        <scheme val="minor"/>
      </rPr>
      <t>024.6.4</t>
    </r>
    <phoneticPr fontId="134" type="noConversion"/>
  </si>
  <si>
    <r>
      <t>2</t>
    </r>
    <r>
      <rPr>
        <sz val="11"/>
        <color theme="1"/>
        <rFont val="宋体"/>
        <family val="3"/>
        <charset val="134"/>
        <scheme val="minor"/>
      </rPr>
      <t>023.10.10</t>
    </r>
    <phoneticPr fontId="134" type="noConversion"/>
  </si>
  <si>
    <t>2023.6.29</t>
    <phoneticPr fontId="134" type="noConversion"/>
  </si>
  <si>
    <t>乐成公馆</t>
    <phoneticPr fontId="134" type="noConversion"/>
  </si>
  <si>
    <t>乐成国际</t>
    <phoneticPr fontId="134" type="noConversion"/>
  </si>
  <si>
    <t>南北</t>
    <phoneticPr fontId="24" type="noConversion"/>
  </si>
  <si>
    <t>钢混</t>
    <phoneticPr fontId="24" type="noConversion"/>
  </si>
  <si>
    <t>精装修</t>
  </si>
  <si>
    <t>精装修</t>
    <phoneticPr fontId="24" type="noConversion"/>
  </si>
  <si>
    <t>普通装修</t>
  </si>
  <si>
    <t>普通装修</t>
    <phoneticPr fontId="24" type="noConversion"/>
  </si>
  <si>
    <t>毛坯</t>
    <phoneticPr fontId="24" type="noConversion"/>
  </si>
  <si>
    <t>物业公司管理</t>
  </si>
  <si>
    <t>物业公司管理</t>
    <phoneticPr fontId="24" type="noConversion"/>
  </si>
  <si>
    <t>乐城公馆</t>
    <phoneticPr fontId="3" type="noConversion"/>
  </si>
  <si>
    <t>楼层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</si>
</sst>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4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4" fillId="0" borderId="9" xfId="0" applyFont="1" applyBorder="1" applyAlignment="1" applyProtection="1">
      <alignment horizontal="center" vertical="center" wrapText="1"/>
      <protection locked="0"/>
    </xf>
    <xf numFmtId="0" fontId="269" fillId="0" borderId="0" xfId="19">
      <alignment vertical="center"/>
    </xf>
    <xf numFmtId="0" fontId="128" fillId="0" borderId="44"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152400</xdr:colOff>
      <xdr:row>15</xdr:row>
      <xdr:rowOff>66675</xdr:rowOff>
    </xdr:from>
    <xdr:to>
      <xdr:col>36</xdr:col>
      <xdr:colOff>513533</xdr:colOff>
      <xdr:row>44</xdr:row>
      <xdr:rowOff>47006</xdr:rowOff>
    </xdr:to>
    <xdr:pic>
      <xdr:nvPicPr>
        <xdr:cNvPr id="2" name="图片 1">
          <a:extLst>
            <a:ext uri="{FF2B5EF4-FFF2-40B4-BE49-F238E27FC236}">
              <a16:creationId xmlns:a16="http://schemas.microsoft.com/office/drawing/2014/main" id="{B4A2F16C-742E-DFB2-B030-21DE2875C365}"/>
            </a:ext>
          </a:extLst>
        </xdr:cNvPr>
        <xdr:cNvPicPr>
          <a:picLocks noChangeAspect="1"/>
        </xdr:cNvPicPr>
      </xdr:nvPicPr>
      <xdr:blipFill>
        <a:blip xmlns:r="http://schemas.openxmlformats.org/officeDocument/2006/relationships" r:embed="rId1"/>
        <a:stretch>
          <a:fillRect/>
        </a:stretch>
      </xdr:blipFill>
      <xdr:spPr>
        <a:xfrm>
          <a:off x="18669000" y="2638425"/>
          <a:ext cx="6533333" cy="4952381"/>
        </a:xfrm>
        <a:prstGeom prst="rect">
          <a:avLst/>
        </a:prstGeom>
      </xdr:spPr>
    </xdr:pic>
    <xdr:clientData/>
  </xdr:twoCellAnchor>
  <xdr:twoCellAnchor editAs="oneCell">
    <xdr:from>
      <xdr:col>9</xdr:col>
      <xdr:colOff>314325</xdr:colOff>
      <xdr:row>2</xdr:row>
      <xdr:rowOff>19050</xdr:rowOff>
    </xdr:from>
    <xdr:to>
      <xdr:col>30</xdr:col>
      <xdr:colOff>360144</xdr:colOff>
      <xdr:row>13</xdr:row>
      <xdr:rowOff>56910</xdr:rowOff>
    </xdr:to>
    <xdr:pic>
      <xdr:nvPicPr>
        <xdr:cNvPr id="3" name="图片 2">
          <a:extLst>
            <a:ext uri="{FF2B5EF4-FFF2-40B4-BE49-F238E27FC236}">
              <a16:creationId xmlns:a16="http://schemas.microsoft.com/office/drawing/2014/main" id="{E6062679-FBDC-AD11-236E-0ABD3538D000}"/>
            </a:ext>
          </a:extLst>
        </xdr:cNvPr>
        <xdr:cNvPicPr>
          <a:picLocks noChangeAspect="1"/>
        </xdr:cNvPicPr>
      </xdr:nvPicPr>
      <xdr:blipFill>
        <a:blip xmlns:r="http://schemas.openxmlformats.org/officeDocument/2006/relationships" r:embed="rId2"/>
        <a:stretch>
          <a:fillRect/>
        </a:stretch>
      </xdr:blipFill>
      <xdr:spPr>
        <a:xfrm>
          <a:off x="6486525" y="361950"/>
          <a:ext cx="14447619" cy="1923810"/>
        </a:xfrm>
        <a:prstGeom prst="rect">
          <a:avLst/>
        </a:prstGeom>
      </xdr:spPr>
    </xdr:pic>
    <xdr:clientData/>
  </xdr:twoCellAnchor>
  <xdr:twoCellAnchor editAs="oneCell">
    <xdr:from>
      <xdr:col>10</xdr:col>
      <xdr:colOff>133350</xdr:colOff>
      <xdr:row>14</xdr:row>
      <xdr:rowOff>66675</xdr:rowOff>
    </xdr:from>
    <xdr:to>
      <xdr:col>15</xdr:col>
      <xdr:colOff>75779</xdr:colOff>
      <xdr:row>32</xdr:row>
      <xdr:rowOff>18670</xdr:rowOff>
    </xdr:to>
    <xdr:pic>
      <xdr:nvPicPr>
        <xdr:cNvPr id="4" name="图片 3">
          <a:extLst>
            <a:ext uri="{FF2B5EF4-FFF2-40B4-BE49-F238E27FC236}">
              <a16:creationId xmlns:a16="http://schemas.microsoft.com/office/drawing/2014/main" id="{C7B8CAAB-A2CD-75C8-D8B9-9BDE34CFAFC3}"/>
            </a:ext>
          </a:extLst>
        </xdr:cNvPr>
        <xdr:cNvPicPr>
          <a:picLocks noChangeAspect="1"/>
        </xdr:cNvPicPr>
      </xdr:nvPicPr>
      <xdr:blipFill>
        <a:blip xmlns:r="http://schemas.openxmlformats.org/officeDocument/2006/relationships" r:embed="rId3"/>
        <a:stretch>
          <a:fillRect/>
        </a:stretch>
      </xdr:blipFill>
      <xdr:spPr>
        <a:xfrm>
          <a:off x="6991350" y="2466975"/>
          <a:ext cx="3371429" cy="3038095"/>
        </a:xfrm>
        <a:prstGeom prst="rect">
          <a:avLst/>
        </a:prstGeom>
      </xdr:spPr>
    </xdr:pic>
    <xdr:clientData/>
  </xdr:twoCellAnchor>
  <xdr:twoCellAnchor editAs="oneCell">
    <xdr:from>
      <xdr:col>10</xdr:col>
      <xdr:colOff>314325</xdr:colOff>
      <xdr:row>33</xdr:row>
      <xdr:rowOff>142875</xdr:rowOff>
    </xdr:from>
    <xdr:to>
      <xdr:col>14</xdr:col>
      <xdr:colOff>75887</xdr:colOff>
      <xdr:row>41</xdr:row>
      <xdr:rowOff>56989</xdr:rowOff>
    </xdr:to>
    <xdr:pic>
      <xdr:nvPicPr>
        <xdr:cNvPr id="5" name="图片 4">
          <a:extLst>
            <a:ext uri="{FF2B5EF4-FFF2-40B4-BE49-F238E27FC236}">
              <a16:creationId xmlns:a16="http://schemas.microsoft.com/office/drawing/2014/main" id="{0E2EF6EB-14CC-CBF8-B854-4821D0DB6761}"/>
            </a:ext>
          </a:extLst>
        </xdr:cNvPr>
        <xdr:cNvPicPr>
          <a:picLocks noChangeAspect="1"/>
        </xdr:cNvPicPr>
      </xdr:nvPicPr>
      <xdr:blipFill>
        <a:blip xmlns:r="http://schemas.openxmlformats.org/officeDocument/2006/relationships" r:embed="rId4"/>
        <a:stretch>
          <a:fillRect/>
        </a:stretch>
      </xdr:blipFill>
      <xdr:spPr>
        <a:xfrm>
          <a:off x="7172325" y="5800725"/>
          <a:ext cx="2504762" cy="1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335092</xdr:colOff>
      <xdr:row>42</xdr:row>
      <xdr:rowOff>113296</xdr:rowOff>
    </xdr:to>
    <xdr:pic>
      <xdr:nvPicPr>
        <xdr:cNvPr id="2" name="图片 1">
          <a:extLst>
            <a:ext uri="{FF2B5EF4-FFF2-40B4-BE49-F238E27FC236}">
              <a16:creationId xmlns:a16="http://schemas.microsoft.com/office/drawing/2014/main" id="{6E9C3B93-3EA5-4F6C-8298-1A9AB452BA9E}"/>
            </a:ext>
          </a:extLst>
        </xdr:cNvPr>
        <xdr:cNvPicPr>
          <a:picLocks noChangeAspect="1"/>
        </xdr:cNvPicPr>
      </xdr:nvPicPr>
      <xdr:blipFill>
        <a:blip xmlns:r="http://schemas.openxmlformats.org/officeDocument/2006/relationships" r:embed="rId1"/>
        <a:stretch>
          <a:fillRect/>
        </a:stretch>
      </xdr:blipFill>
      <xdr:spPr>
        <a:xfrm>
          <a:off x="0" y="0"/>
          <a:ext cx="6507292" cy="7314196"/>
        </a:xfrm>
        <a:prstGeom prst="rect">
          <a:avLst/>
        </a:prstGeom>
      </xdr:spPr>
    </xdr:pic>
    <xdr:clientData/>
  </xdr:twoCellAnchor>
  <xdr:twoCellAnchor editAs="oneCell">
    <xdr:from>
      <xdr:col>0</xdr:col>
      <xdr:colOff>0</xdr:colOff>
      <xdr:row>43</xdr:row>
      <xdr:rowOff>9525</xdr:rowOff>
    </xdr:from>
    <xdr:to>
      <xdr:col>8</xdr:col>
      <xdr:colOff>599314</xdr:colOff>
      <xdr:row>77</xdr:row>
      <xdr:rowOff>37368</xdr:rowOff>
    </xdr:to>
    <xdr:pic>
      <xdr:nvPicPr>
        <xdr:cNvPr id="3" name="图片 2">
          <a:extLst>
            <a:ext uri="{FF2B5EF4-FFF2-40B4-BE49-F238E27FC236}">
              <a16:creationId xmlns:a16="http://schemas.microsoft.com/office/drawing/2014/main" id="{69D80CE9-AA0B-C3F0-D7AE-214613262A65}"/>
            </a:ext>
          </a:extLst>
        </xdr:cNvPr>
        <xdr:cNvPicPr>
          <a:picLocks noChangeAspect="1"/>
        </xdr:cNvPicPr>
      </xdr:nvPicPr>
      <xdr:blipFill>
        <a:blip xmlns:r="http://schemas.openxmlformats.org/officeDocument/2006/relationships" r:embed="rId2"/>
        <a:stretch>
          <a:fillRect/>
        </a:stretch>
      </xdr:blipFill>
      <xdr:spPr>
        <a:xfrm>
          <a:off x="0" y="7381875"/>
          <a:ext cx="6085714" cy="5857143"/>
        </a:xfrm>
        <a:prstGeom prst="rect">
          <a:avLst/>
        </a:prstGeom>
      </xdr:spPr>
    </xdr:pic>
    <xdr:clientData/>
  </xdr:twoCellAnchor>
  <xdr:twoCellAnchor editAs="oneCell">
    <xdr:from>
      <xdr:col>0</xdr:col>
      <xdr:colOff>0</xdr:colOff>
      <xdr:row>82</xdr:row>
      <xdr:rowOff>9525</xdr:rowOff>
    </xdr:from>
    <xdr:to>
      <xdr:col>9</xdr:col>
      <xdr:colOff>399229</xdr:colOff>
      <xdr:row>94</xdr:row>
      <xdr:rowOff>75935</xdr:rowOff>
    </xdr:to>
    <xdr:pic>
      <xdr:nvPicPr>
        <xdr:cNvPr id="4" name="图片 3">
          <a:extLst>
            <a:ext uri="{FF2B5EF4-FFF2-40B4-BE49-F238E27FC236}">
              <a16:creationId xmlns:a16="http://schemas.microsoft.com/office/drawing/2014/main" id="{770B9686-8A34-C30C-796C-ED245D27DD72}"/>
            </a:ext>
          </a:extLst>
        </xdr:cNvPr>
        <xdr:cNvPicPr>
          <a:picLocks noChangeAspect="1"/>
        </xdr:cNvPicPr>
      </xdr:nvPicPr>
      <xdr:blipFill>
        <a:blip xmlns:r="http://schemas.openxmlformats.org/officeDocument/2006/relationships" r:embed="rId3"/>
        <a:stretch>
          <a:fillRect/>
        </a:stretch>
      </xdr:blipFill>
      <xdr:spPr>
        <a:xfrm>
          <a:off x="0" y="14068425"/>
          <a:ext cx="6571429"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hyperlink" Target="https://paimai.jd.com/299275632" TargetMode="External"/><Relationship Id="rId2" Type="http://schemas.openxmlformats.org/officeDocument/2006/relationships/hyperlink" Target="https://paimai.jd.com/307328096" TargetMode="External"/><Relationship Id="rId1" Type="http://schemas.openxmlformats.org/officeDocument/2006/relationships/hyperlink" Target="https://sf-item.taobao.com/sf_item/781597597310.htm?spm=a213w.7398504.paiList.3.39cb2455i6MXZ6&amp;track_id=4f8abd77-d94c-42b2-8558-ac7620a87c6b" TargetMode="External"/><Relationship Id="rId5" Type="http://schemas.openxmlformats.org/officeDocument/2006/relationships/drawing" Target="../drawings/drawing2.xml"/><Relationship Id="rId4" Type="http://schemas.openxmlformats.org/officeDocument/2006/relationships/hyperlink" Target="https://paimai.jd.com/296172926"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估价对象为北京市房地产，为所有。根据《国有土地使用证》[]，估价对象（分摊）出让国有建设用地使用权面积为0平方米，建筑面积为258.36平方米。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估价对象为北京市房地产,属开发建设的，该项目尚在开发建设中。根据《国有土地使用证》[]，估价对象（分摊）出让国有建设用地使用权面积为0平方米，规划建筑面积为258.36平方米。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2024年9月11日（评估专业人员实地查勘之日）</v>
      </c>
    </row>
    <row r="13" spans="1:2">
      <c r="A13" s="1119" t="s">
        <v>529</v>
      </c>
      <c r="B13" s="1120" t="str">
        <f>'预评函-1'!A18</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258.36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1447" t="s">
        <v>385</v>
      </c>
      <c r="C54" s="1445" t="s">
        <v>583</v>
      </c>
    </row>
    <row r="55" spans="1:4">
      <c r="A55" s="3184"/>
      <c r="B55" s="1447" t="s">
        <v>386</v>
      </c>
      <c r="C55" s="1445" t="s">
        <v>584</v>
      </c>
    </row>
    <row r="56" spans="1:4">
      <c r="A56" s="3184"/>
      <c r="B56" s="1447" t="s">
        <v>387</v>
      </c>
      <c r="C56" s="1445" t="s">
        <v>588</v>
      </c>
    </row>
    <row r="57" spans="1:4">
      <c r="A57" s="318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185" t="s">
        <v>2582</v>
      </c>
      <c r="J2" s="3185"/>
      <c r="K2" s="3185"/>
      <c r="L2" s="3185"/>
      <c r="M2" s="3185"/>
      <c r="N2" s="3185"/>
      <c r="O2" s="3185"/>
      <c r="P2" s="3185"/>
      <c r="Q2" s="3185"/>
      <c r="R2" s="3185"/>
    </row>
    <row r="3" spans="1:18">
      <c r="A3" s="2762" t="s">
        <v>2503</v>
      </c>
      <c r="B3" s="2763">
        <f>项目基本情况!D3</f>
        <v>45546</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2.27</v>
      </c>
      <c r="D5" s="2767">
        <f>IF(ISERROR(ROUND(POWER(1+E5,A5-C5)*(POWER(1+E5,C5)-1)/(POWER(1+E5,A5)-1),3)),0,ROUND(POWER(1+E5,A5-C5)*(POWER(1+E5,C5)-1)/(POWER(1+E5,A5)-1),4))</f>
        <v>0.1076</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12.27</v>
      </c>
      <c r="D6" s="2767">
        <f>IF(ISERROR(ROUND(POWER(1+E6,A6-C6)*(POWER(1+E6,C6)-1)/(POWER(1+E6,A6)-1),3)),0,ROUND(POWER(1+E6,A6-C6)*(POWER(1+E6,C6)-1)/(POWER(1+E6,A6)-1),4))</f>
        <v>0.44450000000000001</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32.29</v>
      </c>
      <c r="D7" s="2767">
        <f>IF(ISERROR(ROUND(POWER(1+E7,A7-C7)*(POWER(1+E7,C7)-1)/(POWER(1+E7,A7)-1),3)),0,ROUND(POWER(1+E7,A7-C7)*(POWER(1+E7,C7)-1)/(POWER(1+E7,A7)-1),4))</f>
        <v>0.76749999999999996</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G30" sqref="G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86" t="str">
        <f>IF(B10="北京市","北京市",C10)&amp;F10&amp;IF(结果表!G1="在建","出让国有建设用地使用权及在建建筑物",IF(结果表!G1="土地","出让国有建设用地使用权",))&amp;B9&amp;"预评估"</f>
        <v>北京市房地产市场价值预评估</v>
      </c>
      <c r="C1" s="3187"/>
      <c r="D1" s="3187"/>
      <c r="E1" s="3187"/>
      <c r="F1" s="3187"/>
      <c r="G1" s="3187"/>
      <c r="H1" s="3187"/>
      <c r="I1" s="3188"/>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45546</v>
      </c>
      <c r="C3" s="2185" t="s">
        <v>2171</v>
      </c>
      <c r="D3" s="2184">
        <f>B3</f>
        <v>45546</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3389</v>
      </c>
      <c r="C8" s="2200"/>
      <c r="D8" s="3189" t="s">
        <v>2177</v>
      </c>
      <c r="E8" s="2201"/>
      <c r="F8" s="2202"/>
      <c r="G8" s="2441"/>
      <c r="H8" s="2441"/>
      <c r="I8" s="2441"/>
      <c r="J8" s="2244"/>
      <c r="K8" s="2399"/>
      <c r="L8" s="2398"/>
      <c r="M8" s="2398"/>
      <c r="N8" s="2244"/>
      <c r="O8" s="1670"/>
      <c r="P8" s="2244"/>
      <c r="Q8" s="2244"/>
      <c r="R8" s="2244"/>
    </row>
    <row r="9" spans="1:30" ht="13.5" thickBot="1">
      <c r="A9" s="2203" t="s">
        <v>2178</v>
      </c>
      <c r="B9" s="2204" t="s">
        <v>3390</v>
      </c>
      <c r="C9" s="2205"/>
      <c r="D9" s="3190"/>
      <c r="E9" s="2204"/>
      <c r="F9" s="2206"/>
      <c r="G9" s="2442"/>
      <c r="H9" s="2442"/>
      <c r="I9" s="2442"/>
      <c r="J9" s="2244"/>
      <c r="K9" s="2401"/>
      <c r="L9" s="2398"/>
      <c r="M9" s="2398"/>
      <c r="N9" s="2244"/>
      <c r="O9" s="1670"/>
      <c r="P9" s="2244"/>
      <c r="Q9" s="2244"/>
      <c r="R9" s="2244"/>
    </row>
    <row r="10" spans="1:30" ht="13.5" thickTop="1">
      <c r="A10" s="2207" t="s">
        <v>2179</v>
      </c>
      <c r="B10" s="2208" t="s">
        <v>3391</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3392</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2578</v>
      </c>
      <c r="J12" s="2802"/>
      <c r="K12" s="2398"/>
      <c r="L12" s="2398"/>
      <c r="M12" s="2244"/>
      <c r="N12" s="1670"/>
      <c r="O12" s="2244"/>
      <c r="P12" s="2244"/>
      <c r="Q12" s="2244"/>
      <c r="AD12" s="1618"/>
    </row>
    <row r="13" spans="1:30">
      <c r="A13" s="3121" t="s">
        <v>3334</v>
      </c>
      <c r="B13" s="2217" t="s">
        <v>2190</v>
      </c>
      <c r="C13" s="803">
        <v>63566</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49.36</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196"/>
      <c r="C16" s="3197"/>
      <c r="D16" s="3198"/>
      <c r="E16" s="2221" t="s">
        <v>2194</v>
      </c>
      <c r="F16" s="3199"/>
      <c r="G16" s="3200"/>
      <c r="H16" s="3200"/>
      <c r="I16" s="3201"/>
      <c r="J16" s="2244"/>
      <c r="K16" s="2402"/>
      <c r="L16" s="1670"/>
      <c r="M16" s="1670"/>
      <c r="N16" s="2244"/>
      <c r="O16" s="1670"/>
      <c r="P16" s="2244"/>
      <c r="Q16" s="2244"/>
      <c r="R16" s="2244"/>
    </row>
    <row r="17" spans="1:28">
      <c r="A17" s="305" t="s">
        <v>2195</v>
      </c>
      <c r="B17" s="294" t="s">
        <v>2196</v>
      </c>
      <c r="C17" s="8">
        <f>'数据-汇总表'!E3</f>
        <v>258.36</v>
      </c>
      <c r="D17" s="1256" t="s">
        <v>2197</v>
      </c>
      <c r="E17" s="3202" t="s">
        <v>2198</v>
      </c>
      <c r="F17" s="3203"/>
      <c r="G17" s="3203"/>
      <c r="H17" s="3203"/>
      <c r="I17" s="3204"/>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05" t="s">
        <v>2202</v>
      </c>
      <c r="F18" s="3206"/>
      <c r="G18" s="3206"/>
      <c r="H18" s="3206"/>
      <c r="I18" s="3207"/>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192" t="s">
        <v>2206</v>
      </c>
      <c r="C20" s="3193"/>
      <c r="D20" s="3194" t="s">
        <v>2207</v>
      </c>
      <c r="E20" s="3195"/>
      <c r="F20" s="2429" t="s">
        <v>1056</v>
      </c>
      <c r="G20" s="2441"/>
      <c r="H20" s="2441"/>
      <c r="I20" s="2441"/>
      <c r="J20" s="2244"/>
      <c r="K20" s="319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19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19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09"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0"/>
      <c r="B30" s="294" t="s">
        <v>2218</v>
      </c>
      <c r="C30" s="3211"/>
      <c r="D30" s="3212"/>
      <c r="E30" s="2441"/>
      <c r="F30" s="2441"/>
      <c r="G30" s="2441"/>
      <c r="H30" s="2441"/>
      <c r="I30" s="2441"/>
      <c r="J30" s="2244"/>
      <c r="K30" s="2401"/>
      <c r="L30" s="2398"/>
      <c r="M30" s="2398"/>
      <c r="N30" s="2244"/>
      <c r="O30" s="1670"/>
      <c r="P30" s="2244"/>
      <c r="Q30" s="2244"/>
      <c r="R30" s="2244"/>
      <c r="S30" s="2244"/>
      <c r="T30" s="2244"/>
      <c r="U30" s="2244"/>
      <c r="V30" s="2244"/>
    </row>
    <row r="31" spans="1:28">
      <c r="A31" s="3213"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4"/>
      <c r="V34" s="2244"/>
    </row>
    <row r="35" spans="1:30">
      <c r="A35" s="2235"/>
      <c r="B35" s="3208" t="s">
        <v>2229</v>
      </c>
      <c r="C35" s="3208"/>
      <c r="D35" s="3208"/>
      <c r="E35" s="320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184</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222</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258.36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258.36</v>
      </c>
      <c r="H5" s="13">
        <f t="shared" ref="H5:AT5" si="0">SUM(H13:H656)</f>
        <v>258.36</v>
      </c>
      <c r="I5" s="13">
        <f t="shared" si="0"/>
        <v>258.36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258.36</v>
      </c>
      <c r="BA5" s="15">
        <f t="shared" si="1"/>
        <v>258.36</v>
      </c>
      <c r="BB5" s="15">
        <f t="shared" si="1"/>
        <v>258.36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3395</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3393</v>
      </c>
      <c r="E13" s="13">
        <f>IF($C$3="是",ROUND($A$3*G13/$B$3,2),ROUND($A$3*(G13-AT13)/$B$3,2))</f>
        <v>0</v>
      </c>
      <c r="F13" s="29"/>
      <c r="G13" s="30">
        <f>H13+AC13+AT13</f>
        <v>258.36</v>
      </c>
      <c r="H13" s="17">
        <f>SUMIF(I$12:AB$12,"总值",I13:AB13)</f>
        <v>258.36</v>
      </c>
      <c r="I13" s="1514">
        <v>258.36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258.36</v>
      </c>
      <c r="BA13" s="13">
        <f>SUM(BB13:BK13)</f>
        <v>258.36</v>
      </c>
      <c r="BB13" s="13">
        <f>IF($D13="是",I13-J13,0)</f>
        <v>258.36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M62" sqref="M6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4" t="s">
        <v>1131</v>
      </c>
      <c r="B2" s="3224"/>
      <c r="C2" s="3224"/>
      <c r="D2" s="748" t="s">
        <v>1107</v>
      </c>
      <c r="E2" s="1523" t="s">
        <v>1108</v>
      </c>
      <c r="F2" s="2438"/>
      <c r="G2" s="2431"/>
      <c r="H2" s="2432"/>
      <c r="I2" s="2145" t="s">
        <v>1132</v>
      </c>
      <c r="J2" s="2438"/>
      <c r="K2" s="2438"/>
      <c r="L2" s="2438"/>
      <c r="M2" s="2438"/>
      <c r="N2" s="2439"/>
      <c r="O2" s="2438"/>
      <c r="P2" s="2438"/>
    </row>
    <row r="3" spans="1:16" ht="15.75" thickBot="1">
      <c r="A3" s="3225" t="s">
        <v>1105</v>
      </c>
      <c r="B3" s="3225"/>
      <c r="C3" s="3225"/>
      <c r="D3" s="41">
        <f>'数据-基础表'!AY6</f>
        <v>0</v>
      </c>
      <c r="E3" s="41">
        <f>'数据-基础表'!AZ5</f>
        <v>258.36</v>
      </c>
      <c r="F3" s="2438"/>
      <c r="G3" s="42"/>
      <c r="H3" s="43" t="s">
        <v>1106</v>
      </c>
      <c r="I3" s="802" t="e">
        <f>ROUND('数据-基础表'!B3/'数据-基础表'!A3,2)</f>
        <v>#DIV/0!</v>
      </c>
      <c r="J3" s="2438"/>
      <c r="K3" s="2438"/>
      <c r="L3" s="2438"/>
      <c r="M3" s="2438"/>
      <c r="N3" s="2439"/>
      <c r="O3" s="2438"/>
      <c r="P3" s="2438"/>
    </row>
    <row r="4" spans="1:16" ht="15">
      <c r="A4" s="3226"/>
      <c r="B4" s="3227"/>
      <c r="C4" s="322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29" t="s">
        <v>1110</v>
      </c>
      <c r="C5" s="322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29" t="s">
        <v>1111</v>
      </c>
      <c r="C6" s="3229"/>
      <c r="D6" s="43">
        <f>ROUND($D$3*E6/$E$3,2)</f>
        <v>0</v>
      </c>
      <c r="E6" s="44">
        <f>E3-E5</f>
        <v>258.36</v>
      </c>
      <c r="F6" s="2438"/>
      <c r="G6" s="1529" t="s">
        <v>1112</v>
      </c>
      <c r="H6" s="45" t="s">
        <v>1113</v>
      </c>
      <c r="I6" s="2434" t="e">
        <f>ROUND(F31/D31,2)</f>
        <v>#DIV/0!</v>
      </c>
      <c r="J6" s="2438"/>
      <c r="K6" s="2438"/>
      <c r="L6" s="2438"/>
      <c r="M6" s="2438"/>
      <c r="N6" s="2438"/>
      <c r="O6" s="2438"/>
      <c r="P6" s="2438"/>
    </row>
    <row r="7" spans="1:16" ht="15.75" thickBot="1">
      <c r="A7" s="3221"/>
      <c r="B7" s="3222"/>
      <c r="C7" s="3223"/>
      <c r="D7" s="1524" t="s">
        <v>1107</v>
      </c>
      <c r="E7" s="1528" t="s">
        <v>1114</v>
      </c>
      <c r="F7" s="2438"/>
      <c r="G7" s="2435" t="s">
        <v>1115</v>
      </c>
      <c r="H7" s="95"/>
      <c r="I7" s="2436">
        <v>2.96</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258.36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258.36</v>
      </c>
      <c r="F16" s="2438"/>
      <c r="G16" s="2438"/>
      <c r="H16" s="1531" t="s">
        <v>1135</v>
      </c>
      <c r="I16" s="1532"/>
      <c r="J16" s="1071"/>
      <c r="K16" s="3218" t="s">
        <v>1135</v>
      </c>
      <c r="L16" s="3219"/>
      <c r="M16" s="3219"/>
      <c r="N16" s="3219"/>
      <c r="O16" s="3219"/>
      <c r="P16" s="3220"/>
    </row>
    <row r="17" spans="1:19" ht="15">
      <c r="A17" s="1533" t="s">
        <v>1136</v>
      </c>
      <c r="B17" s="1534" t="s">
        <v>1137</v>
      </c>
      <c r="C17" s="1535" t="s">
        <v>1138</v>
      </c>
      <c r="D17" s="1536" t="s">
        <v>1126</v>
      </c>
      <c r="E17" s="1537" t="s">
        <v>1127</v>
      </c>
      <c r="F17" s="1538"/>
      <c r="G17" s="1539"/>
      <c r="H17" s="1540" t="s">
        <v>1139</v>
      </c>
      <c r="I17" s="1541" t="s">
        <v>1124</v>
      </c>
      <c r="J17" s="1071"/>
      <c r="K17" s="3215" t="s">
        <v>1140</v>
      </c>
      <c r="L17" s="3216"/>
      <c r="M17" s="3217"/>
      <c r="N17" s="3215" t="s">
        <v>1141</v>
      </c>
      <c r="O17" s="3216"/>
      <c r="P17" s="321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3397</v>
      </c>
      <c r="D19" s="43">
        <f>ROUND($D$3*E19/$E$3,2)</f>
        <v>0</v>
      </c>
      <c r="E19" s="51">
        <f t="shared" ref="E19:E26" si="1">SUM(F19:G19)</f>
        <v>258.36</v>
      </c>
      <c r="F19" s="2557">
        <f>'数据-基础表'!I13</f>
        <v>258.36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258.36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258.36</v>
      </c>
      <c r="F27" s="1072">
        <f>IF(SUM(F19:F26)=E8,SUM(F19:F26),"地上面积有误")</f>
        <v>258.36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258.36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258.36</v>
      </c>
      <c r="F31" s="644">
        <f>F27+F30</f>
        <v>258.36</v>
      </c>
      <c r="G31" s="645">
        <f>G27+G30</f>
        <v>0</v>
      </c>
      <c r="H31" s="2438"/>
      <c r="I31" s="2438"/>
      <c r="J31" s="2438"/>
      <c r="K31" s="2438"/>
      <c r="L31" s="2438"/>
      <c r="M31" s="2438"/>
      <c r="N31" s="2438"/>
      <c r="O31" s="2438"/>
      <c r="P31" s="2438"/>
    </row>
    <row r="32" spans="1:19">
      <c r="A32" s="1526"/>
      <c r="B32" s="1526" t="s">
        <v>1159</v>
      </c>
      <c r="C32" s="1526"/>
      <c r="D32" s="1526"/>
      <c r="E32" s="990">
        <f>SUMIF(C19:C26,"*住宅*",E19:E26)</f>
        <v>258.36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45546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3396</v>
      </c>
      <c r="D6" s="805">
        <f>SUMIF(项目基本情况!C$12:I$12,C6,项目基本情况!C$14:I$14)</f>
        <v>70</v>
      </c>
      <c r="E6" s="804">
        <f>IF(B6="","",SUMIF(项目基本情况!C$12:I$12,C6,项目基本情况!C$13:I$13))</f>
        <v>63566</v>
      </c>
      <c r="F6" s="61">
        <f>SUMIF(项目基本情况!C$12:I$12,C6,项目基本情况!C$15:I$15)</f>
        <v>49.36</v>
      </c>
      <c r="G6" s="62">
        <f>IF(ISERROR(ROUND(POWER(1+H6,D6-F6)*(POWER(1+H6,F6)-1)/(POWER(1+H6,D6)-1),3)),0,ROUND(POWER(1+H6,D6-F6)*(POWER(1+H6,F6)-1)/(POWER(1+H6,D6)-1),3))</f>
        <v>0.94099999999999995</v>
      </c>
      <c r="H6" s="691">
        <v>0.05</v>
      </c>
      <c r="I6" s="691">
        <v>5.5E-2</v>
      </c>
      <c r="J6" s="63">
        <v>0.06</v>
      </c>
      <c r="K6" s="970">
        <f>SUMIF('数据-汇总表'!C$19:C$33,A6,'数据-汇总表'!E$19:E$33)</f>
        <v>258.36</v>
      </c>
      <c r="L6" s="692">
        <v>4000</v>
      </c>
      <c r="M6" s="64">
        <f t="shared" ref="M6:M14" si="0">ROUND(K6*L6/10000,0)</f>
        <v>103</v>
      </c>
      <c r="N6" s="690">
        <v>0.76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35000</v>
      </c>
      <c r="V6" s="67">
        <v>0.02</v>
      </c>
      <c r="W6" s="67">
        <v>0.1</v>
      </c>
      <c r="X6" s="979"/>
      <c r="Y6" s="68">
        <f>N6</f>
        <v>0.76</v>
      </c>
      <c r="Z6" s="69"/>
      <c r="AA6" s="63"/>
      <c r="AB6" s="63"/>
      <c r="AC6" s="979"/>
      <c r="AD6" s="70"/>
      <c r="AE6" s="980">
        <f ca="1">IF(AN6="",0,SUMIF(INDIRECT("'"&amp;AN6&amp;"'"&amp;"!E:E"),$AE$5,INDIRECT("'"&amp;AN6&amp;"'"&amp;"!F:F")))</f>
        <v>49.36</v>
      </c>
      <c r="AF6" s="74"/>
      <c r="AG6" s="130">
        <f>IF(AF6="",0,AE6-AF6)</f>
        <v>0</v>
      </c>
      <c r="AH6" s="71">
        <v>1</v>
      </c>
      <c r="AI6" s="73">
        <v>12</v>
      </c>
      <c r="AJ6" s="74"/>
      <c r="AK6" s="75">
        <v>2E-3</v>
      </c>
      <c r="AL6" s="76">
        <v>1E-3</v>
      </c>
      <c r="AM6" s="77">
        <v>0.01</v>
      </c>
      <c r="AN6" s="1589" t="s">
        <v>3399</v>
      </c>
      <c r="AO6" s="50">
        <f ca="1">SUMIF(INDIRECT("'"&amp;AN6&amp;"'"&amp;"!A:A"),"总价",INDIRECT("'"&amp;AN6&amp;"'"&amp;"!B:B"))</f>
        <v>839.10559999999998</v>
      </c>
      <c r="AP6" s="1590">
        <f>IF(C6="住宅",K6*L6,0)</f>
        <v>1033440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0.94099999999999995</v>
      </c>
      <c r="H16" s="84">
        <f>ROUND(SUMPRODUCT(H6:H13,K6:K13)/SUMPRODUCT((H6:H13&gt;0)*(K6:K13)),3)</f>
        <v>0.05</v>
      </c>
      <c r="I16" s="85"/>
      <c r="J16" s="85"/>
      <c r="K16" s="86">
        <f>SUM(K6:K15)</f>
        <v>258.36</v>
      </c>
      <c r="L16" s="87">
        <f>ROUND(M16*10000/SUM(K6:K14),0)</f>
        <v>3987</v>
      </c>
      <c r="M16" s="87">
        <f>SUM(M6:M14)</f>
        <v>103</v>
      </c>
      <c r="N16" s="88">
        <f>ROUND(SUMPRODUCT(M6:M14,N6:N14)/M16,3)</f>
        <v>0.76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v>2007</v>
      </c>
      <c r="O20" s="2448">
        <v>2024</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f>ROUND(1-(O20-N20)/60,2)</f>
        <v>0.72</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v>0.8</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 (元)'!C8</f>
        <v>41338</v>
      </c>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c r="C33" s="2564" t="s">
        <v>3382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3383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3.3500000000000002E-2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0</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0</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30" t="s">
        <v>2286</v>
      </c>
      <c r="B1" s="3231"/>
      <c r="C1" s="3231"/>
      <c r="D1" s="3231"/>
      <c r="E1" s="3231"/>
      <c r="F1" s="3231"/>
      <c r="G1" s="323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P19" sqref="P1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258.36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45546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2281.6804999999999</v>
      </c>
      <c r="C5" s="2299" t="e">
        <f ca="1">IF(B5=D14,结果表!H102,ROUND(B5*10000/$B$1,0))</f>
        <v>#REF!</v>
      </c>
      <c r="D5" s="2299" t="e">
        <f ca="1">ROUND(B5*10000/$B$2,0)</f>
        <v>#DIV/0!</v>
      </c>
      <c r="E5" s="2461"/>
      <c r="F5" s="2462"/>
      <c r="G5" s="2462"/>
      <c r="H5" s="2462"/>
      <c r="I5" s="2462"/>
      <c r="J5" s="2462"/>
      <c r="K5" s="2462"/>
    </row>
    <row r="6" spans="1:11" ht="16.5">
      <c r="A6" s="2299" t="s">
        <v>656</v>
      </c>
      <c r="B6" s="2299">
        <f>SUM(G14:G23)</f>
        <v>0</v>
      </c>
      <c r="C6" s="2299" t="e">
        <f ca="1">IF(B6=G14,结果表!H108,ROUND(B6*10000/$B$1,0))</f>
        <v>#REF!</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258.36</v>
      </c>
      <c r="C14" s="2305"/>
      <c r="D14" s="2305">
        <f ca="1">ROUND(B14*E14/10000,4)</f>
        <v>2281.6804999999999</v>
      </c>
      <c r="E14" s="2305">
        <f ca="1">结果表!G20</f>
        <v>88314</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9" t="str">
        <f>项目基本情况!S2</f>
        <v>北京市房地产</v>
      </c>
      <c r="B2" s="3300"/>
      <c r="C2" s="3300"/>
      <c r="D2" s="3300"/>
      <c r="E2" s="3300"/>
      <c r="F2" s="3300"/>
      <c r="G2" s="3300"/>
      <c r="H2" s="3300"/>
      <c r="I2" s="3301"/>
    </row>
    <row r="3" spans="1:12" ht="12.75">
      <c r="A3" s="3303" t="s">
        <v>1264</v>
      </c>
      <c r="B3" s="3304"/>
      <c r="C3" s="3304"/>
      <c r="D3" s="3304"/>
      <c r="E3" s="3304"/>
      <c r="F3" s="3304"/>
      <c r="G3" s="3304"/>
      <c r="H3" s="3304"/>
      <c r="I3" s="3304"/>
    </row>
    <row r="4" spans="1:12" ht="14.25">
      <c r="A4" s="1624" t="s">
        <v>1265</v>
      </c>
      <c r="B4" s="1625" t="s">
        <v>1266</v>
      </c>
      <c r="C4" s="1626" t="s">
        <v>3427</v>
      </c>
      <c r="D4" s="1626" t="s">
        <v>3426</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47" t="s">
        <v>1268</v>
      </c>
      <c r="B5" s="3302">
        <v>25</v>
      </c>
      <c r="C5" s="3305"/>
      <c r="D5" s="3293"/>
      <c r="E5" s="123" t="s">
        <v>1269</v>
      </c>
      <c r="F5" s="1627"/>
      <c r="G5" s="1627"/>
      <c r="H5" s="1627"/>
      <c r="I5" s="1281"/>
    </row>
    <row r="6" spans="1:12" ht="12.75">
      <c r="A6" s="3247"/>
      <c r="B6" s="3302"/>
      <c r="C6" s="3307"/>
      <c r="D6" s="3293"/>
      <c r="E6" s="123" t="s">
        <v>1270</v>
      </c>
      <c r="F6" s="1627"/>
      <c r="G6" s="1627"/>
      <c r="H6" s="1627"/>
      <c r="I6" s="1281"/>
    </row>
    <row r="7" spans="1:12" ht="12.75">
      <c r="A7" s="3247"/>
      <c r="B7" s="3302"/>
      <c r="C7" s="3306"/>
      <c r="D7" s="3293"/>
      <c r="E7" s="123" t="s">
        <v>1271</v>
      </c>
      <c r="F7" s="1627"/>
      <c r="G7" s="1627"/>
      <c r="H7" s="1627"/>
      <c r="I7" s="1281"/>
    </row>
    <row r="8" spans="1:12" ht="12.75">
      <c r="A8" s="3247" t="s">
        <v>1272</v>
      </c>
      <c r="B8" s="3302">
        <v>15</v>
      </c>
      <c r="C8" s="3305"/>
      <c r="D8" s="3293"/>
      <c r="E8" s="123" t="s">
        <v>1273</v>
      </c>
      <c r="F8" s="1627"/>
      <c r="G8" s="1627"/>
      <c r="H8" s="1627"/>
      <c r="I8" s="1281"/>
    </row>
    <row r="9" spans="1:12" ht="12.75">
      <c r="A9" s="3247"/>
      <c r="B9" s="3302"/>
      <c r="C9" s="3306"/>
      <c r="D9" s="3293"/>
      <c r="E9" s="123" t="s">
        <v>1274</v>
      </c>
      <c r="F9" s="1627"/>
      <c r="G9" s="1627"/>
      <c r="H9" s="1627"/>
      <c r="I9" s="1281"/>
    </row>
    <row r="10" spans="1:12" ht="12.75">
      <c r="A10" s="3247" t="s">
        <v>1275</v>
      </c>
      <c r="B10" s="3302">
        <v>15</v>
      </c>
      <c r="C10" s="3305"/>
      <c r="D10" s="3293"/>
      <c r="E10" s="123" t="s">
        <v>1276</v>
      </c>
      <c r="F10" s="1627"/>
      <c r="G10" s="1627"/>
      <c r="H10" s="1627"/>
      <c r="I10" s="1281"/>
    </row>
    <row r="11" spans="1:12" ht="12.75">
      <c r="A11" s="3247"/>
      <c r="B11" s="3302"/>
      <c r="C11" s="3306"/>
      <c r="D11" s="3293"/>
      <c r="E11" s="123" t="s">
        <v>1277</v>
      </c>
      <c r="F11" s="1627"/>
      <c r="G11" s="1627"/>
      <c r="H11" s="1627"/>
      <c r="I11" s="1281"/>
    </row>
    <row r="12" spans="1:12" ht="12.75">
      <c r="A12" s="3247" t="s">
        <v>1278</v>
      </c>
      <c r="B12" s="3302">
        <v>15</v>
      </c>
      <c r="C12" s="3305"/>
      <c r="D12" s="3293"/>
      <c r="E12" s="123" t="s">
        <v>1279</v>
      </c>
      <c r="F12" s="1627"/>
      <c r="G12" s="1627"/>
      <c r="H12" s="1627"/>
      <c r="I12" s="1281"/>
    </row>
    <row r="13" spans="1:12" ht="12.75">
      <c r="A13" s="3247"/>
      <c r="B13" s="3302"/>
      <c r="C13" s="3306"/>
      <c r="D13" s="3293"/>
      <c r="E13" s="123" t="s">
        <v>1280</v>
      </c>
      <c r="F13" s="1627"/>
      <c r="G13" s="1627"/>
      <c r="H13" s="1627"/>
      <c r="I13" s="1281"/>
    </row>
    <row r="14" spans="1:12" ht="12.75">
      <c r="A14" s="3247" t="s">
        <v>1281</v>
      </c>
      <c r="B14" s="3302">
        <v>30</v>
      </c>
      <c r="C14" s="3305">
        <v>2</v>
      </c>
      <c r="D14" s="3293">
        <f>10-C14</f>
        <v>8</v>
      </c>
      <c r="E14" s="123" t="s">
        <v>1282</v>
      </c>
      <c r="F14" s="1627"/>
      <c r="G14" s="1627"/>
      <c r="H14" s="1627"/>
      <c r="I14" s="1281"/>
    </row>
    <row r="15" spans="1:12" ht="12.75">
      <c r="A15" s="3247"/>
      <c r="B15" s="3302"/>
      <c r="C15" s="3307"/>
      <c r="D15" s="3293"/>
      <c r="E15" s="123" t="s">
        <v>1283</v>
      </c>
      <c r="F15" s="1627"/>
      <c r="G15" s="1627"/>
      <c r="H15" s="1627"/>
      <c r="I15" s="1281"/>
    </row>
    <row r="16" spans="1:12" ht="12.75">
      <c r="A16" s="3247"/>
      <c r="B16" s="3302"/>
      <c r="C16" s="3306"/>
      <c r="D16" s="3293"/>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24" t="s">
        <v>2131</v>
      </c>
      <c r="F18" s="3325"/>
      <c r="G18" s="3325"/>
      <c r="H18" s="3325"/>
      <c r="I18" s="3325"/>
      <c r="K18" s="294" t="s">
        <v>1289</v>
      </c>
      <c r="L18" s="294">
        <f>IF(C1="",'数据-汇总表'!E3,SUMIF(项目类型,C1,'数据-汇总表'!E17:E26)+SUMIF(项目类型,C1,'数据-汇总表'!I17:I26))</f>
        <v>258.36</v>
      </c>
      <c r="M18" s="294">
        <f>IF(C1="",'数据-汇总表'!E3,SUMIF(项目类型,C1,'数据-汇总表'!E17:E26))</f>
        <v>258.36</v>
      </c>
    </row>
    <row r="19" spans="1:36" ht="15">
      <c r="A19" s="1630" t="s">
        <v>1290</v>
      </c>
      <c r="B19" s="1631" t="s">
        <v>1291</v>
      </c>
      <c r="C19" s="126">
        <f ca="1">SUMIF(INDIRECT("'"&amp;C4&amp;"'"&amp;"!A:A"),结果表!B19,INDIRECT("'"&amp;C4&amp;"'"&amp;"!B:B"))</f>
        <v>1166.3375000000001</v>
      </c>
      <c r="D19" s="127">
        <f ca="1">SUMIF(INDIRECT("'"&amp;D4&amp;"'"&amp;"!A:A"),结果表!B19,INDIRECT("'"&amp;D4&amp;"'"&amp;"!B:B"))</f>
        <v>2560.5284999999999</v>
      </c>
      <c r="E19" s="1630" t="s">
        <v>1292</v>
      </c>
      <c r="F19" s="1631" t="s">
        <v>1291</v>
      </c>
      <c r="G19" s="128">
        <f ca="1">ROUND(C19*$C$18+D19*$D$18,0)</f>
        <v>2282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45144</v>
      </c>
      <c r="D20" s="130">
        <f ca="1">SUMIF(INDIRECT("'"&amp;D4&amp;"'"&amp;"!A:A"),结果表!B20,INDIRECT("'"&amp;D4&amp;"'"&amp;"!B:B"))</f>
        <v>99107</v>
      </c>
      <c r="E20" s="1633"/>
      <c r="F20" s="43" t="s">
        <v>1295</v>
      </c>
      <c r="G20" s="131">
        <f ca="1">ROUND(C20*$C$18+D20*$D$18,0)</f>
        <v>88314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1.1953581188978317</v>
      </c>
      <c r="E22" s="121"/>
      <c r="F22" s="121"/>
      <c r="G22" s="121"/>
      <c r="H22" s="121"/>
      <c r="I22" s="121"/>
    </row>
    <row r="23" spans="1:36" ht="13.5" thickBot="1">
      <c r="A23" s="646"/>
      <c r="B23" s="646"/>
      <c r="C23" s="646"/>
      <c r="D23" s="646"/>
      <c r="E23" s="121"/>
      <c r="F23" s="121"/>
      <c r="G23" s="121"/>
      <c r="H23" s="121"/>
      <c r="I23" s="121"/>
    </row>
    <row r="24" spans="1:36" ht="14.25">
      <c r="A24" s="3317" t="s">
        <v>1299</v>
      </c>
      <c r="B24" s="1631" t="s">
        <v>1291</v>
      </c>
      <c r="C24" s="128">
        <f>IF(B30=0,0,D30)</f>
        <v>0</v>
      </c>
      <c r="D24" s="1637"/>
      <c r="E24" s="121"/>
      <c r="F24" s="121"/>
      <c r="G24" s="121"/>
      <c r="H24" s="121"/>
      <c r="I24" s="121"/>
    </row>
    <row r="25" spans="1:36" ht="14.25">
      <c r="A25" s="331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88314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4" t="s">
        <v>1312</v>
      </c>
      <c r="B36" s="1652" t="s">
        <v>1313</v>
      </c>
      <c r="C36" s="137"/>
      <c r="D36" s="1653"/>
      <c r="E36" s="1567"/>
      <c r="F36" s="1654"/>
      <c r="G36" s="121"/>
      <c r="H36" s="121"/>
      <c r="I36" s="121"/>
    </row>
    <row r="37" spans="1:15" ht="15.75" thickBot="1">
      <c r="A37" s="3295"/>
      <c r="B37" s="1555" t="s">
        <v>1314</v>
      </c>
      <c r="C37" s="139"/>
      <c r="D37" s="1071"/>
      <c r="E37" s="1071"/>
      <c r="F37" s="1654"/>
      <c r="G37" s="121"/>
      <c r="H37" s="121"/>
      <c r="I37" s="121"/>
    </row>
    <row r="38" spans="1:15" ht="15.75" thickBot="1">
      <c r="A38" s="329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4" t="s">
        <v>1326</v>
      </c>
      <c r="B45" s="3315"/>
      <c r="C45" s="3316"/>
      <c r="D45" s="147" t="e">
        <f ca="1">ROUND(H101*F45,0)</f>
        <v>#REF!</v>
      </c>
      <c r="E45" s="148" t="s">
        <v>1327</v>
      </c>
      <c r="F45" s="149">
        <v>1</v>
      </c>
      <c r="G45" s="150" t="s">
        <v>1328</v>
      </c>
      <c r="H45" s="121"/>
      <c r="I45" s="121"/>
      <c r="J45" s="3234" t="s">
        <v>1329</v>
      </c>
      <c r="K45" s="3234"/>
      <c r="L45" s="3234"/>
      <c r="M45" s="3234"/>
      <c r="N45" s="3234"/>
      <c r="O45" s="3234"/>
    </row>
    <row r="46" spans="1:15" ht="14.25" customHeight="1">
      <c r="A46" s="3311" t="s">
        <v>1330</v>
      </c>
      <c r="B46" s="3312"/>
      <c r="C46" s="3312"/>
      <c r="D46" s="3312"/>
      <c r="E46" s="3312"/>
      <c r="F46" s="3312"/>
      <c r="G46" s="3313"/>
      <c r="H46" s="1668"/>
      <c r="I46" s="151"/>
      <c r="J46" s="2309">
        <v>1</v>
      </c>
      <c r="K46" s="3235" t="s">
        <v>1331</v>
      </c>
      <c r="L46" s="3235"/>
      <c r="M46" s="3236"/>
      <c r="N46" s="3236"/>
      <c r="O46" s="3236"/>
    </row>
    <row r="47" spans="1:15" ht="12" customHeight="1">
      <c r="A47" s="152" t="s">
        <v>1332</v>
      </c>
      <c r="B47" s="153"/>
      <c r="C47" s="154"/>
      <c r="D47" s="1024" t="s">
        <v>1333</v>
      </c>
      <c r="E47" s="294" t="s">
        <v>1334</v>
      </c>
      <c r="F47" s="155" t="s">
        <v>1335</v>
      </c>
      <c r="G47" s="2332" t="s">
        <v>1336</v>
      </c>
      <c r="H47" s="2333"/>
      <c r="I47" s="151"/>
      <c r="J47" s="2309">
        <v>2</v>
      </c>
      <c r="K47" s="3235" t="s">
        <v>1337</v>
      </c>
      <c r="L47" s="3235"/>
      <c r="M47" s="3237">
        <f>'数据-取费表'!B2</f>
        <v>45546</v>
      </c>
      <c r="N47" s="3237"/>
      <c r="O47" s="3237"/>
    </row>
    <row r="48" spans="1:15" ht="25.5">
      <c r="A48" s="3297" t="s">
        <v>1338</v>
      </c>
      <c r="B48" s="3298"/>
      <c r="C48" s="3298"/>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35" t="s">
        <v>1340</v>
      </c>
      <c r="L48" s="3235"/>
      <c r="M48" s="3238" t="e">
        <f ca="1">H101</f>
        <v>#REF!</v>
      </c>
      <c r="N48" s="3238"/>
      <c r="O48" s="3238"/>
    </row>
    <row r="49" spans="1:35" ht="25.5" customHeight="1">
      <c r="A49" s="2151" t="s">
        <v>1341</v>
      </c>
      <c r="B49" s="3283" t="s">
        <v>1342</v>
      </c>
      <c r="C49" s="3283"/>
      <c r="D49" s="1478">
        <v>0</v>
      </c>
      <c r="E49" s="316" t="s">
        <v>1343</v>
      </c>
      <c r="F49" s="2232" t="s">
        <v>28</v>
      </c>
      <c r="G49" s="3266"/>
      <c r="H49" s="2133" t="s">
        <v>2134</v>
      </c>
      <c r="I49" s="2134"/>
      <c r="J49" s="2309">
        <v>4</v>
      </c>
      <c r="K49" s="3235" t="str">
        <f>IF(项目基本情况!E8="房地产抵押价值","房地产抵押价值","抵押担保权已注销时的房地产抵押价值")</f>
        <v>抵押担保权已注销时的房地产抵押价值</v>
      </c>
      <c r="L49" s="3235"/>
      <c r="M49" s="3238" t="str">
        <f>IF(项目基本情况!E8="房地产抵押价值",H107,H109)</f>
        <v>——</v>
      </c>
      <c r="N49" s="3238"/>
      <c r="O49" s="3238"/>
    </row>
    <row r="50" spans="1:35" ht="25.5" customHeight="1">
      <c r="A50" s="2337"/>
      <c r="B50" s="3283" t="s">
        <v>1344</v>
      </c>
      <c r="C50" s="3283"/>
      <c r="D50" s="2188"/>
      <c r="E50" s="323"/>
      <c r="F50" s="2232"/>
      <c r="G50" s="3267"/>
      <c r="H50" s="2135" t="s">
        <v>2135</v>
      </c>
      <c r="I50" s="2134"/>
      <c r="J50" s="3234" t="s">
        <v>1345</v>
      </c>
      <c r="K50" s="3234"/>
      <c r="L50" s="3234"/>
      <c r="M50" s="3234"/>
      <c r="N50" s="3234"/>
      <c r="O50" s="3234"/>
    </row>
    <row r="51" spans="1:35" ht="20.45" customHeight="1">
      <c r="A51" s="2338"/>
      <c r="B51" s="3283" t="s">
        <v>1346</v>
      </c>
      <c r="C51" s="3283"/>
      <c r="D51" s="1024"/>
      <c r="E51" s="319"/>
      <c r="F51" s="2232"/>
      <c r="G51" s="3268"/>
      <c r="H51" s="2135" t="s">
        <v>2136</v>
      </c>
      <c r="I51" s="2134"/>
      <c r="J51" s="2310" t="s">
        <v>1347</v>
      </c>
      <c r="K51" s="3235" t="s">
        <v>1348</v>
      </c>
      <c r="L51" s="3235"/>
      <c r="M51" s="2310" t="s">
        <v>1349</v>
      </c>
      <c r="N51" s="2310" t="s">
        <v>1350</v>
      </c>
      <c r="O51" s="2310" t="s">
        <v>1351</v>
      </c>
    </row>
    <row r="52" spans="1:35" ht="24" customHeight="1">
      <c r="A52" s="2152" t="s">
        <v>1352</v>
      </c>
      <c r="B52" s="3283" t="s">
        <v>1353</v>
      </c>
      <c r="C52" s="3283"/>
      <c r="D52" s="1024" t="e">
        <f ca="1">ROUND(D45*'数据-取费表'!B41/(1+'数据-取费表'!C42),0)</f>
        <v>#REF!</v>
      </c>
      <c r="E52" s="1256" t="s">
        <v>1354</v>
      </c>
      <c r="F52" s="2339">
        <f>'数据-取费表'!B41</f>
        <v>0</v>
      </c>
      <c r="G52" s="2340"/>
      <c r="H52" s="2330"/>
      <c r="I52" s="1669"/>
      <c r="J52" s="2309">
        <v>1</v>
      </c>
      <c r="K52" s="3260" t="s">
        <v>1355</v>
      </c>
      <c r="L52" s="3260"/>
      <c r="M52" s="2311" t="b">
        <f>D48</f>
        <v>0</v>
      </c>
      <c r="N52" s="2309" t="str">
        <f>E48</f>
        <v>销售额×税（费）率</v>
      </c>
      <c r="O52" s="2312">
        <f>F48</f>
        <v>0</v>
      </c>
    </row>
    <row r="53" spans="1:35" ht="12" customHeight="1">
      <c r="A53" s="2152" t="s">
        <v>1356</v>
      </c>
      <c r="B53" s="3284" t="s">
        <v>2291</v>
      </c>
      <c r="C53" s="3285"/>
      <c r="D53" s="1024" t="e">
        <f ca="1">ROUND(D45*'数据-取费表'!B41/(1+'数据-取费表'!C42),0)</f>
        <v>#REF!</v>
      </c>
      <c r="E53" s="1256" t="s">
        <v>1354</v>
      </c>
      <c r="F53" s="2339">
        <f>'数据-取费表'!B41</f>
        <v>0</v>
      </c>
      <c r="G53" s="2340"/>
      <c r="H53" s="2330"/>
      <c r="I53" s="1669"/>
      <c r="J53" s="2309">
        <v>2</v>
      </c>
      <c r="K53" s="3260" t="s">
        <v>1357</v>
      </c>
      <c r="L53" s="3260"/>
      <c r="M53" s="2311" t="e">
        <f t="shared" ref="M53:O54" ca="1" si="0">D55</f>
        <v>#REF!</v>
      </c>
      <c r="N53" s="2309" t="str">
        <f t="shared" si="0"/>
        <v>销售额×税（费）率</v>
      </c>
      <c r="O53" s="2312" t="str">
        <f t="shared" si="0"/>
        <v>免征</v>
      </c>
    </row>
    <row r="54" spans="1:35" ht="12" customHeight="1">
      <c r="A54" s="2152" t="s">
        <v>1358</v>
      </c>
      <c r="B54" s="3284" t="s">
        <v>2292</v>
      </c>
      <c r="C54" s="3285"/>
      <c r="D54" s="1024" t="e">
        <f ca="1">C68</f>
        <v>#REF!</v>
      </c>
      <c r="E54" s="319" t="s">
        <v>1359</v>
      </c>
      <c r="F54" s="2339">
        <f>'数据-取费表'!B41</f>
        <v>0</v>
      </c>
      <c r="G54" s="2340"/>
      <c r="H54" s="2341"/>
      <c r="I54" s="1669"/>
      <c r="J54" s="2309">
        <v>3</v>
      </c>
      <c r="K54" s="3260" t="s">
        <v>1360</v>
      </c>
      <c r="L54" s="3260"/>
      <c r="M54" s="2311" t="e">
        <f t="shared" ca="1" si="0"/>
        <v>#REF!</v>
      </c>
      <c r="N54" s="2309" t="str">
        <f t="shared" si="0"/>
        <v>增值额×税（费）率</v>
      </c>
      <c r="O54" s="2313" t="str">
        <f t="shared" si="0"/>
        <v>免征</v>
      </c>
    </row>
    <row r="55" spans="1:35" ht="24" customHeight="1">
      <c r="A55" s="3320" t="s">
        <v>1361</v>
      </c>
      <c r="B55" s="3298"/>
      <c r="C55" s="3298"/>
      <c r="D55" s="12" t="e">
        <f ca="1">IF(H55="个人住宅",0,ROUND(D45*I55,0))</f>
        <v>#REF!</v>
      </c>
      <c r="E55" s="1256" t="s">
        <v>1362</v>
      </c>
      <c r="F55" s="2339" t="str">
        <f>IF(H55="正常",I55,"免征")</f>
        <v>免征</v>
      </c>
      <c r="G55" s="2340"/>
      <c r="H55" s="2336"/>
      <c r="I55" s="157">
        <f>'数据-取费表'!B49</f>
        <v>0</v>
      </c>
      <c r="J55" s="2309">
        <f>IF(H59="非个人房产","",4)</f>
        <v>4</v>
      </c>
      <c r="K55" s="3260" t="str">
        <f>IF(H59="非个人房产","——","个人所得税")</f>
        <v>个人所得税</v>
      </c>
      <c r="L55" s="3260"/>
      <c r="M55" s="2314" t="e">
        <f ca="1">D59</f>
        <v>#REF!</v>
      </c>
      <c r="N55" s="1882" t="str">
        <f>E59</f>
        <v>差额计税</v>
      </c>
      <c r="O55" s="2315">
        <f>F59</f>
        <v>0.01</v>
      </c>
    </row>
    <row r="56" spans="1:35" ht="24.75">
      <c r="A56" s="3320" t="s">
        <v>1363</v>
      </c>
      <c r="B56" s="3298"/>
      <c r="C56" s="3298"/>
      <c r="D56" s="12" t="e">
        <f ca="1">IF(H56="个人住宅",D57,D58)</f>
        <v>#REF!</v>
      </c>
      <c r="E56" s="1256" t="s">
        <v>1364</v>
      </c>
      <c r="F56" s="2339" t="str">
        <f>IF(H56="正常",F58,"免征")</f>
        <v>免征</v>
      </c>
      <c r="G56" s="2342" t="s">
        <v>1365</v>
      </c>
      <c r="H56" s="2343"/>
      <c r="I56" s="1670"/>
      <c r="J56" s="2309" t="str">
        <f>IF(项目基本情况!K6="上海银行",IF(J55="",4,J55+1),"")</f>
        <v/>
      </c>
      <c r="K56" s="3241" t="str">
        <f>IF(项目基本情况!K6="上海银行","其他处置费用","")</f>
        <v/>
      </c>
      <c r="L56" s="3242"/>
      <c r="M56" s="2311" t="str">
        <f>IF(项目基本情况!K6="上海银行",M69,"")</f>
        <v/>
      </c>
      <c r="N56" s="3241" t="str">
        <f>IF(项目基本情况!K6="上海银行","包含处置中涉及的律师、诉讼、拍卖、评估等费用","")</f>
        <v/>
      </c>
      <c r="O56" s="3244"/>
    </row>
    <row r="57" spans="1:35" ht="12.75">
      <c r="A57" s="2152" t="s">
        <v>1341</v>
      </c>
      <c r="B57" s="3284" t="s">
        <v>1366</v>
      </c>
      <c r="C57" s="3285"/>
      <c r="D57" s="1478">
        <v>0</v>
      </c>
      <c r="E57" s="316" t="s">
        <v>1343</v>
      </c>
      <c r="F57" s="294"/>
      <c r="G57" s="2340"/>
      <c r="H57" s="2344"/>
      <c r="I57" s="1670"/>
      <c r="J57" s="3260">
        <f>IF(AND(J55="",J56=""),4,IF(项目基本情况!K6="上海银行",结果表!J56+1,结果表!J55+1))</f>
        <v>5</v>
      </c>
      <c r="K57" s="3260" t="s">
        <v>1367</v>
      </c>
      <c r="L57" s="2316" t="s">
        <v>1368</v>
      </c>
      <c r="M57" s="2317"/>
      <c r="N57" s="2318">
        <f ca="1">SUMIF(M52:M56,"&lt;9e307")</f>
        <v>0</v>
      </c>
      <c r="O57" s="2319"/>
      <c r="P57" s="2464" t="e">
        <f ca="1">N57/M49</f>
        <v>#VALUE!</v>
      </c>
    </row>
    <row r="58" spans="1:35" ht="24.75">
      <c r="A58" s="2152" t="s">
        <v>1352</v>
      </c>
      <c r="B58" s="3284" t="s">
        <v>1369</v>
      </c>
      <c r="C58" s="3283"/>
      <c r="D58" s="12" t="e">
        <f ca="1">IF(H58="转让取得",C81,C97)</f>
        <v>#REF!</v>
      </c>
      <c r="E58" s="1256" t="s">
        <v>1364</v>
      </c>
      <c r="F58" s="294" t="s">
        <v>28</v>
      </c>
      <c r="G58" s="2340"/>
      <c r="H58" s="2343"/>
      <c r="I58" s="1670"/>
      <c r="J58" s="3260"/>
      <c r="K58" s="3260"/>
      <c r="L58" s="2316" t="s">
        <v>1370</v>
      </c>
      <c r="M58" s="2320"/>
      <c r="N58" s="2321" t="str">
        <f ca="1">NUMBERSTRING(INT(N57*10000),2)&amp;"元整"</f>
        <v>零元整</v>
      </c>
      <c r="O58" s="2322"/>
    </row>
    <row r="59" spans="1:35" ht="24.75" thickBot="1">
      <c r="A59" s="3264" t="s">
        <v>1371</v>
      </c>
      <c r="B59" s="3265"/>
      <c r="C59" s="3265"/>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62">
        <f>J57+1</f>
        <v>6</v>
      </c>
      <c r="K59" s="3260" t="s">
        <v>1372</v>
      </c>
      <c r="L59" s="2309" t="s">
        <v>1368</v>
      </c>
      <c r="M59" s="2323"/>
      <c r="N59" s="2324" t="e">
        <f ca="1">M49-N57</f>
        <v>#VALUE!</v>
      </c>
      <c r="O59" s="2325"/>
    </row>
    <row r="60" spans="1:35" ht="12" customHeight="1">
      <c r="A60" s="1671"/>
      <c r="B60" s="646"/>
      <c r="C60" s="646"/>
      <c r="D60" s="646"/>
      <c r="E60" s="1466"/>
      <c r="F60" s="1670"/>
      <c r="G60" s="1670"/>
      <c r="H60" s="151"/>
      <c r="I60" s="121"/>
      <c r="J60" s="3263"/>
      <c r="K60" s="3260"/>
      <c r="L60" s="2316" t="s">
        <v>1370</v>
      </c>
      <c r="M60" s="2320"/>
      <c r="N60" s="2321" t="e">
        <f ca="1">NUMBERSTRING(INT(N59*10000),2)&amp;"元整"</f>
        <v>#VALUE!</v>
      </c>
      <c r="O60" s="2322"/>
    </row>
    <row r="61" spans="1:35" ht="13.5" thickBot="1">
      <c r="A61" s="3319" t="s">
        <v>1373</v>
      </c>
      <c r="B61" s="3319"/>
      <c r="C61" s="3319"/>
      <c r="D61" s="3319"/>
      <c r="E61" s="3319"/>
      <c r="F61" s="1670"/>
      <c r="G61" s="1670"/>
      <c r="H61" s="151"/>
      <c r="I61" s="121"/>
      <c r="J61" s="2309">
        <f>J59+1</f>
        <v>7</v>
      </c>
      <c r="K61" s="3260" t="s">
        <v>1374</v>
      </c>
      <c r="L61" s="3260"/>
      <c r="M61" s="2326"/>
      <c r="N61" s="2327" t="e">
        <f ca="1">ROUND(N59*10000/'数据-汇总表'!E3,0)</f>
        <v>#VALUE!</v>
      </c>
      <c r="O61" s="2328"/>
    </row>
    <row r="62" spans="1:35" ht="12.75">
      <c r="A62" s="3279" t="s">
        <v>1375</v>
      </c>
      <c r="B62" s="3280"/>
      <c r="C62" s="1864"/>
      <c r="D62" s="1864"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4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4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4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4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4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4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43"/>
      <c r="K69" s="1245" t="s">
        <v>1393</v>
      </c>
      <c r="L69" s="1245"/>
      <c r="M69" s="294" t="e">
        <f>ROUND(SUM(M63:M68),0)</f>
        <v>#VALUE!</v>
      </c>
      <c r="N69" s="2331" t="e">
        <f>M69/M49</f>
        <v>#VALUE!</v>
      </c>
      <c r="Z69" s="1623"/>
      <c r="AI69" s="1561"/>
    </row>
    <row r="70" spans="1:35" s="642" customFormat="1" ht="15" thickBot="1">
      <c r="A70" s="3287" t="s">
        <v>1394</v>
      </c>
      <c r="B70" s="3288"/>
      <c r="C70" s="3288"/>
      <c r="D70" s="3288"/>
      <c r="E70" s="3288"/>
      <c r="F70" s="3288"/>
      <c r="G70" s="3288"/>
      <c r="H70" s="328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9" t="s">
        <v>1375</v>
      </c>
      <c r="B71" s="3280"/>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4" t="s">
        <v>1402</v>
      </c>
      <c r="F76" s="3283"/>
      <c r="G76" s="3283"/>
      <c r="H76" s="328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76" t="s">
        <v>1406</v>
      </c>
      <c r="F78" s="3277"/>
      <c r="G78" s="3277"/>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7" t="s">
        <v>1410</v>
      </c>
      <c r="B83" s="3288"/>
      <c r="C83" s="3288"/>
      <c r="D83" s="3288"/>
      <c r="E83" s="3288"/>
      <c r="F83" s="3288"/>
      <c r="G83" s="3288"/>
      <c r="H83" s="328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9" t="s">
        <v>1375</v>
      </c>
      <c r="B84" s="3280"/>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0</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45" t="s">
        <v>2129</v>
      </c>
      <c r="H90" s="324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6" t="s">
        <v>1422</v>
      </c>
      <c r="F92" s="3277"/>
      <c r="G92" s="3277"/>
      <c r="H92" s="327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76" t="s">
        <v>1406</v>
      </c>
      <c r="F93" s="3277"/>
      <c r="G93" s="3277"/>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21" t="s">
        <v>1426</v>
      </c>
      <c r="F94" s="3322"/>
      <c r="G94" s="3322"/>
      <c r="H94" s="332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6" t="s">
        <v>1428</v>
      </c>
      <c r="B100" s="3227"/>
      <c r="C100" s="3227"/>
      <c r="D100" s="3261"/>
      <c r="E100" s="3227" t="s">
        <v>1429</v>
      </c>
      <c r="F100" s="3227"/>
      <c r="G100" s="3227"/>
      <c r="H100" s="3261"/>
      <c r="I100" s="121"/>
    </row>
    <row r="101" spans="1:35" ht="18.75" customHeight="1">
      <c r="A101" s="3269" t="s">
        <v>1430</v>
      </c>
      <c r="B101" s="3270"/>
      <c r="C101" s="2370" t="str">
        <f>C4</f>
        <v>成本法 (元)</v>
      </c>
      <c r="D101" s="2371" t="str">
        <f>D4</f>
        <v>比较法-住宅</v>
      </c>
      <c r="E101" s="3239" t="s">
        <v>1431</v>
      </c>
      <c r="F101" s="3240"/>
      <c r="G101" s="1687" t="s">
        <v>1432</v>
      </c>
      <c r="H101" s="2380" t="e">
        <f ca="1">H118</f>
        <v>#REF!</v>
      </c>
      <c r="I101" s="121"/>
    </row>
    <row r="102" spans="1:35" ht="18.75" customHeight="1">
      <c r="A102" s="3271" t="s">
        <v>1433</v>
      </c>
      <c r="B102" s="2369" t="s">
        <v>1432</v>
      </c>
      <c r="C102" s="2370">
        <f ca="1">IF(D32="楼面单价",ROUND(C19,0),C19)</f>
        <v>1166.3375000000001</v>
      </c>
      <c r="D102" s="2371">
        <f ca="1">IF(D32="楼面单价",ROUND(D19,0),D19)</f>
        <v>2560.5284999999999</v>
      </c>
      <c r="E102" s="3239"/>
      <c r="F102" s="3240"/>
      <c r="G102" s="1687" t="s">
        <v>1434</v>
      </c>
      <c r="H102" s="2340" t="e">
        <f ca="1">I118</f>
        <v>#REF!</v>
      </c>
      <c r="I102" s="121"/>
    </row>
    <row r="103" spans="1:35" ht="42.75" customHeight="1">
      <c r="A103" s="3271"/>
      <c r="B103" s="2369" t="s">
        <v>1434</v>
      </c>
      <c r="C103" s="2372">
        <f ca="1">C20</f>
        <v>45144</v>
      </c>
      <c r="D103" s="2373">
        <f ca="1">D20</f>
        <v>99107</v>
      </c>
      <c r="E103" s="3232" t="s">
        <v>1435</v>
      </c>
      <c r="F103" s="3233"/>
      <c r="G103" s="1688" t="s">
        <v>1436</v>
      </c>
      <c r="H103" s="2380">
        <f>IF(D36="正常操作",H104+H105+H106,H105+H106)</f>
        <v>0</v>
      </c>
      <c r="I103" s="121"/>
    </row>
    <row r="104" spans="1:35" ht="18.75" customHeight="1">
      <c r="A104" s="327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8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72" t="str">
        <f>IF(项目基本情况!E8="已注销","——","3.房地产抵押价值")</f>
        <v>3.房地产抵押价值</v>
      </c>
      <c r="F107" s="3240"/>
      <c r="G107" s="1687" t="s">
        <v>1432</v>
      </c>
      <c r="H107" s="2380" t="e">
        <f ca="1">IF(E107="——","——",H101-H103)</f>
        <v>#REF!</v>
      </c>
      <c r="I107" s="121"/>
    </row>
    <row r="108" spans="1:35" ht="18.75" customHeight="1">
      <c r="A108" s="121"/>
      <c r="B108" s="121"/>
      <c r="C108" s="121"/>
      <c r="D108" s="121"/>
      <c r="E108" s="3272"/>
      <c r="F108" s="3240"/>
      <c r="G108" s="1687" t="s">
        <v>1434</v>
      </c>
      <c r="H108" s="2340" t="e">
        <f ca="1">IF(H107=H101,H102,ROUND(H107*10000/'数据-汇总表'!E3,0))</f>
        <v>#REF!</v>
      </c>
      <c r="I108" s="121"/>
    </row>
    <row r="109" spans="1:35" ht="18.75" customHeight="1">
      <c r="A109" s="121"/>
      <c r="B109" s="121"/>
      <c r="C109" s="121"/>
      <c r="D109" s="121"/>
      <c r="E109" s="3272" t="str">
        <f>IF(项目基本情况!E8="已注销及未注销","4.抵押担保权已注销时的房地产抵押价值",IF(项目基本情况!E8="已注销","3.抵押担保权已注销时的房地产抵押价值","——"))</f>
        <v>——</v>
      </c>
      <c r="F109" s="3240"/>
      <c r="G109" s="1687" t="s">
        <v>1432</v>
      </c>
      <c r="H109" s="2383" t="str">
        <f>IF(E109="——","——",H101-H105-H106)</f>
        <v>——</v>
      </c>
      <c r="I109" s="121"/>
    </row>
    <row r="110" spans="1:35" ht="18.75" customHeight="1">
      <c r="A110" s="121"/>
      <c r="B110" s="121"/>
      <c r="C110" s="121"/>
      <c r="D110" s="121"/>
      <c r="E110" s="3272"/>
      <c r="F110" s="3240"/>
      <c r="G110" s="1687" t="s">
        <v>1434</v>
      </c>
      <c r="H110" s="2340" t="str">
        <f>IF(H109="——","——",ROUND(H109*10000/'数据-汇总表'!E3,0))</f>
        <v>——</v>
      </c>
      <c r="I110" s="121"/>
    </row>
    <row r="111" spans="1:35" ht="18.75" customHeight="1">
      <c r="A111" s="121"/>
      <c r="B111" s="121"/>
      <c r="C111" s="121"/>
      <c r="D111" s="121"/>
      <c r="E111" s="3273" t="str">
        <f>IF(项目基本情况!E9="抵押净值",IF(OR(项目基本情况!E8="已注销",项目基本情况!E8="房地产抵押价值"),"4.抵押净值","5.抵押净值"),"——")</f>
        <v>——</v>
      </c>
      <c r="F111" s="3259"/>
      <c r="G111" s="1687" t="s">
        <v>1432</v>
      </c>
      <c r="H111" s="2380" t="str">
        <f>IF(E111="——","——",N59)</f>
        <v>——</v>
      </c>
      <c r="I111" s="121"/>
    </row>
    <row r="112" spans="1:35" ht="18.75" customHeight="1" thickBot="1">
      <c r="A112" s="121"/>
      <c r="B112" s="121"/>
      <c r="C112" s="121"/>
      <c r="D112" s="121"/>
      <c r="E112" s="3274"/>
      <c r="F112" s="3275"/>
      <c r="G112" s="1690" t="s">
        <v>1434</v>
      </c>
      <c r="H112" s="2384" t="str">
        <f>IF(E111="——","——",N61)</f>
        <v>——</v>
      </c>
      <c r="I112" s="121"/>
    </row>
    <row r="113" spans="1:27" ht="18.75" customHeight="1">
      <c r="A113" s="121"/>
      <c r="B113" s="121"/>
      <c r="C113" s="121"/>
      <c r="D113" s="121"/>
      <c r="E113" s="3282" t="s">
        <v>1440</v>
      </c>
      <c r="F113" s="3282"/>
      <c r="G113" s="3282"/>
      <c r="H113" s="3282"/>
      <c r="I113" s="121"/>
    </row>
    <row r="114" spans="1:27" ht="3.75" customHeight="1">
      <c r="A114" s="646"/>
      <c r="B114" s="646"/>
      <c r="C114" s="646"/>
      <c r="D114" s="646"/>
      <c r="E114" s="1671"/>
      <c r="F114" s="1671"/>
      <c r="G114" s="1671"/>
      <c r="H114" s="1671"/>
      <c r="I114" s="646"/>
    </row>
    <row r="115" spans="1:27" ht="18.75" customHeight="1">
      <c r="A115" s="3290" t="s">
        <v>1442</v>
      </c>
      <c r="B115" s="3291"/>
      <c r="C115" s="3291"/>
      <c r="D115" s="3291"/>
      <c r="E115" s="3291"/>
      <c r="F115" s="3291"/>
      <c r="G115" s="3291"/>
      <c r="H115" s="3291"/>
      <c r="I115" s="3292"/>
    </row>
    <row r="116" spans="1:27" ht="27" customHeight="1">
      <c r="A116" s="3247" t="s">
        <v>1443</v>
      </c>
      <c r="B116" s="3251" t="s">
        <v>1444</v>
      </c>
      <c r="C116" s="3251" t="s">
        <v>1445</v>
      </c>
      <c r="D116" s="3257" t="s">
        <v>1446</v>
      </c>
      <c r="E116" s="3258"/>
      <c r="F116" s="3289" t="s">
        <v>1447</v>
      </c>
      <c r="G116" s="3289"/>
      <c r="H116" s="3247" t="s">
        <v>1448</v>
      </c>
      <c r="I116" s="3247"/>
    </row>
    <row r="117" spans="1:27" ht="18.75" customHeight="1">
      <c r="A117" s="3247"/>
      <c r="B117" s="3252"/>
      <c r="C117" s="325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258.36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47" t="s">
        <v>1452</v>
      </c>
      <c r="B119" s="3247"/>
      <c r="C119" s="3247"/>
      <c r="D119" s="3253" t="e">
        <f ca="1">NUMBERSTRING(INT(D118*10000),2)&amp;"元整"</f>
        <v>#REF!</v>
      </c>
      <c r="E119" s="3254"/>
      <c r="F119" s="3253" t="e">
        <f ca="1">NUMBERSTRING(INT(F118*10000),2)&amp;"元整"</f>
        <v>#REF!</v>
      </c>
      <c r="G119" s="3254"/>
      <c r="H119" s="3253" t="e">
        <f ca="1">NUMBERSTRING(INT(H118*10000),2)&amp;"元整"</f>
        <v>#REF!</v>
      </c>
      <c r="I119" s="3254"/>
    </row>
    <row r="120" spans="1:27" ht="18.75" customHeight="1">
      <c r="A120" s="3248" t="str">
        <f>IF(项目基本情况!B9="房地产市场价值","",MID(E103,3,LEN(E103)-2))</f>
        <v/>
      </c>
      <c r="B120" s="3249"/>
      <c r="C120" s="3250"/>
      <c r="D120" s="3248">
        <f>H103</f>
        <v>0</v>
      </c>
      <c r="E120" s="3249"/>
      <c r="F120" s="3249"/>
      <c r="G120" s="3249"/>
      <c r="H120" s="3249"/>
      <c r="I120" s="32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53" t="s">
        <v>1452</v>
      </c>
      <c r="B121" s="3255"/>
      <c r="C121" s="3254"/>
      <c r="D121" s="3253" t="str">
        <f>IF(D120=0,"零元整",NUMBERSTRING(INT(D120*10000),2)&amp;"元整")</f>
        <v>零元整</v>
      </c>
      <c r="E121" s="3255"/>
      <c r="F121" s="3255"/>
      <c r="G121" s="3255"/>
      <c r="H121" s="3255"/>
      <c r="I121" s="3254"/>
      <c r="AA121" s="684"/>
    </row>
    <row r="122" spans="1:27" ht="18.75" customHeight="1">
      <c r="A122" s="3259" t="str">
        <f>IF(项目基本情况!B9="房地产市场价值","",MID(E107,3,LEN(E107)-2))</f>
        <v/>
      </c>
      <c r="B122" s="3259"/>
      <c r="C122" s="3259"/>
      <c r="D122" s="3248" t="e">
        <f ca="1">H107</f>
        <v>#REF!</v>
      </c>
      <c r="E122" s="3249"/>
      <c r="F122" s="3249"/>
      <c r="G122" s="3249"/>
      <c r="H122" s="3249"/>
      <c r="I122" s="3250"/>
      <c r="AA122" s="684"/>
    </row>
    <row r="123" spans="1:27" ht="18.75" customHeight="1">
      <c r="A123" s="3247" t="s">
        <v>1452</v>
      </c>
      <c r="B123" s="3247"/>
      <c r="C123" s="3247"/>
      <c r="D123" s="3253" t="e">
        <f ca="1">NUMBERSTRING(INT(D122*10000),2)&amp;"元整"</f>
        <v>#REF!</v>
      </c>
      <c r="E123" s="3255"/>
      <c r="F123" s="3255"/>
      <c r="G123" s="3255"/>
      <c r="H123" s="3255"/>
      <c r="I123" s="3254"/>
      <c r="AA123" s="684"/>
    </row>
    <row r="124" spans="1:27" ht="18.75" customHeight="1">
      <c r="A124" s="3259" t="str">
        <f>IF(项目基本情况!B9="房地产市场价值","",MID(E109,3,LEN(E109)-2))</f>
        <v/>
      </c>
      <c r="B124" s="3259"/>
      <c r="C124" s="3259"/>
      <c r="D124" s="3248" t="str">
        <f>H109</f>
        <v>——</v>
      </c>
      <c r="E124" s="3249"/>
      <c r="F124" s="3249"/>
      <c r="G124" s="3249"/>
      <c r="H124" s="3249"/>
      <c r="I124" s="3250"/>
      <c r="AA124" s="684"/>
    </row>
    <row r="125" spans="1:27" ht="18.75" customHeight="1">
      <c r="A125" s="3247" t="s">
        <v>1452</v>
      </c>
      <c r="B125" s="3247"/>
      <c r="C125" s="3247"/>
      <c r="D125" s="3253" t="e">
        <f>NUMBERSTRING(INT(D124*10000),2)&amp;"元整"</f>
        <v>#VALUE!</v>
      </c>
      <c r="E125" s="3255"/>
      <c r="F125" s="3255"/>
      <c r="G125" s="3255"/>
      <c r="H125" s="3255"/>
      <c r="I125" s="3254"/>
      <c r="AA125" s="684"/>
    </row>
    <row r="126" spans="1:27" ht="18.75" customHeight="1">
      <c r="A126" s="3259" t="str">
        <f>IF(项目基本情况!B9="房地产市场价值","",MID(E111,3,LEN(E111)-2))</f>
        <v/>
      </c>
      <c r="B126" s="3259"/>
      <c r="C126" s="3259"/>
      <c r="D126" s="3248" t="str">
        <f>H111</f>
        <v>——</v>
      </c>
      <c r="E126" s="3249"/>
      <c r="F126" s="3249"/>
      <c r="G126" s="3249"/>
      <c r="H126" s="3249"/>
      <c r="I126" s="3250"/>
      <c r="AA126" s="684"/>
    </row>
    <row r="127" spans="1:27" ht="18.75" customHeight="1">
      <c r="A127" s="3247" t="s">
        <v>1452</v>
      </c>
      <c r="B127" s="3247"/>
      <c r="C127" s="3247"/>
      <c r="D127" s="3253" t="e">
        <f>NUMBERSTRING(INT(D126*10000),2)&amp;"元整"</f>
        <v>#VALUE!</v>
      </c>
      <c r="E127" s="3255"/>
      <c r="F127" s="3255"/>
      <c r="G127" s="3255"/>
      <c r="H127" s="3255"/>
      <c r="I127" s="3254"/>
      <c r="AA127" s="684"/>
    </row>
    <row r="128" spans="1:27" ht="21.75" customHeight="1">
      <c r="A128" s="3256" t="s">
        <v>1453</v>
      </c>
      <c r="B128" s="3256"/>
      <c r="C128" s="3256"/>
      <c r="D128" s="3256"/>
      <c r="E128" s="3256"/>
      <c r="F128" s="3256"/>
      <c r="G128" s="3256"/>
      <c r="H128" s="3256"/>
      <c r="I128" s="325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52519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2032784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41338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 ca="1">IF(G8="已包含在土地购买价格中","0",IF(B1="",'数据-取费表'!B29,IF(G9="全部缴纳",C9+C10,H9)))</f>
        <v>41338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258.36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258.36</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2816</v>
      </c>
      <c r="D22" s="227">
        <f ca="1">C26</f>
        <v>0</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2816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f ca="1">C28</f>
        <v>8268</v>
      </c>
      <c r="D27" s="227">
        <f ca="1">C29</f>
        <v>0</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8268</v>
      </c>
      <c r="D28" s="227"/>
      <c r="E28" s="228"/>
      <c r="F28" s="238"/>
      <c r="G28" s="239"/>
    </row>
    <row r="29" spans="1:7" s="206" customFormat="1" ht="13.5" customHeight="1">
      <c r="A29" s="734" t="s">
        <v>347</v>
      </c>
      <c r="B29" s="240" t="s">
        <v>1517</v>
      </c>
      <c r="C29" s="230">
        <f ca="1">ROUND(C21*F27*'数据-取费表'!B21/'数据-取费表'!B20,4)</f>
        <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f ca="1">ROUND((C5+C19+C20+C22+C27)/(1-C21-D22-D27-C30),0)</f>
        <v>52422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103</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258.36</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3</v>
      </c>
      <c r="D41" s="227">
        <f ca="1">C44</f>
        <v>0</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26" t="s">
        <v>1544</v>
      </c>
    </row>
    <row r="43" spans="1:7" ht="13.5" customHeight="1">
      <c r="A43" s="734" t="s">
        <v>347</v>
      </c>
      <c r="B43" s="207" t="s">
        <v>1545</v>
      </c>
      <c r="C43" s="230">
        <f ca="1">ROUND(IF('数据-取费表'!B22&lt;=1,C39*F22*'数据-取费表'!B21/2,C39*(POWER((1+F22),'数据-取费表'!B21/2)-1)),0)</f>
        <v>0</v>
      </c>
      <c r="D43" s="230"/>
      <c r="E43" s="230"/>
      <c r="F43" s="231"/>
      <c r="G43" s="3327"/>
    </row>
    <row r="44" spans="1:7" ht="13.5" customHeight="1">
      <c r="A44" s="734" t="s">
        <v>348</v>
      </c>
      <c r="B44" s="207" t="s">
        <v>1546</v>
      </c>
      <c r="C44" s="230">
        <f ca="1">ROUND(IF('数据-取费表'!B22&lt;=1,C40*F22*'数据-取费表'!B21/2,C40*(POWER((1+F22),'数据-取费表'!B21/2)-1)),4)</f>
        <v>0</v>
      </c>
      <c r="D44" s="230"/>
      <c r="E44" s="230"/>
      <c r="F44" s="231"/>
      <c r="G44" s="3328"/>
    </row>
    <row r="45" spans="1:7" s="206" customFormat="1" ht="13.5" customHeight="1">
      <c r="A45" s="247" t="s">
        <v>1547</v>
      </c>
      <c r="B45" s="236" t="s">
        <v>1513</v>
      </c>
      <c r="C45" s="237">
        <f ca="1">C46</f>
        <v>21</v>
      </c>
      <c r="D45" s="227">
        <f ca="1">C47</f>
        <v>0</v>
      </c>
      <c r="E45" s="228" t="s">
        <v>1539</v>
      </c>
      <c r="F45" s="238">
        <f ca="1">F27</f>
        <v>0.2</v>
      </c>
      <c r="G45" s="239" t="s">
        <v>1548</v>
      </c>
    </row>
    <row r="46" spans="1:7" s="206" customFormat="1" ht="13.5" customHeight="1">
      <c r="A46" s="734" t="s">
        <v>346</v>
      </c>
      <c r="B46" s="240" t="s">
        <v>1549</v>
      </c>
      <c r="C46" s="241">
        <f ca="1">ROUND((C33+C39)*F27,0)</f>
        <v>21</v>
      </c>
      <c r="D46" s="255"/>
      <c r="E46" s="228"/>
      <c r="F46" s="238"/>
      <c r="G46" s="239"/>
    </row>
    <row r="47" spans="1:7" s="206" customFormat="1" ht="13.5" customHeight="1">
      <c r="A47" s="734" t="s">
        <v>347</v>
      </c>
      <c r="B47" s="240" t="s">
        <v>1550</v>
      </c>
      <c r="C47" s="230">
        <f ca="1">ROUND(C40*F27,4)</f>
        <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f ca="1">ROUND((C33+C39+C41+C45)/(1-C40-D41-D45-C48),0)</f>
        <v>127</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97</v>
      </c>
      <c r="D51" s="224"/>
      <c r="E51" s="224"/>
      <c r="F51" s="256"/>
      <c r="G51" s="226" t="s">
        <v>1560</v>
      </c>
    </row>
    <row r="52" spans="1:7" s="200" customFormat="1" ht="16.5" thickBot="1">
      <c r="A52" s="257" t="s">
        <v>1561</v>
      </c>
      <c r="B52" s="258"/>
      <c r="C52" s="259">
        <f ca="1">C31+C51</f>
        <v>52519</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4" t="str">
        <f>项目基本情况!B1</f>
        <v>北京市房地产市场价值预评估</v>
      </c>
      <c r="C37" s="3144"/>
      <c r="D37" s="3144"/>
      <c r="E37" s="3144"/>
      <c r="F37" s="3144"/>
      <c r="G37" s="3144"/>
      <c r="H37" s="3144"/>
      <c r="I37" s="314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5" zoomScaleNormal="60" zoomScaleSheetLayoutView="85" workbookViewId="0">
      <selection activeCell="K43" sqref="K4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3396</v>
      </c>
      <c r="E1" s="3124" t="s">
        <v>3424</v>
      </c>
      <c r="F1" s="1735" t="s">
        <v>3425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2560.5284999999999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99107</v>
      </c>
      <c r="C3" s="344" t="s">
        <v>1665</v>
      </c>
      <c r="D3" s="343">
        <f>IF(D1="",'数据-汇总表'!E3,SUMIF('数据-汇总表'!$C19:$C33,D1,'数据-汇总表'!$E19:$E33))</f>
        <v>258.36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47" t="s">
        <v>1667</v>
      </c>
      <c r="D4" s="3348"/>
      <c r="E4" s="3349" t="s">
        <v>1668</v>
      </c>
      <c r="F4" s="3350"/>
      <c r="G4" s="3347" t="s">
        <v>1669</v>
      </c>
      <c r="H4" s="3348"/>
      <c r="I4" s="3347" t="s">
        <v>1670</v>
      </c>
      <c r="J4" s="3348"/>
      <c r="K4" s="1744" t="s">
        <v>1671</v>
      </c>
      <c r="L4" s="2486"/>
      <c r="M4" s="2487"/>
      <c r="N4" s="2487"/>
      <c r="O4" s="2487"/>
      <c r="P4" s="3351" t="s">
        <v>1672</v>
      </c>
      <c r="Q4" s="3352"/>
      <c r="R4" s="3334" t="s">
        <v>1668</v>
      </c>
      <c r="S4" s="3335"/>
      <c r="T4" s="3334" t="s">
        <v>1669</v>
      </c>
      <c r="U4" s="3335"/>
      <c r="V4" s="3359" t="s">
        <v>1670</v>
      </c>
      <c r="W4" s="3359"/>
      <c r="X4" s="1265"/>
      <c r="Y4" s="3334" t="s">
        <v>1672</v>
      </c>
      <c r="Z4" s="3335"/>
      <c r="AA4" s="3329" t="s">
        <v>1668</v>
      </c>
      <c r="AB4" s="3329" t="s">
        <v>1669</v>
      </c>
      <c r="AC4" s="3329" t="s">
        <v>1670</v>
      </c>
    </row>
    <row r="5" spans="1:29" ht="15">
      <c r="A5" s="348"/>
      <c r="B5" s="349"/>
      <c r="C5" s="3482" t="s">
        <v>3453</v>
      </c>
      <c r="D5" s="3341"/>
      <c r="E5" s="3482" t="s">
        <v>3453</v>
      </c>
      <c r="F5" s="3341"/>
      <c r="G5" s="3482" t="s">
        <v>3453</v>
      </c>
      <c r="H5" s="3341"/>
      <c r="I5" s="3482" t="s">
        <v>3453</v>
      </c>
      <c r="J5" s="3341"/>
      <c r="K5" s="1745"/>
      <c r="L5" s="2486"/>
      <c r="M5" s="2487"/>
      <c r="N5" s="2487"/>
      <c r="O5" s="2487"/>
      <c r="P5" s="3353"/>
      <c r="Q5" s="3354"/>
      <c r="R5" s="3336"/>
      <c r="S5" s="3337"/>
      <c r="T5" s="3336"/>
      <c r="U5" s="3337"/>
      <c r="V5" s="3359"/>
      <c r="W5" s="3359"/>
      <c r="X5" s="1265"/>
      <c r="Y5" s="3336"/>
      <c r="Z5" s="3337"/>
      <c r="AA5" s="3330"/>
      <c r="AB5" s="3330"/>
      <c r="AC5" s="3330"/>
    </row>
    <row r="6" spans="1:29" ht="15.75" thickBot="1">
      <c r="A6" s="350"/>
      <c r="B6" s="351"/>
      <c r="C6" s="3342" t="s">
        <v>1677</v>
      </c>
      <c r="D6" s="3343"/>
      <c r="E6" s="3344" t="s">
        <v>1677</v>
      </c>
      <c r="F6" s="3345"/>
      <c r="G6" s="3342" t="s">
        <v>1677</v>
      </c>
      <c r="H6" s="3343"/>
      <c r="I6" s="3342" t="s">
        <v>1677</v>
      </c>
      <c r="J6" s="3343"/>
      <c r="K6" s="1745" t="s">
        <v>1678</v>
      </c>
      <c r="L6" s="2486"/>
      <c r="M6" s="2487"/>
      <c r="N6" s="2487"/>
      <c r="O6" s="2487"/>
      <c r="P6" s="3355"/>
      <c r="Q6" s="3356"/>
      <c r="R6" s="3336"/>
      <c r="S6" s="3337"/>
      <c r="T6" s="3357"/>
      <c r="U6" s="3358"/>
      <c r="V6" s="3359"/>
      <c r="W6" s="3359"/>
      <c r="X6" s="1265"/>
      <c r="Y6" s="3357"/>
      <c r="Z6" s="3358"/>
      <c r="AA6" s="3331"/>
      <c r="AB6" s="3331"/>
      <c r="AC6" s="3331"/>
    </row>
    <row r="7" spans="1:29" s="102" customFormat="1" ht="15.75" thickBot="1">
      <c r="A7" s="352" t="s">
        <v>1679</v>
      </c>
      <c r="B7" s="353"/>
      <c r="C7" s="354">
        <f>'数据-取费表'!B2</f>
        <v>45546</v>
      </c>
      <c r="D7" s="355">
        <v>100</v>
      </c>
      <c r="E7" s="356">
        <v>45536</v>
      </c>
      <c r="F7" s="357">
        <f>SUMIF(58:58,YEAR(E7)&amp;"-"&amp;MONTH(E7),59:59)</f>
        <v>100</v>
      </c>
      <c r="G7" s="356">
        <v>45536</v>
      </c>
      <c r="H7" s="355">
        <f>SUMIF(58:58,YEAR(G7)&amp;"-"&amp;MONTH(G7),59:59)</f>
        <v>100</v>
      </c>
      <c r="I7" s="356">
        <v>45536</v>
      </c>
      <c r="J7" s="355">
        <f>SUMIF(58:58,YEAR(I7)&amp;"-"&amp;MONTH(I7),59:59)</f>
        <v>100</v>
      </c>
      <c r="K7" s="1746"/>
      <c r="L7" s="2488"/>
      <c r="M7" s="2439"/>
      <c r="N7" s="2439"/>
      <c r="O7" s="2439"/>
      <c r="P7" s="3332" t="s">
        <v>1680</v>
      </c>
      <c r="Q7" s="3360"/>
      <c r="R7" s="664" t="s">
        <v>20</v>
      </c>
      <c r="S7" s="665">
        <f t="shared" ref="S7:S15" si="0">F7</f>
        <v>100</v>
      </c>
      <c r="T7" s="664" t="s">
        <v>20</v>
      </c>
      <c r="U7" s="665">
        <f t="shared" ref="U7:U15" si="1">H7</f>
        <v>100</v>
      </c>
      <c r="V7" s="664" t="s">
        <v>20</v>
      </c>
      <c r="W7" s="665">
        <f t="shared" ref="W7:W15" si="2">J7</f>
        <v>100</v>
      </c>
      <c r="X7" s="666"/>
      <c r="Y7" s="3332" t="s">
        <v>1680</v>
      </c>
      <c r="Z7" s="3333"/>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32" t="s">
        <v>1683</v>
      </c>
      <c r="Q8" s="3333"/>
      <c r="R8" s="664" t="s">
        <v>20</v>
      </c>
      <c r="S8" s="665">
        <f t="shared" si="0"/>
        <v>100</v>
      </c>
      <c r="T8" s="664" t="s">
        <v>20</v>
      </c>
      <c r="U8" s="665">
        <f t="shared" si="1"/>
        <v>100</v>
      </c>
      <c r="V8" s="664" t="s">
        <v>20</v>
      </c>
      <c r="W8" s="665">
        <f t="shared" si="2"/>
        <v>100</v>
      </c>
      <c r="X8" s="666"/>
      <c r="Y8" s="3332" t="s">
        <v>1683</v>
      </c>
      <c r="Z8" s="333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46"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46"/>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46"/>
      <c r="Q11" s="530" t="str">
        <f t="shared" si="6"/>
        <v>容积率</v>
      </c>
      <c r="R11" s="664" t="s">
        <v>18</v>
      </c>
      <c r="S11" s="665">
        <f t="shared" si="0"/>
        <v>100</v>
      </c>
      <c r="T11" s="664" t="s">
        <v>18</v>
      </c>
      <c r="U11" s="665">
        <f t="shared" si="1"/>
        <v>100</v>
      </c>
      <c r="V11" s="664" t="s">
        <v>18</v>
      </c>
      <c r="W11" s="665">
        <f t="shared" si="2"/>
        <v>100</v>
      </c>
      <c r="X11" s="666"/>
      <c r="Y11" s="330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46"/>
      <c r="Q12" s="530">
        <f t="shared" si="6"/>
        <v>111</v>
      </c>
      <c r="R12" s="664" t="s">
        <v>18</v>
      </c>
      <c r="S12" s="665">
        <f t="shared" si="0"/>
        <v>100</v>
      </c>
      <c r="T12" s="664" t="s">
        <v>18</v>
      </c>
      <c r="U12" s="665">
        <f t="shared" si="1"/>
        <v>100</v>
      </c>
      <c r="V12" s="664" t="s">
        <v>18</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46"/>
      <c r="Q13" s="530">
        <f t="shared" si="6"/>
        <v>111</v>
      </c>
      <c r="R13" s="664" t="s">
        <v>18</v>
      </c>
      <c r="S13" s="665">
        <f t="shared" si="0"/>
        <v>100</v>
      </c>
      <c r="T13" s="664" t="s">
        <v>18</v>
      </c>
      <c r="U13" s="665">
        <f t="shared" si="1"/>
        <v>100</v>
      </c>
      <c r="V13" s="664" t="s">
        <v>18</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46"/>
      <c r="Q14" s="530">
        <f t="shared" si="6"/>
        <v>111</v>
      </c>
      <c r="R14" s="664" t="s">
        <v>18</v>
      </c>
      <c r="S14" s="665">
        <f t="shared" si="0"/>
        <v>100</v>
      </c>
      <c r="T14" s="664" t="s">
        <v>18</v>
      </c>
      <c r="U14" s="665">
        <f t="shared" si="1"/>
        <v>100</v>
      </c>
      <c r="V14" s="664" t="s">
        <v>18</v>
      </c>
      <c r="W14" s="665">
        <f t="shared" si="2"/>
        <v>100</v>
      </c>
      <c r="X14" s="666"/>
      <c r="Y14" s="330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2" t="s">
        <v>1691</v>
      </c>
      <c r="Q15" s="1263" t="str">
        <f t="shared" si="6"/>
        <v>居住社区成熟度</v>
      </c>
      <c r="R15" s="667" t="s">
        <v>18</v>
      </c>
      <c r="S15" s="668">
        <f t="shared" si="0"/>
        <v>100</v>
      </c>
      <c r="T15" s="667" t="s">
        <v>18</v>
      </c>
      <c r="U15" s="668">
        <f t="shared" si="1"/>
        <v>100</v>
      </c>
      <c r="V15" s="667" t="s">
        <v>18</v>
      </c>
      <c r="W15" s="668">
        <f t="shared" si="2"/>
        <v>100</v>
      </c>
      <c r="X15" s="1265"/>
      <c r="Y15" s="336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73"/>
      <c r="Q16" s="1263"/>
      <c r="R16" s="667"/>
      <c r="S16" s="668"/>
      <c r="T16" s="667"/>
      <c r="U16" s="668"/>
      <c r="V16" s="667"/>
      <c r="W16" s="668"/>
      <c r="X16" s="1265"/>
      <c r="Y16" s="336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3"/>
      <c r="Q17" s="1263" t="str">
        <f>B17</f>
        <v>交通便捷度</v>
      </c>
      <c r="R17" s="667" t="s">
        <v>18</v>
      </c>
      <c r="S17" s="668">
        <f>F17</f>
        <v>100</v>
      </c>
      <c r="T17" s="667" t="s">
        <v>18</v>
      </c>
      <c r="U17" s="668">
        <f>H17</f>
        <v>100</v>
      </c>
      <c r="V17" s="667" t="s">
        <v>18</v>
      </c>
      <c r="W17" s="668">
        <f>J17</f>
        <v>100</v>
      </c>
      <c r="X17" s="1265"/>
      <c r="Y17" s="336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73"/>
      <c r="Q18" s="1263"/>
      <c r="R18" s="667"/>
      <c r="S18" s="668"/>
      <c r="T18" s="667"/>
      <c r="U18" s="668"/>
      <c r="V18" s="667"/>
      <c r="W18" s="668"/>
      <c r="X18" s="1265"/>
      <c r="Y18" s="336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3"/>
      <c r="Q19" s="1263" t="str">
        <f>B19</f>
        <v>公共配套设施</v>
      </c>
      <c r="R19" s="667" t="s">
        <v>18</v>
      </c>
      <c r="S19" s="668">
        <f>F19</f>
        <v>100</v>
      </c>
      <c r="T19" s="667" t="s">
        <v>18</v>
      </c>
      <c r="U19" s="668">
        <f>H19</f>
        <v>100</v>
      </c>
      <c r="V19" s="667" t="s">
        <v>18</v>
      </c>
      <c r="W19" s="668">
        <f>J19</f>
        <v>100</v>
      </c>
      <c r="X19" s="1265"/>
      <c r="Y19" s="336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73"/>
      <c r="Q20" s="1263"/>
      <c r="R20" s="667"/>
      <c r="S20" s="668"/>
      <c r="T20" s="667"/>
      <c r="U20" s="668"/>
      <c r="V20" s="667"/>
      <c r="W20" s="668"/>
      <c r="X20" s="1265"/>
      <c r="Y20" s="336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3"/>
      <c r="Q21" s="1263" t="str">
        <f>B21</f>
        <v>基础设施水平</v>
      </c>
      <c r="R21" s="667" t="s">
        <v>14</v>
      </c>
      <c r="S21" s="668">
        <f>F21</f>
        <v>100</v>
      </c>
      <c r="T21" s="667" t="s">
        <v>14</v>
      </c>
      <c r="U21" s="668">
        <f>H21</f>
        <v>100</v>
      </c>
      <c r="V21" s="667" t="s">
        <v>14</v>
      </c>
      <c r="W21" s="668">
        <f>J21</f>
        <v>100</v>
      </c>
      <c r="X21" s="1265"/>
      <c r="Y21" s="336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73"/>
      <c r="Q22" s="1263"/>
      <c r="R22" s="667"/>
      <c r="S22" s="668"/>
      <c r="T22" s="667"/>
      <c r="U22" s="668"/>
      <c r="V22" s="667"/>
      <c r="W22" s="668"/>
      <c r="X22" s="1265"/>
      <c r="Y22" s="336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3"/>
      <c r="Q23" s="1263" t="str">
        <f>B23</f>
        <v>自然及人文环境</v>
      </c>
      <c r="R23" s="667" t="s">
        <v>18</v>
      </c>
      <c r="S23" s="668">
        <f>F23</f>
        <v>100</v>
      </c>
      <c r="T23" s="667" t="s">
        <v>18</v>
      </c>
      <c r="U23" s="668">
        <f>H23</f>
        <v>100</v>
      </c>
      <c r="V23" s="667" t="s">
        <v>18</v>
      </c>
      <c r="W23" s="668">
        <f>J23</f>
        <v>100</v>
      </c>
      <c r="X23" s="1265"/>
      <c r="Y23" s="336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73"/>
      <c r="Q24" s="1263"/>
      <c r="R24" s="667"/>
      <c r="S24" s="668"/>
      <c r="T24" s="667"/>
      <c r="U24" s="668"/>
      <c r="V24" s="667"/>
      <c r="W24" s="668"/>
      <c r="X24" s="1265"/>
      <c r="Y24" s="336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3"/>
      <c r="Q26" s="1263" t="str">
        <f t="shared" si="11"/>
        <v>朝向</v>
      </c>
      <c r="R26" s="667" t="s">
        <v>18</v>
      </c>
      <c r="S26" s="668">
        <f t="shared" si="12"/>
        <v>100</v>
      </c>
      <c r="T26" s="667" t="s">
        <v>18</v>
      </c>
      <c r="U26" s="668">
        <f t="shared" si="13"/>
        <v>100</v>
      </c>
      <c r="V26" s="667" t="s">
        <v>18</v>
      </c>
      <c r="W26" s="668">
        <f t="shared" si="14"/>
        <v>100</v>
      </c>
      <c r="X26" s="1265"/>
      <c r="Y26" s="3366"/>
      <c r="Z26" s="1264" t="str">
        <f>Q26</f>
        <v>朝向</v>
      </c>
      <c r="AA26" s="1264">
        <f t="shared" si="15"/>
        <v>1</v>
      </c>
      <c r="AB26" s="1264">
        <f t="shared" si="16"/>
        <v>1</v>
      </c>
      <c r="AC26" s="1264">
        <f t="shared" si="17"/>
        <v>1</v>
      </c>
    </row>
    <row r="27" spans="1:29" s="102" customFormat="1" ht="15">
      <c r="A27" s="370"/>
      <c r="B27" s="3483" t="s">
        <v>3454</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73"/>
      <c r="Q27" s="530" t="str">
        <f t="shared" si="11"/>
        <v>楼层</v>
      </c>
      <c r="R27" s="664" t="s">
        <v>18</v>
      </c>
      <c r="S27" s="665">
        <f t="shared" si="12"/>
        <v>100</v>
      </c>
      <c r="T27" s="664" t="s">
        <v>18</v>
      </c>
      <c r="U27" s="665">
        <f t="shared" si="13"/>
        <v>100</v>
      </c>
      <c r="V27" s="664" t="s">
        <v>18</v>
      </c>
      <c r="W27" s="665">
        <f t="shared" si="14"/>
        <v>100</v>
      </c>
      <c r="X27" s="666"/>
      <c r="Y27" s="3366"/>
      <c r="Z27" s="50" t="str">
        <f>Q27</f>
        <v>楼层</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3"/>
      <c r="Q28" s="1263">
        <f t="shared" si="11"/>
        <v>111</v>
      </c>
      <c r="R28" s="667" t="s">
        <v>18</v>
      </c>
      <c r="S28" s="668">
        <f t="shared" si="12"/>
        <v>100</v>
      </c>
      <c r="T28" s="667" t="s">
        <v>18</v>
      </c>
      <c r="U28" s="668">
        <f t="shared" si="13"/>
        <v>100</v>
      </c>
      <c r="V28" s="667" t="s">
        <v>18</v>
      </c>
      <c r="W28" s="668">
        <f t="shared" si="14"/>
        <v>100</v>
      </c>
      <c r="X28" s="1265"/>
      <c r="Y28" s="336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3"/>
      <c r="Q29" s="1263">
        <f t="shared" si="11"/>
        <v>111</v>
      </c>
      <c r="R29" s="667" t="s">
        <v>18</v>
      </c>
      <c r="S29" s="668">
        <f t="shared" si="12"/>
        <v>100</v>
      </c>
      <c r="T29" s="667" t="s">
        <v>18</v>
      </c>
      <c r="U29" s="668">
        <f t="shared" si="13"/>
        <v>100</v>
      </c>
      <c r="V29" s="667" t="s">
        <v>18</v>
      </c>
      <c r="W29" s="668">
        <f t="shared" si="14"/>
        <v>100</v>
      </c>
      <c r="X29" s="1265"/>
      <c r="Y29" s="336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3"/>
      <c r="Q30" s="1263">
        <f t="shared" si="11"/>
        <v>111</v>
      </c>
      <c r="R30" s="667" t="s">
        <v>18</v>
      </c>
      <c r="S30" s="668">
        <f t="shared" si="12"/>
        <v>100</v>
      </c>
      <c r="T30" s="667" t="s">
        <v>18</v>
      </c>
      <c r="U30" s="668">
        <f t="shared" si="13"/>
        <v>100</v>
      </c>
      <c r="V30" s="667" t="s">
        <v>18</v>
      </c>
      <c r="W30" s="668">
        <f t="shared" si="14"/>
        <v>100</v>
      </c>
      <c r="X30" s="1265"/>
      <c r="Y30" s="336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3"/>
      <c r="Q31" s="1263">
        <f t="shared" si="11"/>
        <v>111</v>
      </c>
      <c r="R31" s="667" t="s">
        <v>18</v>
      </c>
      <c r="S31" s="668">
        <f t="shared" si="12"/>
        <v>100</v>
      </c>
      <c r="T31" s="667" t="s">
        <v>18</v>
      </c>
      <c r="U31" s="668">
        <f t="shared" si="13"/>
        <v>100</v>
      </c>
      <c r="V31" s="667" t="s">
        <v>18</v>
      </c>
      <c r="W31" s="668">
        <f t="shared" si="14"/>
        <v>100</v>
      </c>
      <c r="X31" s="1265"/>
      <c r="Y31" s="3366"/>
      <c r="Z31" s="1264">
        <f t="shared" si="18"/>
        <v>111</v>
      </c>
      <c r="AA31" s="1264">
        <f t="shared" si="15"/>
        <v>1</v>
      </c>
      <c r="AB31" s="1264">
        <f t="shared" si="16"/>
        <v>1</v>
      </c>
      <c r="AC31" s="1264">
        <f t="shared" si="17"/>
        <v>1</v>
      </c>
    </row>
    <row r="32" spans="1:29" ht="15">
      <c r="A32" s="379" t="s">
        <v>1694</v>
      </c>
      <c r="B32" s="60" t="s">
        <v>1695</v>
      </c>
      <c r="C32" s="1764" t="s">
        <v>3428</v>
      </c>
      <c r="D32" s="405">
        <v>100</v>
      </c>
      <c r="E32" s="1765" t="s">
        <v>3430</v>
      </c>
      <c r="F32" s="400">
        <f>SUMIF(100:100,E32,101:101)-SUMIF(100:100,C32,101:101)+100</f>
        <v>95</v>
      </c>
      <c r="G32" s="1765" t="s">
        <v>3430</v>
      </c>
      <c r="H32" s="405">
        <f>SUMIF(100:100,G32,101:101)-SUMIF(100:100,C32,101:101)+100</f>
        <v>95</v>
      </c>
      <c r="I32" s="1765" t="s">
        <v>3430</v>
      </c>
      <c r="J32" s="374">
        <f>SUMIF(100:100,I32,101:101)-SUMIF(100:100,C32,101:101)+100</f>
        <v>95</v>
      </c>
      <c r="K32" s="365">
        <v>5</v>
      </c>
      <c r="L32" s="2492"/>
      <c r="M32" s="2487"/>
      <c r="N32" s="2487"/>
      <c r="O32" s="2487"/>
      <c r="P32" s="3367" t="s">
        <v>1696</v>
      </c>
      <c r="Q32" s="1263" t="str">
        <f t="shared" si="11"/>
        <v>建筑类型</v>
      </c>
      <c r="R32" s="667" t="s">
        <v>18</v>
      </c>
      <c r="S32" s="668">
        <f t="shared" si="12"/>
        <v>95</v>
      </c>
      <c r="T32" s="667" t="s">
        <v>18</v>
      </c>
      <c r="U32" s="668">
        <f t="shared" si="13"/>
        <v>95</v>
      </c>
      <c r="V32" s="667" t="s">
        <v>18</v>
      </c>
      <c r="W32" s="668">
        <f t="shared" si="14"/>
        <v>95</v>
      </c>
      <c r="X32" s="1265"/>
      <c r="Y32" s="3370" t="s">
        <v>1696</v>
      </c>
      <c r="Z32" s="1264" t="str">
        <f t="shared" si="18"/>
        <v>建筑类型</v>
      </c>
      <c r="AA32" s="1264">
        <f t="shared" si="15"/>
        <v>1.0526315789473684</v>
      </c>
      <c r="AB32" s="1264">
        <f t="shared" si="16"/>
        <v>1.0526315789473684</v>
      </c>
      <c r="AC32" s="1264">
        <f t="shared" si="17"/>
        <v>1.0526315789473684</v>
      </c>
    </row>
    <row r="33" spans="1:29" s="408" customFormat="1" ht="15">
      <c r="A33" s="406"/>
      <c r="B33" s="364" t="s">
        <v>1697</v>
      </c>
      <c r="C33" s="407">
        <f>'数据-汇总表'!F19</f>
        <v>258.36</v>
      </c>
      <c r="D33" s="119">
        <v>100</v>
      </c>
      <c r="E33" s="369">
        <f>案例!B4</f>
        <v>172.34</v>
      </c>
      <c r="F33" s="364">
        <f>LOOKUP(E33,103:103,104:104)-LOOKUP(C33,103:103,104:104)+100</f>
        <v>102</v>
      </c>
      <c r="G33" s="368">
        <f>案例!B5</f>
        <v>181</v>
      </c>
      <c r="H33" s="119">
        <f>LOOKUP(G33,103:103,104:104)-LOOKUP(C33,103:103,104:104)+100</f>
        <v>102</v>
      </c>
      <c r="I33" s="369">
        <f>案例!B6</f>
        <v>175</v>
      </c>
      <c r="J33" s="119">
        <f>LOOKUP(I33,103:103,104:104)-LOOKUP(C33,103:103,104:104)+100</f>
        <v>102</v>
      </c>
      <c r="K33" s="1748"/>
      <c r="L33" s="2491"/>
      <c r="M33" s="2493"/>
      <c r="N33" s="2493"/>
      <c r="O33" s="2493"/>
      <c r="P33" s="3368"/>
      <c r="Q33" s="531" t="str">
        <f t="shared" si="11"/>
        <v>项目建筑规模</v>
      </c>
      <c r="R33" s="669" t="s">
        <v>18</v>
      </c>
      <c r="S33" s="670">
        <f t="shared" si="12"/>
        <v>102</v>
      </c>
      <c r="T33" s="669" t="s">
        <v>18</v>
      </c>
      <c r="U33" s="670">
        <f t="shared" si="13"/>
        <v>102</v>
      </c>
      <c r="V33" s="669" t="s">
        <v>18</v>
      </c>
      <c r="W33" s="670">
        <f t="shared" si="14"/>
        <v>102</v>
      </c>
      <c r="X33" s="671"/>
      <c r="Y33" s="3370"/>
      <c r="Z33" s="672" t="str">
        <f t="shared" si="18"/>
        <v>项目建筑规模</v>
      </c>
      <c r="AA33" s="1264">
        <f t="shared" si="15"/>
        <v>0.98039215686274506</v>
      </c>
      <c r="AB33" s="1264">
        <f t="shared" si="16"/>
        <v>0.98039215686274506</v>
      </c>
      <c r="AC33" s="1264">
        <f t="shared" si="17"/>
        <v>0.98039215686274506</v>
      </c>
    </row>
    <row r="34" spans="1:29" ht="15">
      <c r="A34" s="409"/>
      <c r="B34" s="364" t="s">
        <v>1698</v>
      </c>
      <c r="C34" s="399" t="s">
        <v>3401</v>
      </c>
      <c r="D34" s="374">
        <v>100</v>
      </c>
      <c r="E34" s="399" t="s">
        <v>3401</v>
      </c>
      <c r="F34" s="400">
        <f>SUMIF(105:105,E34,106:106)-SUMIF(105:105,C34,106:106)+100</f>
        <v>100</v>
      </c>
      <c r="G34" s="399" t="s">
        <v>3401</v>
      </c>
      <c r="H34" s="374">
        <f>SUMIF(105:105,G34,106:106)-SUMIF(105:105,C34,106:106)+100</f>
        <v>100</v>
      </c>
      <c r="I34" s="399" t="s">
        <v>3401</v>
      </c>
      <c r="J34" s="374">
        <f>SUMIF(105:105,I34,106:106)-SUMIF(105:105,C34,106:106)+100</f>
        <v>100</v>
      </c>
      <c r="K34" s="365"/>
      <c r="L34" s="2492"/>
      <c r="M34" s="2487"/>
      <c r="N34" s="2487"/>
      <c r="O34" s="2487"/>
      <c r="P34" s="3368"/>
      <c r="Q34" s="1263" t="str">
        <f t="shared" si="11"/>
        <v>建筑结构</v>
      </c>
      <c r="R34" s="667" t="s">
        <v>18</v>
      </c>
      <c r="S34" s="668">
        <f t="shared" si="12"/>
        <v>100</v>
      </c>
      <c r="T34" s="667" t="s">
        <v>18</v>
      </c>
      <c r="U34" s="668">
        <f t="shared" si="13"/>
        <v>100</v>
      </c>
      <c r="V34" s="667" t="s">
        <v>18</v>
      </c>
      <c r="W34" s="668">
        <f t="shared" si="14"/>
        <v>100</v>
      </c>
      <c r="X34" s="1265"/>
      <c r="Y34" s="3370"/>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2"/>
      <c r="M35" s="2487"/>
      <c r="N35" s="2487"/>
      <c r="O35" s="2487"/>
      <c r="P35" s="3368"/>
      <c r="Q35" s="1263" t="str">
        <f t="shared" si="11"/>
        <v>建筑品质</v>
      </c>
      <c r="R35" s="667" t="s">
        <v>18</v>
      </c>
      <c r="S35" s="668">
        <f t="shared" si="12"/>
        <v>100</v>
      </c>
      <c r="T35" s="667" t="s">
        <v>18</v>
      </c>
      <c r="U35" s="668">
        <f t="shared" si="13"/>
        <v>100</v>
      </c>
      <c r="V35" s="667" t="s">
        <v>18</v>
      </c>
      <c r="W35" s="668">
        <f t="shared" si="14"/>
        <v>100</v>
      </c>
      <c r="X35" s="1265"/>
      <c r="Y35" s="3370"/>
      <c r="Z35" s="1264" t="str">
        <f t="shared" si="18"/>
        <v>建筑品质</v>
      </c>
      <c r="AA35" s="1264">
        <f t="shared" si="15"/>
        <v>1</v>
      </c>
      <c r="AB35" s="1264">
        <f t="shared" si="16"/>
        <v>1</v>
      </c>
      <c r="AC35" s="1264">
        <f t="shared" si="17"/>
        <v>1</v>
      </c>
    </row>
    <row r="36" spans="1:29" ht="15">
      <c r="A36" s="409"/>
      <c r="B36" s="364" t="s">
        <v>1700</v>
      </c>
      <c r="C36" s="1760" t="s">
        <v>3446</v>
      </c>
      <c r="D36" s="374">
        <v>100</v>
      </c>
      <c r="E36" s="1760" t="s">
        <v>3446</v>
      </c>
      <c r="F36" s="400">
        <f>SUMIF(109:109,E36,110:110)-SUMIF(109:109,C36,110:110)+100</f>
        <v>100</v>
      </c>
      <c r="G36" s="1760" t="s">
        <v>3446</v>
      </c>
      <c r="H36" s="374">
        <f>SUMIF(109:109,G36,110:110)-SUMIF(109:109,C36,110:110)+100</f>
        <v>100</v>
      </c>
      <c r="I36" s="1760" t="s">
        <v>3446</v>
      </c>
      <c r="J36" s="374">
        <f>SUMIF(109:109,I36,110:110)-SUMIF(109:109,C36,110:110)+100</f>
        <v>100</v>
      </c>
      <c r="K36" s="365"/>
      <c r="L36" s="2492"/>
      <c r="M36" s="2487"/>
      <c r="N36" s="2487"/>
      <c r="O36" s="2487"/>
      <c r="P36" s="3368"/>
      <c r="Q36" s="1263" t="str">
        <f t="shared" si="11"/>
        <v>公共部分装修</v>
      </c>
      <c r="R36" s="667" t="s">
        <v>18</v>
      </c>
      <c r="S36" s="668">
        <f t="shared" si="12"/>
        <v>100</v>
      </c>
      <c r="T36" s="667" t="s">
        <v>18</v>
      </c>
      <c r="U36" s="668">
        <f t="shared" si="13"/>
        <v>100</v>
      </c>
      <c r="V36" s="667" t="s">
        <v>18</v>
      </c>
      <c r="W36" s="668">
        <f t="shared" si="14"/>
        <v>100</v>
      </c>
      <c r="X36" s="1265"/>
      <c r="Y36" s="3370"/>
      <c r="Z36" s="1264" t="str">
        <f t="shared" si="18"/>
        <v>公共部分装修</v>
      </c>
      <c r="AA36" s="1264">
        <f t="shared" si="15"/>
        <v>1</v>
      </c>
      <c r="AB36" s="1264">
        <f t="shared" si="16"/>
        <v>1</v>
      </c>
      <c r="AC36" s="1264">
        <f t="shared" si="17"/>
        <v>1</v>
      </c>
    </row>
    <row r="37" spans="1:29" s="102" customFormat="1" ht="15">
      <c r="A37" s="410"/>
      <c r="B37" s="364" t="s">
        <v>1701</v>
      </c>
      <c r="C37" s="411">
        <v>0.76</v>
      </c>
      <c r="D37" s="119">
        <v>100</v>
      </c>
      <c r="E37" s="411">
        <v>0.76</v>
      </c>
      <c r="F37" s="364">
        <f>LOOKUP(E37,112:112,113:113)-LOOKUP(C37,112:112,113:113)+100</f>
        <v>100</v>
      </c>
      <c r="G37" s="411">
        <v>0.76</v>
      </c>
      <c r="H37" s="119">
        <f>LOOKUP(G37,112:112,113:113)-LOOKUP(C37,112:112,113:113)+100</f>
        <v>100</v>
      </c>
      <c r="I37" s="411">
        <v>0.76</v>
      </c>
      <c r="J37" s="119">
        <f>LOOKUP(I37,112:112,113:113)-LOOKUP(C37,112:112,113:113)+100</f>
        <v>100</v>
      </c>
      <c r="K37" s="365"/>
      <c r="L37" s="2488"/>
      <c r="M37" s="2439"/>
      <c r="N37" s="2439"/>
      <c r="O37" s="2439"/>
      <c r="P37" s="3368"/>
      <c r="Q37" s="530" t="str">
        <f t="shared" si="11"/>
        <v>成新度</v>
      </c>
      <c r="R37" s="664" t="s">
        <v>18</v>
      </c>
      <c r="S37" s="665">
        <f t="shared" si="12"/>
        <v>100</v>
      </c>
      <c r="T37" s="664" t="s">
        <v>18</v>
      </c>
      <c r="U37" s="665">
        <f t="shared" si="13"/>
        <v>100</v>
      </c>
      <c r="V37" s="664" t="s">
        <v>18</v>
      </c>
      <c r="W37" s="665">
        <f t="shared" si="14"/>
        <v>100</v>
      </c>
      <c r="X37" s="666"/>
      <c r="Y37" s="3370"/>
      <c r="Z37" s="50" t="str">
        <f t="shared" si="18"/>
        <v>成新度</v>
      </c>
      <c r="AA37" s="50">
        <f t="shared" si="15"/>
        <v>1</v>
      </c>
      <c r="AB37" s="50">
        <f t="shared" si="16"/>
        <v>1</v>
      </c>
      <c r="AC37" s="50">
        <f t="shared" si="17"/>
        <v>1</v>
      </c>
    </row>
    <row r="38" spans="1:29" ht="15">
      <c r="A38" s="409"/>
      <c r="B38" s="364" t="s">
        <v>1702</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365"/>
      <c r="L38" s="2492"/>
      <c r="M38" s="2487"/>
      <c r="N38" s="2487"/>
      <c r="O38" s="2487"/>
      <c r="P38" s="3368" t="s">
        <v>1696</v>
      </c>
      <c r="Q38" s="1263" t="str">
        <f t="shared" si="11"/>
        <v>物业管理</v>
      </c>
      <c r="R38" s="667" t="s">
        <v>18</v>
      </c>
      <c r="S38" s="668">
        <f t="shared" si="12"/>
        <v>100</v>
      </c>
      <c r="T38" s="667" t="s">
        <v>18</v>
      </c>
      <c r="U38" s="668">
        <f t="shared" si="13"/>
        <v>100</v>
      </c>
      <c r="V38" s="667" t="s">
        <v>18</v>
      </c>
      <c r="W38" s="668">
        <f t="shared" si="14"/>
        <v>100</v>
      </c>
      <c r="X38" s="1265"/>
      <c r="Y38" s="3370" t="s">
        <v>1696</v>
      </c>
      <c r="Z38" s="1264" t="str">
        <f t="shared" si="18"/>
        <v>物业管理</v>
      </c>
      <c r="AA38" s="1264">
        <f t="shared" si="15"/>
        <v>1</v>
      </c>
      <c r="AB38" s="1264">
        <f t="shared" si="16"/>
        <v>1</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2"/>
      <c r="M39" s="2487"/>
      <c r="N39" s="2487"/>
      <c r="O39" s="2487"/>
      <c r="P39" s="3368"/>
      <c r="Q39" s="1263" t="str">
        <f t="shared" si="11"/>
        <v>市政基础设施</v>
      </c>
      <c r="R39" s="667" t="s">
        <v>18</v>
      </c>
      <c r="S39" s="668">
        <f t="shared" si="12"/>
        <v>100</v>
      </c>
      <c r="T39" s="667" t="s">
        <v>18</v>
      </c>
      <c r="U39" s="668">
        <f t="shared" si="13"/>
        <v>100</v>
      </c>
      <c r="V39" s="667" t="s">
        <v>18</v>
      </c>
      <c r="W39" s="668">
        <f t="shared" si="14"/>
        <v>100</v>
      </c>
      <c r="X39" s="1265"/>
      <c r="Y39" s="3370"/>
      <c r="Z39" s="1264" t="str">
        <f t="shared" si="18"/>
        <v>市政基础设施</v>
      </c>
      <c r="AA39" s="1264">
        <f t="shared" si="15"/>
        <v>1</v>
      </c>
      <c r="AB39" s="1264">
        <f t="shared" si="16"/>
        <v>1</v>
      </c>
      <c r="AC39" s="1264">
        <f t="shared" si="17"/>
        <v>1</v>
      </c>
    </row>
    <row r="40" spans="1:29" ht="15">
      <c r="A40" s="409"/>
      <c r="B40" s="364" t="s">
        <v>1704</v>
      </c>
      <c r="C40" s="1760"/>
      <c r="D40" s="374">
        <v>100</v>
      </c>
      <c r="E40" s="1760"/>
      <c r="F40" s="400">
        <f>SUMIF(118:118,E40,119:119)-SUMIF(118:118,C40,119:119)+100</f>
        <v>100</v>
      </c>
      <c r="G40" s="1760"/>
      <c r="H40" s="374">
        <f>SUMIF(118:118,G40,119:119)-SUMIF(118:118,C40,119:119)+100</f>
        <v>100</v>
      </c>
      <c r="I40" s="1760"/>
      <c r="J40" s="374">
        <f>SUMIF(118:118,I40,119:119)-SUMIF(118:118,C40,119:119)+100</f>
        <v>100</v>
      </c>
      <c r="K40" s="365"/>
      <c r="L40" s="2492"/>
      <c r="M40" s="2487"/>
      <c r="N40" s="2487"/>
      <c r="O40" s="2487"/>
      <c r="P40" s="3368"/>
      <c r="Q40" s="1263" t="str">
        <f t="shared" si="11"/>
        <v>房型</v>
      </c>
      <c r="R40" s="667" t="s">
        <v>18</v>
      </c>
      <c r="S40" s="668">
        <f t="shared" si="12"/>
        <v>100</v>
      </c>
      <c r="T40" s="667" t="s">
        <v>18</v>
      </c>
      <c r="U40" s="668">
        <f t="shared" si="13"/>
        <v>100</v>
      </c>
      <c r="V40" s="667" t="s">
        <v>18</v>
      </c>
      <c r="W40" s="668">
        <f t="shared" si="14"/>
        <v>100</v>
      </c>
      <c r="X40" s="1265"/>
      <c r="Y40" s="3370"/>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1"/>
      <c r="M41" s="2493"/>
      <c r="N41" s="2493"/>
      <c r="O41" s="2493"/>
      <c r="P41" s="3368"/>
      <c r="Q41" s="531" t="str">
        <f t="shared" si="11"/>
        <v>单套/主力户型建筑面积</v>
      </c>
      <c r="R41" s="669" t="s">
        <v>18</v>
      </c>
      <c r="S41" s="670">
        <f t="shared" si="12"/>
        <v>100</v>
      </c>
      <c r="T41" s="669" t="s">
        <v>18</v>
      </c>
      <c r="U41" s="670">
        <f t="shared" si="13"/>
        <v>100</v>
      </c>
      <c r="V41" s="669" t="s">
        <v>18</v>
      </c>
      <c r="W41" s="670">
        <f t="shared" si="14"/>
        <v>100</v>
      </c>
      <c r="X41" s="671"/>
      <c r="Y41" s="3370"/>
      <c r="Z41" s="672" t="str">
        <f t="shared" si="18"/>
        <v>单套/主力户型建筑面积</v>
      </c>
      <c r="AA41" s="1264">
        <f t="shared" si="15"/>
        <v>1</v>
      </c>
      <c r="AB41" s="1264">
        <f t="shared" si="16"/>
        <v>1</v>
      </c>
      <c r="AC41" s="1264">
        <f t="shared" si="17"/>
        <v>1</v>
      </c>
    </row>
    <row r="42" spans="1:29" ht="15">
      <c r="A42" s="409"/>
      <c r="B42" s="364" t="s">
        <v>1706</v>
      </c>
      <c r="C42" s="1760" t="s">
        <v>3446</v>
      </c>
      <c r="D42" s="374">
        <v>100</v>
      </c>
      <c r="E42" s="1760" t="s">
        <v>3448</v>
      </c>
      <c r="F42" s="400">
        <f>SUMIF(122:122,E42,123:123)-SUMIF(122:122,C42,123:123)+100</f>
        <v>95</v>
      </c>
      <c r="G42" s="1760" t="s">
        <v>3446</v>
      </c>
      <c r="H42" s="374">
        <f>SUMIF(122:122,G42,123:123)-SUMIF(122:122,C42,123:123)+100</f>
        <v>100</v>
      </c>
      <c r="I42" s="1760" t="s">
        <v>3448</v>
      </c>
      <c r="J42" s="374">
        <f>SUMIF(122:122,I42,123:123)-SUMIF(122:122,C42,123:123)+100</f>
        <v>95</v>
      </c>
      <c r="K42" s="365">
        <v>5</v>
      </c>
      <c r="L42" s="2492"/>
      <c r="M42" s="2487"/>
      <c r="N42" s="2487"/>
      <c r="O42" s="2487"/>
      <c r="P42" s="3368"/>
      <c r="Q42" s="1263" t="str">
        <f t="shared" si="11"/>
        <v>内部装修</v>
      </c>
      <c r="R42" s="667" t="s">
        <v>18</v>
      </c>
      <c r="S42" s="668">
        <f t="shared" si="12"/>
        <v>95</v>
      </c>
      <c r="T42" s="667" t="s">
        <v>18</v>
      </c>
      <c r="U42" s="668">
        <f t="shared" si="13"/>
        <v>100</v>
      </c>
      <c r="V42" s="667" t="s">
        <v>18</v>
      </c>
      <c r="W42" s="668">
        <f t="shared" si="14"/>
        <v>95</v>
      </c>
      <c r="X42" s="1265"/>
      <c r="Y42" s="3370"/>
      <c r="Z42" s="1264" t="str">
        <f t="shared" si="18"/>
        <v>内部装修</v>
      </c>
      <c r="AA42" s="1264">
        <f t="shared" si="15"/>
        <v>1.0526315789473684</v>
      </c>
      <c r="AB42" s="1264">
        <f t="shared" si="16"/>
        <v>1</v>
      </c>
      <c r="AC42" s="1264">
        <f t="shared" si="17"/>
        <v>1.0526315789473684</v>
      </c>
    </row>
    <row r="43" spans="1:29" ht="15">
      <c r="A43" s="409"/>
      <c r="B43" s="364" t="s">
        <v>1707</v>
      </c>
      <c r="C43" s="1760" t="s">
        <v>3410</v>
      </c>
      <c r="D43" s="374">
        <v>100</v>
      </c>
      <c r="E43" s="1760" t="s">
        <v>3410</v>
      </c>
      <c r="F43" s="400">
        <f>SUMIF(124:124,E43,125:125)-SUMIF(124:124,C43,125:125)+100</f>
        <v>100</v>
      </c>
      <c r="G43" s="1760" t="s">
        <v>3410</v>
      </c>
      <c r="H43" s="374">
        <f>SUMIF(124:124,G43,125:125)-SUMIF(124:124,C43,125:125)+100</f>
        <v>100</v>
      </c>
      <c r="I43" s="1760" t="s">
        <v>3410</v>
      </c>
      <c r="J43" s="374">
        <f>SUMIF(124:124,I43,125:125)-SUMIF(124:124,C43,125:125)+100</f>
        <v>100</v>
      </c>
      <c r="K43" s="365"/>
      <c r="L43" s="2492"/>
      <c r="M43" s="2487"/>
      <c r="N43" s="2487"/>
      <c r="O43" s="2487"/>
      <c r="P43" s="3368"/>
      <c r="Q43" s="1263" t="str">
        <f t="shared" si="11"/>
        <v>内部装修维护情况</v>
      </c>
      <c r="R43" s="667" t="s">
        <v>18</v>
      </c>
      <c r="S43" s="668">
        <f t="shared" si="12"/>
        <v>100</v>
      </c>
      <c r="T43" s="667" t="s">
        <v>18</v>
      </c>
      <c r="U43" s="668">
        <f t="shared" si="13"/>
        <v>100</v>
      </c>
      <c r="V43" s="667" t="s">
        <v>18</v>
      </c>
      <c r="W43" s="668">
        <f t="shared" si="14"/>
        <v>100</v>
      </c>
      <c r="X43" s="1265"/>
      <c r="Y43" s="337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68"/>
      <c r="Q44" s="530">
        <f t="shared" si="11"/>
        <v>111</v>
      </c>
      <c r="R44" s="664" t="s">
        <v>18</v>
      </c>
      <c r="S44" s="665">
        <f t="shared" si="12"/>
        <v>100</v>
      </c>
      <c r="T44" s="664" t="s">
        <v>18</v>
      </c>
      <c r="U44" s="665">
        <f t="shared" si="13"/>
        <v>100</v>
      </c>
      <c r="V44" s="664" t="s">
        <v>18</v>
      </c>
      <c r="W44" s="665">
        <f t="shared" si="14"/>
        <v>100</v>
      </c>
      <c r="X44" s="666"/>
      <c r="Y44" s="337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68"/>
      <c r="Q45" s="1263">
        <f t="shared" si="11"/>
        <v>111</v>
      </c>
      <c r="R45" s="667" t="s">
        <v>18</v>
      </c>
      <c r="S45" s="668">
        <f t="shared" si="12"/>
        <v>100</v>
      </c>
      <c r="T45" s="667" t="s">
        <v>18</v>
      </c>
      <c r="U45" s="668">
        <f t="shared" si="13"/>
        <v>100</v>
      </c>
      <c r="V45" s="667" t="s">
        <v>18</v>
      </c>
      <c r="W45" s="668">
        <f t="shared" si="14"/>
        <v>100</v>
      </c>
      <c r="X45" s="1265"/>
      <c r="Y45" s="337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69"/>
      <c r="Q46" s="1263">
        <f t="shared" si="11"/>
        <v>111</v>
      </c>
      <c r="R46" s="667" t="s">
        <v>17</v>
      </c>
      <c r="S46" s="668">
        <f t="shared" si="12"/>
        <v>100</v>
      </c>
      <c r="T46" s="667" t="s">
        <v>17</v>
      </c>
      <c r="U46" s="668">
        <f t="shared" si="13"/>
        <v>100</v>
      </c>
      <c r="V46" s="667" t="s">
        <v>17</v>
      </c>
      <c r="W46" s="668">
        <f t="shared" si="14"/>
        <v>100</v>
      </c>
      <c r="X46" s="1265"/>
      <c r="Y46" s="3371"/>
      <c r="Z46" s="1264">
        <f t="shared" si="18"/>
        <v>111</v>
      </c>
      <c r="AA46" s="1264">
        <f t="shared" si="15"/>
        <v>1</v>
      </c>
      <c r="AB46" s="1264">
        <f t="shared" si="16"/>
        <v>1</v>
      </c>
      <c r="AC46" s="1264">
        <f t="shared" si="17"/>
        <v>1</v>
      </c>
    </row>
    <row r="47" spans="1:29" ht="15">
      <c r="A47" s="416" t="s">
        <v>1708</v>
      </c>
      <c r="B47" s="417"/>
      <c r="C47" s="1081" t="s">
        <v>16</v>
      </c>
      <c r="D47" s="418"/>
      <c r="E47" s="419">
        <f>案例!D4</f>
        <v>87037</v>
      </c>
      <c r="F47" s="420"/>
      <c r="G47" s="421">
        <f>案例!D5</f>
        <v>97238</v>
      </c>
      <c r="H47" s="422"/>
      <c r="I47" s="419">
        <f>案例!D6</f>
        <v>94286</v>
      </c>
      <c r="J47" s="422"/>
      <c r="K47" s="1766"/>
      <c r="L47" s="2494"/>
      <c r="M47" s="2487"/>
      <c r="N47" s="2487"/>
      <c r="O47" s="2487"/>
      <c r="P47" s="3364" t="str">
        <f>A47</f>
        <v>成交单价（元/平方米）</v>
      </c>
      <c r="Q47" s="3364"/>
      <c r="R47" s="3359">
        <f>E47</f>
        <v>87037</v>
      </c>
      <c r="S47" s="3359"/>
      <c r="T47" s="3359">
        <f>G47</f>
        <v>97238</v>
      </c>
      <c r="U47" s="3359"/>
      <c r="V47" s="3359">
        <f>I47</f>
        <v>94286</v>
      </c>
      <c r="W47" s="3359"/>
      <c r="X47" s="385"/>
      <c r="Y47" s="673"/>
      <c r="Z47" s="385"/>
      <c r="AA47" s="385"/>
      <c r="AB47" s="385"/>
      <c r="AC47" s="385"/>
    </row>
    <row r="48" spans="1:29" ht="15.75" thickBot="1">
      <c r="A48" s="423" t="s">
        <v>1709</v>
      </c>
      <c r="B48" s="424"/>
      <c r="C48" s="1082">
        <f>R49</f>
        <v>99107</v>
      </c>
      <c r="D48" s="2140" t="s">
        <v>2138</v>
      </c>
      <c r="E48" s="1083">
        <f>R48</f>
        <v>94549</v>
      </c>
      <c r="F48" s="2141"/>
      <c r="G48" s="1082">
        <f>T48</f>
        <v>100349</v>
      </c>
      <c r="H48" s="2141"/>
      <c r="I48" s="1083">
        <f>V48</f>
        <v>102424</v>
      </c>
      <c r="J48" s="2141"/>
      <c r="K48" s="2142">
        <f>F48+H48+J48</f>
        <v>0</v>
      </c>
      <c r="L48" s="2494"/>
      <c r="M48" s="2487"/>
      <c r="N48" s="2487"/>
      <c r="O48" s="2487"/>
      <c r="P48" s="3364" t="str">
        <f>A48</f>
        <v>比较价值（元/平方米）</v>
      </c>
      <c r="Q48" s="3364"/>
      <c r="R48" s="3359">
        <f>IF(F1="售价",ROUND(PRODUCT(R47,AA7:AA46),0),ROUND(PRODUCT(R47,AA7:AA46),1))</f>
        <v>94549</v>
      </c>
      <c r="S48" s="3359"/>
      <c r="T48" s="3359">
        <f>IF(F1="售价",ROUND(PRODUCT(T47,AB7:AB46),0),ROUND(PRODUCT(T47,AB7:AB46),1))</f>
        <v>100349</v>
      </c>
      <c r="U48" s="3359"/>
      <c r="V48" s="3359">
        <f>IF(F1="售价",ROUND(PRODUCT(V47,AC7:AC46),0),ROUND(PRODUCT(V47,AC7:AC46),1))</f>
        <v>102424</v>
      </c>
      <c r="W48" s="3359"/>
      <c r="X48" s="385"/>
      <c r="Y48" s="385"/>
      <c r="Z48" s="385"/>
      <c r="AA48" s="385"/>
      <c r="AB48" s="385"/>
      <c r="AC48" s="385"/>
    </row>
    <row r="49" spans="1:29" ht="15.75" thickBot="1">
      <c r="A49" s="427" t="s">
        <v>1710</v>
      </c>
      <c r="B49" s="428"/>
      <c r="C49" s="1084">
        <f>R49</f>
        <v>99107</v>
      </c>
      <c r="D49" s="351"/>
      <c r="E49" s="351"/>
      <c r="F49" s="351"/>
      <c r="G49" s="351"/>
      <c r="H49" s="351"/>
      <c r="I49" s="351"/>
      <c r="J49" s="351"/>
      <c r="K49" s="1767"/>
      <c r="L49" s="2494"/>
      <c r="M49" s="2487"/>
      <c r="N49" s="2487"/>
      <c r="O49" s="2487"/>
      <c r="P49" s="3361" t="str">
        <f>A49</f>
        <v>估价对象XX用房的比较价值（楼面单价，元/平方米）</v>
      </c>
      <c r="Q49" s="3362"/>
      <c r="R49" s="3363">
        <f>IF(F1="售价",ROUND(IF(D48="简单平均",AVERAGE(R48:V48),R48*F48+T48*H48+V48*J48),0),ROUND(IF(D48="简单平均",AVERAGE(R48:V48),R48*F48+T48*H48+V48*J48),1))</f>
        <v>99107</v>
      </c>
      <c r="S49" s="3363"/>
      <c r="T49" s="3363"/>
      <c r="U49" s="3363"/>
      <c r="V49" s="3363"/>
      <c r="W49" s="336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8.6308121833243323E-2</v>
      </c>
      <c r="F52" s="435" t="str">
        <f>IF(OR(E52&gt;=0.3,E52&lt;=-0.3),"超过30%","")</f>
        <v/>
      </c>
      <c r="G52" s="434">
        <f>IF(G47&lt;G48,G48/G47-1,G47/G48-1)</f>
        <v>3.1993665028075435E-2</v>
      </c>
      <c r="H52" s="435" t="str">
        <f>IF(OR(G52&gt;=0.3,G52&lt;=-0.3),"超过30%","")</f>
        <v/>
      </c>
      <c r="I52" s="434">
        <f>IF(I47&lt;I48,I48/I47-1,I47/I48-1)</f>
        <v>8.6311859661031276E-2</v>
      </c>
      <c r="J52" s="435" t="str">
        <f>IF(OR(I52&gt;=0.3,I52&lt;=-0.3),"超过30%","")</f>
        <v/>
      </c>
      <c r="K52" s="2499"/>
      <c r="L52" s="2495"/>
      <c r="M52" s="2487"/>
      <c r="N52" s="2487"/>
      <c r="O52" s="2487"/>
    </row>
    <row r="53" spans="1:29" ht="13.5" customHeight="1">
      <c r="A53" s="2487"/>
      <c r="B53" s="2487"/>
      <c r="C53" s="432" t="s">
        <v>1712</v>
      </c>
      <c r="D53" s="436"/>
      <c r="E53" s="434">
        <f>IF(E48&lt;G48,G48/E48-1,E48/G48-1)</f>
        <v>6.1343853451649499E-2</v>
      </c>
      <c r="F53" s="435" t="str">
        <f>IF(OR(E53&gt;=0.2,E53&lt;=-0.2),"超过20%","")</f>
        <v/>
      </c>
      <c r="G53" s="434">
        <f>IF(G48&lt;I48,I48/G48-1,G48/I48-1)</f>
        <v>2.067783435809023E-2</v>
      </c>
      <c r="H53" s="435" t="str">
        <f>IF(OR(G53&gt;=0.2,G53&lt;=-0.2),"超过20%","")</f>
        <v/>
      </c>
      <c r="I53" s="434">
        <f>IF(I48&lt;E48,E48/I48-1,I48/E48-1)</f>
        <v>8.3290145850299924E-2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0.11720302859703335</v>
      </c>
      <c r="F54" s="435" t="str">
        <f>IF(OR(E54&gt;=0.3,E54&lt;=-0.3),"超过30%","")</f>
        <v/>
      </c>
      <c r="G54" s="434">
        <f>IF(G47&lt;I47,I47/G47-1,G47/I47-1)</f>
        <v>3.1308996033345249E-2</v>
      </c>
      <c r="H54" s="435" t="str">
        <f>IF(OR(G54&gt;=0.3,G54&lt;=-0.3),"超过30%","")</f>
        <v/>
      </c>
      <c r="I54" s="434">
        <f>IF(I47&lt;E47,E47/I47-1,I47/E47-1)</f>
        <v>8.3286418419752595E-2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1"/>
      <c r="C59" s="1102">
        <v>100</v>
      </c>
      <c r="D59" s="445">
        <v>100</v>
      </c>
      <c r="E59" s="446">
        <v>100</v>
      </c>
      <c r="F59" s="446">
        <v>100</v>
      </c>
      <c r="G59" s="446">
        <v>100</v>
      </c>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481" t="s">
        <v>3444</v>
      </c>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t="str">
        <f>B27</f>
        <v>楼层</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479" t="s">
        <v>3429</v>
      </c>
      <c r="D100" s="3479" t="s">
        <v>3431</v>
      </c>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4"/>
      <c r="Q101" s="439"/>
    </row>
    <row r="102" spans="1:17" ht="15.75" thickTop="1">
      <c r="A102" s="367"/>
      <c r="B102" s="469" t="s">
        <v>1737</v>
      </c>
      <c r="C102" s="509" t="str">
        <f>C103&amp;"(含)"&amp;"-"&amp;D103</f>
        <v>0(含)-100</v>
      </c>
      <c r="D102" s="509" t="str">
        <f t="shared" ref="D102:L102" si="26">D103&amp;"(含)"&amp;"-"&amp;E103</f>
        <v>100(含)-150</v>
      </c>
      <c r="E102" s="509" t="str">
        <f t="shared" si="26"/>
        <v>150(含)-250</v>
      </c>
      <c r="F102" s="509" t="str">
        <f t="shared" si="26"/>
        <v>250(含)-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100</v>
      </c>
      <c r="E103" s="6">
        <v>150</v>
      </c>
      <c r="F103" s="6">
        <v>250</v>
      </c>
      <c r="G103" s="6"/>
      <c r="H103" s="6"/>
      <c r="I103" s="6"/>
      <c r="J103" s="524"/>
      <c r="K103" s="524"/>
      <c r="L103" s="525"/>
      <c r="M103" s="526"/>
      <c r="N103" s="881"/>
      <c r="O103" s="881"/>
      <c r="P103" s="1775"/>
      <c r="Q103" s="490"/>
    </row>
    <row r="104" spans="1:17" s="408" customFormat="1" ht="15.75" thickBot="1">
      <c r="A104" s="484"/>
      <c r="B104" s="474"/>
      <c r="C104" s="491">
        <v>100</v>
      </c>
      <c r="D104" s="467">
        <f>C104-2</f>
        <v>98</v>
      </c>
      <c r="E104" s="467">
        <f t="shared" ref="E104:F104" si="27">D104-2</f>
        <v>96</v>
      </c>
      <c r="F104" s="467">
        <f t="shared" si="27"/>
        <v>94</v>
      </c>
      <c r="G104" s="467"/>
      <c r="H104" s="467"/>
      <c r="I104" s="467"/>
      <c r="J104" s="467"/>
      <c r="K104" s="467"/>
      <c r="L104" s="467"/>
      <c r="M104" s="467"/>
      <c r="N104" s="880"/>
      <c r="O104" s="880"/>
      <c r="P104" s="1775"/>
      <c r="Q104" s="490"/>
    </row>
    <row r="105" spans="1:17" ht="15" thickTop="1">
      <c r="A105" s="409"/>
      <c r="B105" s="469" t="s">
        <v>1738</v>
      </c>
      <c r="C105" s="3481" t="s">
        <v>3445</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4"/>
      <c r="Q108" s="439"/>
    </row>
    <row r="109" spans="1:17" ht="15" thickTop="1">
      <c r="A109" s="409"/>
      <c r="B109" s="469" t="s">
        <v>1740</v>
      </c>
      <c r="C109" s="3481" t="s">
        <v>3447</v>
      </c>
      <c r="D109" s="3481" t="s">
        <v>3449</v>
      </c>
      <c r="E109" s="3481" t="s">
        <v>3450</v>
      </c>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481" t="s">
        <v>3452</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481" t="s">
        <v>3447</v>
      </c>
      <c r="D122" s="3481" t="s">
        <v>3449</v>
      </c>
      <c r="E122" s="3481" t="s">
        <v>3450</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3">C123-$K42</f>
        <v>95</v>
      </c>
      <c r="E123" s="475">
        <f t="shared" si="33"/>
        <v>90</v>
      </c>
      <c r="F123" s="475">
        <f t="shared" si="33"/>
        <v>85</v>
      </c>
      <c r="G123" s="475">
        <f t="shared" si="33"/>
        <v>80</v>
      </c>
      <c r="H123" s="475">
        <f t="shared" si="33"/>
        <v>75</v>
      </c>
      <c r="I123" s="475">
        <f t="shared" si="33"/>
        <v>70</v>
      </c>
      <c r="J123" s="475">
        <f t="shared" si="33"/>
        <v>65</v>
      </c>
      <c r="K123" s="475">
        <f t="shared" si="33"/>
        <v>60</v>
      </c>
      <c r="L123" s="475">
        <f t="shared" si="33"/>
        <v>55</v>
      </c>
      <c r="M123" s="475">
        <f t="shared" si="33"/>
        <v>50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49600</v>
      </c>
      <c r="C2" s="268" t="s">
        <v>1595</v>
      </c>
      <c r="D2" s="268"/>
      <c r="E2" s="2567"/>
      <c r="F2" s="2567"/>
      <c r="G2" s="2567"/>
      <c r="H2" s="2567"/>
      <c r="I2" s="2567"/>
      <c r="J2" s="2567"/>
      <c r="K2" s="2567"/>
    </row>
    <row r="3" spans="1:33" ht="18" customHeight="1" thickBot="1">
      <c r="A3" s="195" t="s">
        <v>1464</v>
      </c>
      <c r="B3" s="196">
        <f ca="1">ROUND(B2*10000/IF(C1="",'数据-汇总表'!E3,INDIRECT("'数据-取费表'!K"&amp;$K$1)),0)</f>
        <v>1919802</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258.36</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258.36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-41333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258.36</v>
      </c>
      <c r="E20" s="21">
        <f>'数据-取费表'!B28</f>
        <v>200</v>
      </c>
      <c r="F20" s="756"/>
      <c r="G20" s="12"/>
      <c r="H20" s="761"/>
      <c r="I20" s="761"/>
      <c r="J20" s="761"/>
      <c r="K20" s="762"/>
    </row>
    <row r="21" spans="1:33" s="755" customFormat="1" ht="13.5" customHeight="1">
      <c r="A21" s="744" t="s">
        <v>357</v>
      </c>
      <c r="B21" s="765" t="s">
        <v>1628</v>
      </c>
      <c r="C21" s="766">
        <f ca="1">C16+C17+C18</f>
        <v>-41333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-8267</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-8267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f ca="1">ROUND((C4-C21-C22-C23-C25-C28-C31)/(1+C24+D25+D28),0)</f>
        <v>49600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6" t="s">
        <v>694</v>
      </c>
      <c r="C6" s="1011">
        <f ca="1">ROUND(F6*F8*F7*(1-F9)/10000,0)</f>
        <v>0</v>
      </c>
      <c r="D6" s="147" t="s">
        <v>2109</v>
      </c>
      <c r="E6" s="294" t="s">
        <v>696</v>
      </c>
      <c r="F6" s="295">
        <f ca="1">INDIRECT("'数据-取费表'!u"&amp;$G$1)</f>
        <v>0</v>
      </c>
      <c r="G6" s="1292"/>
      <c r="H6" s="1006" t="s">
        <v>398</v>
      </c>
      <c r="I6" s="3376" t="s">
        <v>694</v>
      </c>
      <c r="J6" s="293">
        <f ca="1">ROUND(M6*M8*M7*(1-M9)/10000,0)</f>
        <v>0</v>
      </c>
      <c r="K6" s="147" t="s">
        <v>2108</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0</v>
      </c>
      <c r="G7" s="1292"/>
      <c r="H7" s="296"/>
      <c r="I7" s="3377"/>
      <c r="J7" s="298"/>
      <c r="K7" s="299"/>
      <c r="L7" s="294" t="s">
        <v>697</v>
      </c>
      <c r="M7" s="295">
        <f ca="1">F7</f>
        <v>0</v>
      </c>
    </row>
    <row r="8" spans="1:37" ht="18" customHeight="1">
      <c r="A8" s="296"/>
      <c r="B8" s="3377"/>
      <c r="C8" s="298"/>
      <c r="D8" s="299"/>
      <c r="E8" s="294" t="s">
        <v>698</v>
      </c>
      <c r="F8" s="295">
        <f ca="1">INDIRECT("'数据-取费表'!ai"&amp;$G$1)</f>
        <v>0</v>
      </c>
      <c r="G8" s="1292"/>
      <c r="H8" s="296"/>
      <c r="I8" s="3377"/>
      <c r="J8" s="298"/>
      <c r="K8" s="299"/>
      <c r="L8" s="294" t="s">
        <v>698</v>
      </c>
      <c r="M8" s="295">
        <f ca="1">INDIRECT("'数据-取费表'!ai"&amp;$G$1)</f>
        <v>0</v>
      </c>
    </row>
    <row r="9" spans="1:37" ht="18" customHeight="1">
      <c r="A9" s="296"/>
      <c r="B9" s="3378"/>
      <c r="C9" s="298"/>
      <c r="D9" s="299"/>
      <c r="E9" s="294" t="s">
        <v>699</v>
      </c>
      <c r="F9" s="304">
        <f ca="1">INDIRECT("'数据-取费表'!w"&amp;$G$1)</f>
        <v>0</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K43" sqref="K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3396</v>
      </c>
      <c r="D1" s="1271" t="s">
        <v>43</v>
      </c>
      <c r="E1" s="1272" t="s">
        <v>678</v>
      </c>
      <c r="F1" s="999">
        <f ca="1">J53</f>
        <v>49.36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839.10559999999998</v>
      </c>
      <c r="C2" s="1289" t="s">
        <v>879</v>
      </c>
      <c r="D2" s="1375">
        <f ca="1">C40+J29+L46</f>
        <v>8391056</v>
      </c>
      <c r="E2" s="1295" t="s">
        <v>880</v>
      </c>
      <c r="F2" s="1296"/>
      <c r="G2" s="2478"/>
      <c r="H2" s="2468"/>
      <c r="I2" s="2468"/>
      <c r="J2" s="2468"/>
      <c r="K2" s="2469"/>
      <c r="L2" s="2468"/>
      <c r="M2" s="2468"/>
    </row>
    <row r="3" spans="1:37" ht="18" customHeight="1" thickBot="1">
      <c r="A3" s="1297" t="s">
        <v>881</v>
      </c>
      <c r="B3" s="1298">
        <f ca="1">IF(ISERROR(D2/F43),0,ROUND(D2/F43,0))</f>
        <v>32478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378945</v>
      </c>
      <c r="D5" s="1273" t="s">
        <v>889</v>
      </c>
      <c r="E5" s="1008"/>
      <c r="F5" s="1009"/>
      <c r="G5" s="1292"/>
      <c r="H5" s="291">
        <v>1</v>
      </c>
      <c r="I5" s="292" t="s">
        <v>888</v>
      </c>
      <c r="J5" s="1007">
        <f ca="1">J6+J10+J12</f>
        <v>0</v>
      </c>
      <c r="K5" s="1273" t="s">
        <v>889</v>
      </c>
      <c r="L5" s="1008"/>
      <c r="M5" s="1009"/>
    </row>
    <row r="6" spans="1:37" ht="18" customHeight="1">
      <c r="A6" s="1006" t="s">
        <v>398</v>
      </c>
      <c r="B6" s="3376" t="s">
        <v>694</v>
      </c>
      <c r="C6" s="1011">
        <f ca="1">ROUND(F6*F8*F7*(1-F9),0)</f>
        <v>378000</v>
      </c>
      <c r="D6" s="147" t="s">
        <v>2106</v>
      </c>
      <c r="E6" s="294" t="s">
        <v>696</v>
      </c>
      <c r="F6" s="295">
        <f ca="1">INDIRECT("'数据-取费表'!u"&amp;$G$1)</f>
        <v>35000</v>
      </c>
      <c r="G6" s="1292"/>
      <c r="H6" s="1006" t="s">
        <v>398</v>
      </c>
      <c r="I6" s="3376" t="s">
        <v>694</v>
      </c>
      <c r="J6" s="293">
        <f ca="1">ROUND(M6*M8*M7*(1-M9),0)</f>
        <v>0</v>
      </c>
      <c r="K6" s="1284" t="s">
        <v>2107</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1</v>
      </c>
      <c r="G7" s="1292"/>
      <c r="H7" s="296"/>
      <c r="I7" s="3377"/>
      <c r="J7" s="298"/>
      <c r="K7" s="299"/>
      <c r="L7" s="294" t="s">
        <v>697</v>
      </c>
      <c r="M7" s="295">
        <f ca="1">F7</f>
        <v>1</v>
      </c>
    </row>
    <row r="8" spans="1:37" ht="18" customHeight="1">
      <c r="A8" s="296"/>
      <c r="B8" s="3377"/>
      <c r="C8" s="298"/>
      <c r="D8" s="299"/>
      <c r="E8" s="294" t="s">
        <v>698</v>
      </c>
      <c r="F8" s="295">
        <f ca="1">INDIRECT("'数据-取费表'!ai"&amp;$G$1)</f>
        <v>12</v>
      </c>
      <c r="G8" s="1292"/>
      <c r="H8" s="296"/>
      <c r="I8" s="3377"/>
      <c r="J8" s="298"/>
      <c r="K8" s="299"/>
      <c r="L8" s="294" t="s">
        <v>698</v>
      </c>
      <c r="M8" s="295">
        <f ca="1">INDIRECT("'数据-取费表'!ai"&amp;$G$1)</f>
        <v>12</v>
      </c>
    </row>
    <row r="9" spans="1:37" ht="18" customHeight="1">
      <c r="A9" s="296"/>
      <c r="B9" s="3378"/>
      <c r="C9" s="298"/>
      <c r="D9" s="299"/>
      <c r="E9" s="294" t="s">
        <v>699</v>
      </c>
      <c r="F9" s="304">
        <f ca="1">INDIRECT("'数据-取费表'!w"&amp;$G$1)</f>
        <v>0.1</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945</v>
      </c>
      <c r="D10" s="150" t="s">
        <v>2116</v>
      </c>
      <c r="E10" s="305" t="s">
        <v>701</v>
      </c>
      <c r="F10" s="1053" t="s">
        <v>3400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968808</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1033440</v>
      </c>
      <c r="D14" s="1257" t="s">
        <v>708</v>
      </c>
      <c r="E14" s="1255"/>
      <c r="F14" s="311"/>
      <c r="G14" s="1292"/>
      <c r="H14" s="928" t="s">
        <v>398</v>
      </c>
      <c r="I14" s="294" t="s">
        <v>709</v>
      </c>
      <c r="J14" s="21">
        <f ca="1">C29</f>
        <v>1274748</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2549</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1033440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2549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34620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-2549</v>
      </c>
      <c r="K25" s="1032" t="s">
        <v>753</v>
      </c>
      <c r="L25" s="1033"/>
      <c r="M25" s="1034"/>
    </row>
    <row r="26" spans="1:37" ht="18" customHeight="1">
      <c r="A26" s="928" t="s">
        <v>397</v>
      </c>
      <c r="B26" s="294" t="s">
        <v>754</v>
      </c>
      <c r="C26" s="21">
        <f ca="1">ROUND((C19+C20)*F26,0)</f>
        <v>206688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1274748</v>
      </c>
      <c r="D29" s="1029"/>
      <c r="E29" s="1027"/>
      <c r="F29" s="1030"/>
      <c r="G29" s="1303"/>
      <c r="H29" s="325" t="s">
        <v>396</v>
      </c>
      <c r="I29" s="326" t="s">
        <v>768</v>
      </c>
      <c r="J29" s="327">
        <f ca="1">ROUND(J26/(1+F40)^F41,0)</f>
        <v>0</v>
      </c>
      <c r="K29" s="328" t="s">
        <v>769</v>
      </c>
      <c r="L29" s="329"/>
      <c r="M29" s="330">
        <f ca="1">INDIRECT("'数据-取费表'!k"&amp;$G$1)</f>
        <v>258.36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16757</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9450</v>
      </c>
      <c r="D31" s="1257" t="s">
        <v>720</v>
      </c>
      <c r="E31" s="1256" t="s">
        <v>770</v>
      </c>
      <c r="F31" s="2138">
        <f ca="1">IF(项目基本情况!B11="企业","——",IF(M47="住宅",IF(F6*F7*F8/12/(1+'数据-取费表'!F30)&gt;100000,4%,2.5%),IF(F6*F7*F8/12/(1+'数据-取费表'!F30)&gt;100000,12%,7%)))</f>
        <v>2.5000000000000001E-2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2549</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969</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3789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362188</v>
      </c>
      <c r="D39" s="1032" t="s">
        <v>773</v>
      </c>
      <c r="E39" s="1033"/>
      <c r="F39" s="1034"/>
      <c r="G39" s="1292"/>
      <c r="H39" s="2473"/>
      <c r="I39" s="1305"/>
      <c r="J39" s="1306"/>
      <c r="K39" s="2471"/>
      <c r="L39" s="2473"/>
      <c r="M39" s="2473"/>
    </row>
    <row r="40" spans="1:18" ht="18" customHeight="1">
      <c r="A40" s="291" t="s">
        <v>395</v>
      </c>
      <c r="B40" s="292" t="s">
        <v>774</v>
      </c>
      <c r="C40" s="293">
        <f ca="1">ROUND(C39*(1-((1+F42)/(1+F40))^F41)/(F40-F42),0)</f>
        <v>8391056</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49.36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32478</v>
      </c>
      <c r="D43" s="328" t="s">
        <v>777</v>
      </c>
      <c r="E43" s="329" t="s">
        <v>778</v>
      </c>
      <c r="F43" s="330">
        <f ca="1">INDIRECT("'数据-取费表'!k"&amp;$G$1)</f>
        <v>258.36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f ca="1">ROUND((C68-C40)/10000,4)</f>
        <v>-845.04679999999996</v>
      </c>
      <c r="D45" s="3130" t="s">
        <v>3355</v>
      </c>
      <c r="E45" s="1307"/>
      <c r="F45" s="1307"/>
      <c r="O45" s="1310" t="s">
        <v>808</v>
      </c>
      <c r="P45" s="1366"/>
      <c r="Q45" s="1366"/>
      <c r="R45" s="1366"/>
    </row>
    <row r="46" spans="1:18" s="1292" customFormat="1" ht="13.5" thickBot="1">
      <c r="A46" s="1311" t="s">
        <v>809</v>
      </c>
      <c r="C46" s="1312">
        <f ca="1">ROUND(C45,0)</f>
        <v>-845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3401</v>
      </c>
      <c r="K47" s="1323" t="s">
        <v>816</v>
      </c>
      <c r="L47" s="1324">
        <f ca="1">INDIRECT("'数据-取费表'!d"&amp;$G$1)</f>
        <v>70</v>
      </c>
      <c r="M47" s="1288" t="str">
        <f>IF(ISNUMBER(FIND("住宅",C1)),"住宅","非住宅")</f>
        <v>住宅</v>
      </c>
      <c r="O47" s="1325" t="s">
        <v>403</v>
      </c>
      <c r="P47" s="1326" t="s">
        <v>817</v>
      </c>
      <c r="Q47" s="1327">
        <f ca="1">C40+J29</f>
        <v>8391056</v>
      </c>
      <c r="R47" s="1327" t="s">
        <v>818</v>
      </c>
    </row>
    <row r="48" spans="1:18" s="1292" customFormat="1" ht="28.5" thickBot="1">
      <c r="A48" s="1047" t="s">
        <v>438</v>
      </c>
      <c r="B48" s="292" t="s">
        <v>692</v>
      </c>
      <c r="C48" s="1268">
        <f ca="1">C49+C53+C55</f>
        <v>0</v>
      </c>
      <c r="D48" s="1049"/>
      <c r="E48" s="1050"/>
      <c r="F48" s="908"/>
      <c r="G48" s="681"/>
      <c r="H48" s="682"/>
      <c r="I48" s="1328" t="s">
        <v>819</v>
      </c>
      <c r="J48" s="1329" t="s">
        <v>3402</v>
      </c>
      <c r="K48" s="1330" t="s">
        <v>820</v>
      </c>
      <c r="L48" s="1331">
        <f ca="1">INDIRECT("'数据-取费表'!f"&amp;$G$1)</f>
        <v>49.36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1274748</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5335002</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49.36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49.36</v>
      </c>
      <c r="K53" s="3374" t="s">
        <v>837</v>
      </c>
      <c r="L53" s="3375"/>
      <c r="O53" s="1325" t="s">
        <v>409</v>
      </c>
      <c r="P53" s="1326" t="s">
        <v>838</v>
      </c>
      <c r="Q53" s="1327">
        <f ca="1">Q47+Q48</f>
        <v>8391056</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968808</v>
      </c>
      <c r="D56" s="1352"/>
      <c r="E56" s="1353"/>
      <c r="F56" s="1345"/>
      <c r="I56" s="1354" t="s">
        <v>842</v>
      </c>
      <c r="J56" s="1355" t="s">
        <v>3393</v>
      </c>
      <c r="K56" s="1328" t="s">
        <v>843</v>
      </c>
      <c r="L56" s="1331">
        <f ca="1">IF(L48&lt;J51,"——",L48-J51)</f>
        <v>6.3599999999999994</v>
      </c>
      <c r="O56" s="1325" t="s">
        <v>403</v>
      </c>
      <c r="P56" s="1326" t="s">
        <v>817</v>
      </c>
      <c r="Q56" s="1327">
        <f ca="1">C40+J29</f>
        <v>8391056</v>
      </c>
      <c r="R56" s="1327" t="s">
        <v>818</v>
      </c>
    </row>
    <row r="57" spans="1:18" s="1292" customFormat="1" ht="24.75" thickBot="1">
      <c r="A57" s="1356"/>
      <c r="B57" s="896" t="s">
        <v>767</v>
      </c>
      <c r="C57" s="230">
        <f ca="1">C29</f>
        <v>1274748</v>
      </c>
      <c r="D57" s="1357"/>
      <c r="E57" s="1358"/>
      <c r="F57" s="1359"/>
      <c r="I57" s="1360" t="s">
        <v>844</v>
      </c>
      <c r="J57" s="1361" t="str">
        <f ca="1">IF(OR(M47="住宅",J51&lt;L48,J56="是"),"——",J51-L48)</f>
        <v>——</v>
      </c>
      <c r="K57" s="1328" t="s">
        <v>892</v>
      </c>
      <c r="L57" s="1331">
        <f ca="1">IF(L48&lt;J51,"——",IF(L55="比较法",L49,IF(L55="基准地价",L50,L51)))</f>
        <v>5335002</v>
      </c>
      <c r="O57" s="1325" t="s">
        <v>404</v>
      </c>
      <c r="P57" s="1326" t="s">
        <v>893</v>
      </c>
      <c r="Q57" s="1327">
        <f ca="1">L60</f>
        <v>0</v>
      </c>
      <c r="R57" s="1327" t="s">
        <v>894</v>
      </c>
    </row>
    <row r="58" spans="1:18" s="1292" customFormat="1" ht="24.75" thickBot="1">
      <c r="A58" s="307" t="s">
        <v>393</v>
      </c>
      <c r="B58" s="904" t="s">
        <v>714</v>
      </c>
      <c r="C58" s="308">
        <f ca="1">ROUND(C59+C64+C65+C66,0)</f>
        <v>3518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0</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8391056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2549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969</v>
      </c>
      <c r="D65" s="910" t="s">
        <v>743</v>
      </c>
      <c r="E65" s="896" t="s">
        <v>744</v>
      </c>
      <c r="F65" s="321">
        <f t="shared" ca="1" si="0"/>
        <v>1E-3</v>
      </c>
      <c r="I65" s="1367" t="s">
        <v>867</v>
      </c>
      <c r="J65" s="610">
        <v>40</v>
      </c>
      <c r="K65" s="610">
        <v>30</v>
      </c>
      <c r="L65" s="610">
        <v>50</v>
      </c>
      <c r="M65" s="1369">
        <v>0.02</v>
      </c>
      <c r="O65" s="1325" t="s">
        <v>403</v>
      </c>
      <c r="P65" s="1326" t="s">
        <v>868</v>
      </c>
      <c r="Q65" s="1327">
        <f ca="1">C40+J29</f>
        <v>8391056</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-3518</v>
      </c>
      <c r="D67" s="909" t="s">
        <v>753</v>
      </c>
      <c r="E67" s="914"/>
      <c r="F67" s="915"/>
      <c r="O67" s="1334" t="s">
        <v>405</v>
      </c>
      <c r="P67" s="1326" t="s">
        <v>850</v>
      </c>
      <c r="Q67" s="1370">
        <f ca="1">L51</f>
        <v>5335002</v>
      </c>
      <c r="R67" s="1327" t="s">
        <v>870</v>
      </c>
    </row>
    <row r="68" spans="1:18" s="1292" customFormat="1" ht="16.5" thickBot="1">
      <c r="A68" s="893" t="s">
        <v>395</v>
      </c>
      <c r="B68" s="894" t="s">
        <v>774</v>
      </c>
      <c r="C68" s="293">
        <f ca="1">ROUND(C67*(1-((1+F70)/(1+F68))^F69)/(F68-F70),0)</f>
        <v>-59412</v>
      </c>
      <c r="D68" s="911" t="s">
        <v>758</v>
      </c>
      <c r="E68" s="896" t="s">
        <v>759</v>
      </c>
      <c r="F68" s="304">
        <f ca="1">F40</f>
        <v>5.5E-2</v>
      </c>
      <c r="O68" s="1334" t="s">
        <v>406</v>
      </c>
      <c r="P68" s="1371" t="s">
        <v>871</v>
      </c>
      <c r="Q68" s="1327">
        <f ca="1">ROUND(Q69-Q70*Q71,0)</f>
        <v>304060</v>
      </c>
      <c r="R68" s="1327" t="s">
        <v>414</v>
      </c>
    </row>
    <row r="69" spans="1:18" s="1292" customFormat="1" ht="13.5" thickBot="1">
      <c r="A69" s="897"/>
      <c r="B69" s="898"/>
      <c r="C69" s="298"/>
      <c r="D69" s="916" t="s">
        <v>762</v>
      </c>
      <c r="E69" s="896" t="s">
        <v>763</v>
      </c>
      <c r="F69" s="324">
        <f ca="1">F41</f>
        <v>49.36</v>
      </c>
      <c r="O69" s="1334" t="s">
        <v>411</v>
      </c>
      <c r="P69" s="1371" t="s">
        <v>872</v>
      </c>
      <c r="Q69" s="1327">
        <f ca="1">C39</f>
        <v>362188</v>
      </c>
      <c r="R69" s="1327" t="s">
        <v>818</v>
      </c>
    </row>
    <row r="70" spans="1:18" s="1292" customFormat="1" ht="13.5" thickBot="1">
      <c r="A70" s="900"/>
      <c r="B70" s="901"/>
      <c r="C70" s="302"/>
      <c r="D70" s="912"/>
      <c r="E70" s="896" t="s">
        <v>766</v>
      </c>
      <c r="F70" s="991"/>
      <c r="O70" s="1334" t="s">
        <v>412</v>
      </c>
      <c r="P70" s="1371" t="s">
        <v>873</v>
      </c>
      <c r="Q70" s="1327">
        <f ca="1">C13</f>
        <v>968808</v>
      </c>
      <c r="R70" s="1327" t="s">
        <v>818</v>
      </c>
    </row>
    <row r="71" spans="1:18" s="1292" customFormat="1" ht="13.5" thickBot="1">
      <c r="A71" s="917" t="s">
        <v>396</v>
      </c>
      <c r="B71" s="918" t="s">
        <v>776</v>
      </c>
      <c r="C71" s="327">
        <f ca="1">ROUND(C68/F71,0)</f>
        <v>-230</v>
      </c>
      <c r="D71" s="919" t="s">
        <v>777</v>
      </c>
      <c r="E71" s="920" t="s">
        <v>778</v>
      </c>
      <c r="F71" s="330">
        <f ca="1">F43</f>
        <v>258.36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58128</v>
      </c>
      <c r="D75" s="1292"/>
      <c r="E75" s="1292"/>
      <c r="F75" s="1292"/>
      <c r="K75" s="1309"/>
      <c r="L75" s="1292"/>
      <c r="O75" s="1325" t="s">
        <v>409</v>
      </c>
      <c r="P75" s="1326" t="s">
        <v>838</v>
      </c>
      <c r="Q75" s="1327">
        <f ca="1">Q65+Q66</f>
        <v>8391056</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0.84</v>
      </c>
    </row>
    <row r="80" spans="1:18">
      <c r="B80" s="331" t="s">
        <v>800</v>
      </c>
      <c r="C80" s="266">
        <f ca="1">ROUND(C75/C39,3)</f>
        <v>0.16</v>
      </c>
    </row>
    <row r="81" spans="2:3">
      <c r="B81" s="262" t="s">
        <v>801</v>
      </c>
      <c r="C81" s="230"/>
    </row>
    <row r="82" spans="2:3">
      <c r="B82" s="265" t="s">
        <v>802</v>
      </c>
      <c r="C82" s="267">
        <f ca="1">1-C83</f>
        <v>0.88500000000000001</v>
      </c>
    </row>
    <row r="83" spans="2:3">
      <c r="B83" s="265" t="s">
        <v>803</v>
      </c>
      <c r="C83" s="266">
        <f ca="1">ROUND(C13/C40,3)</f>
        <v>0.115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379" t="s">
        <v>2319</v>
      </c>
      <c r="K2" s="3380"/>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381" t="s">
        <v>2329</v>
      </c>
      <c r="K3" s="3382"/>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381" t="s">
        <v>2331</v>
      </c>
      <c r="K4" s="3382"/>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383" t="s">
        <v>2335</v>
      </c>
      <c r="B6" s="3384"/>
      <c r="C6" s="3385"/>
      <c r="D6" s="2621"/>
      <c r="E6" s="2622"/>
      <c r="F6" s="2623"/>
      <c r="G6" s="2624"/>
      <c r="H6" s="2599"/>
      <c r="I6" s="2600"/>
      <c r="J6" s="3386">
        <v>1</v>
      </c>
      <c r="K6" s="3387"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386"/>
      <c r="K7" s="3388"/>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390" t="s">
        <v>2349</v>
      </c>
      <c r="C8" s="3391"/>
      <c r="D8" s="2640" t="s">
        <v>2350</v>
      </c>
      <c r="E8" s="2641" t="s">
        <v>2351</v>
      </c>
      <c r="F8" s="2642" t="s">
        <v>2352</v>
      </c>
      <c r="G8" s="2643"/>
      <c r="H8" s="2599"/>
      <c r="I8" s="2600"/>
      <c r="J8" s="3386"/>
      <c r="K8" s="3388"/>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390" t="s">
        <v>2355</v>
      </c>
      <c r="C9" s="3391"/>
      <c r="D9" s="2640">
        <f>ROUND(D6*E9,0)</f>
        <v>0</v>
      </c>
      <c r="E9" s="2644"/>
      <c r="F9" s="2645" t="s">
        <v>2356</v>
      </c>
      <c r="G9" s="2624"/>
      <c r="H9" s="2599"/>
      <c r="I9" s="2600"/>
      <c r="J9" s="3386"/>
      <c r="K9" s="3388"/>
      <c r="L9" s="2634" t="s">
        <v>2357</v>
      </c>
      <c r="M9" s="2635"/>
      <c r="N9" s="2611"/>
      <c r="O9" s="2636"/>
      <c r="P9" s="2636"/>
      <c r="Q9" s="2637">
        <v>365</v>
      </c>
      <c r="R9" s="2638">
        <f t="shared" si="0"/>
        <v>0</v>
      </c>
      <c r="S9" s="2592"/>
      <c r="T9" s="2592"/>
      <c r="U9" s="2592"/>
      <c r="V9" s="2600"/>
    </row>
    <row r="10" spans="1:22" s="2604" customFormat="1" ht="13.15" customHeight="1">
      <c r="A10" s="2639">
        <v>2</v>
      </c>
      <c r="B10" s="3390" t="s">
        <v>2358</v>
      </c>
      <c r="C10" s="3391"/>
      <c r="D10" s="2640">
        <f>ROUND(D6*E10,0)</f>
        <v>0</v>
      </c>
      <c r="E10" s="2644"/>
      <c r="F10" s="2645" t="s">
        <v>2359</v>
      </c>
      <c r="G10" s="2624"/>
      <c r="H10" s="2599"/>
      <c r="I10" s="2600"/>
      <c r="J10" s="3386"/>
      <c r="K10" s="3388"/>
      <c r="L10" s="2634" t="s">
        <v>2360</v>
      </c>
      <c r="M10" s="2635"/>
      <c r="N10" s="2611"/>
      <c r="O10" s="2636"/>
      <c r="P10" s="2636"/>
      <c r="Q10" s="2637">
        <v>365</v>
      </c>
      <c r="R10" s="2638">
        <f t="shared" si="0"/>
        <v>0</v>
      </c>
      <c r="S10" s="2592"/>
      <c r="T10" s="2592"/>
      <c r="U10" s="2592"/>
      <c r="V10" s="2600"/>
    </row>
    <row r="11" spans="1:22" s="2604" customFormat="1" ht="13.15" customHeight="1">
      <c r="A11" s="2639">
        <v>3</v>
      </c>
      <c r="B11" s="3390" t="s">
        <v>2361</v>
      </c>
      <c r="C11" s="3391"/>
      <c r="D11" s="2640">
        <f>D12+D14+D15+D16</f>
        <v>0</v>
      </c>
      <c r="E11" s="2646" t="e">
        <f>D11/D6</f>
        <v>#DIV/0!</v>
      </c>
      <c r="F11" s="2642"/>
      <c r="G11" s="2643"/>
      <c r="H11" s="2599"/>
      <c r="I11" s="2600"/>
      <c r="J11" s="3386"/>
      <c r="K11" s="3388"/>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392" t="s">
        <v>2364</v>
      </c>
      <c r="C12" s="3393"/>
      <c r="D12" s="2648">
        <f>ROUND(D13*1.2%*(1-30%),0)</f>
        <v>0</v>
      </c>
      <c r="E12" s="2649">
        <v>1.2E-2</v>
      </c>
      <c r="F12" s="2642" t="s">
        <v>2365</v>
      </c>
      <c r="G12" s="2643"/>
      <c r="H12" s="2599"/>
      <c r="I12" s="2600"/>
      <c r="J12" s="3386"/>
      <c r="K12" s="3388"/>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386"/>
      <c r="K13" s="3388"/>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392" t="s">
        <v>2370</v>
      </c>
      <c r="C14" s="3393"/>
      <c r="D14" s="2648">
        <f>ROUND(E14*B5/10000,0)</f>
        <v>0</v>
      </c>
      <c r="E14" s="2637"/>
      <c r="F14" s="2642" t="s">
        <v>2371</v>
      </c>
      <c r="G14" s="2643"/>
      <c r="H14" s="2599"/>
      <c r="I14" s="2600"/>
      <c r="J14" s="3386"/>
      <c r="K14" s="3389"/>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392" t="s">
        <v>2374</v>
      </c>
      <c r="C15" s="3393"/>
      <c r="D15" s="2648">
        <f>ROUND(D6*E15,0)</f>
        <v>0</v>
      </c>
      <c r="E15" s="2649">
        <v>5.5E-2</v>
      </c>
      <c r="F15" s="2642" t="s">
        <v>2375</v>
      </c>
      <c r="G15" s="2624"/>
      <c r="H15" s="2599"/>
      <c r="I15" s="2600"/>
      <c r="J15" s="3386">
        <v>2</v>
      </c>
      <c r="K15" s="3387"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392" t="s">
        <v>2383</v>
      </c>
      <c r="C16" s="3393"/>
      <c r="D16" s="2659">
        <f>D6*E16</f>
        <v>0</v>
      </c>
      <c r="E16" s="2660"/>
      <c r="F16" s="2645" t="s">
        <v>2384</v>
      </c>
      <c r="G16" s="2624"/>
      <c r="H16" s="2599"/>
      <c r="I16" s="2600"/>
      <c r="J16" s="3386"/>
      <c r="K16" s="3388"/>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394" t="s">
        <v>2386</v>
      </c>
      <c r="C17" s="3395"/>
      <c r="D17" s="2662">
        <f>ROUND(D6*E17,0)</f>
        <v>0</v>
      </c>
      <c r="E17" s="2663"/>
      <c r="F17" s="2664" t="s">
        <v>2387</v>
      </c>
      <c r="G17" s="2624"/>
      <c r="H17" s="2599"/>
      <c r="I17" s="2600"/>
      <c r="J17" s="3386"/>
      <c r="K17" s="3388"/>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386"/>
      <c r="K18" s="3388"/>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386"/>
      <c r="K19" s="3389"/>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6">
        <v>3</v>
      </c>
      <c r="K20" s="3387"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386"/>
      <c r="K21" s="3388"/>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386"/>
      <c r="K22" s="3388"/>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386"/>
      <c r="K23" s="3388"/>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386"/>
      <c r="K24" s="3389"/>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396">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39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379" t="s">
        <v>2319</v>
      </c>
      <c r="K32" s="3380"/>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381" t="s">
        <v>2329</v>
      </c>
      <c r="K33" s="3382"/>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381" t="s">
        <v>2331</v>
      </c>
      <c r="K34" s="338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386">
        <v>1</v>
      </c>
      <c r="K36" s="3387"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386"/>
      <c r="K37" s="3388"/>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6"/>
      <c r="K38" s="3388"/>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386"/>
      <c r="K39" s="3388"/>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386"/>
      <c r="K40" s="3389"/>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6">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39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839.10559999999998</v>
      </c>
      <c r="C2" s="1729" t="s">
        <v>1651</v>
      </c>
      <c r="D2" s="1730" t="s">
        <v>1652</v>
      </c>
      <c r="E2" s="2392">
        <f>SUM(E6:E13)</f>
        <v>258.36</v>
      </c>
      <c r="F2" s="2479"/>
      <c r="G2" s="459"/>
      <c r="H2" s="459"/>
      <c r="I2" s="459"/>
      <c r="J2" s="459"/>
      <c r="K2" s="459"/>
      <c r="L2" s="459"/>
      <c r="M2" s="459"/>
      <c r="N2" s="459"/>
      <c r="O2" s="459"/>
      <c r="P2" s="459"/>
      <c r="Q2" s="459"/>
      <c r="R2" s="459"/>
      <c r="S2" s="459"/>
    </row>
    <row r="3" spans="1:22" ht="15.75">
      <c r="A3" s="1728" t="s">
        <v>686</v>
      </c>
      <c r="B3" s="2386">
        <f ca="1">ROUND(B2*10000/E2,0)</f>
        <v>32478</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98" t="s">
        <v>1654</v>
      </c>
      <c r="C5" s="3399"/>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839.10559999999998</v>
      </c>
      <c r="C6" s="1729" t="s">
        <v>1651</v>
      </c>
      <c r="D6" s="2479"/>
      <c r="E6" s="2391">
        <f>IF(OR(A6=0,F6="否"),0,'数据-取费表'!K6+'数据-取费表'!S6)</f>
        <v>258.36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258.36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47" t="s">
        <v>1770</v>
      </c>
      <c r="D4" s="3348"/>
      <c r="E4" s="3349" t="s">
        <v>1771</v>
      </c>
      <c r="F4" s="3350"/>
      <c r="G4" s="3347" t="s">
        <v>1772</v>
      </c>
      <c r="H4" s="3348"/>
      <c r="I4" s="3347" t="s">
        <v>1773</v>
      </c>
      <c r="J4" s="3348"/>
      <c r="K4" s="537" t="s">
        <v>1774</v>
      </c>
      <c r="L4" s="2486"/>
      <c r="M4" s="2487"/>
      <c r="N4" s="2487"/>
      <c r="O4" s="2487"/>
      <c r="P4" s="3351" t="s">
        <v>1775</v>
      </c>
      <c r="Q4" s="3352"/>
      <c r="R4" s="3334" t="s">
        <v>1771</v>
      </c>
      <c r="S4" s="3335"/>
      <c r="T4" s="3334" t="s">
        <v>1772</v>
      </c>
      <c r="U4" s="3335"/>
      <c r="V4" s="3359" t="s">
        <v>1773</v>
      </c>
      <c r="W4" s="3359"/>
      <c r="X4" s="1265"/>
      <c r="Y4" s="3334" t="s">
        <v>1775</v>
      </c>
      <c r="Z4" s="3335"/>
      <c r="AA4" s="3329" t="s">
        <v>1771</v>
      </c>
      <c r="AB4" s="3359" t="s">
        <v>1772</v>
      </c>
      <c r="AC4" s="3329" t="s">
        <v>1773</v>
      </c>
    </row>
    <row r="5" spans="1:29" ht="15">
      <c r="A5" s="348"/>
      <c r="B5" s="349"/>
      <c r="C5" s="3340" t="s">
        <v>1673</v>
      </c>
      <c r="D5" s="3341"/>
      <c r="E5" s="3338" t="s">
        <v>1674</v>
      </c>
      <c r="F5" s="3339"/>
      <c r="G5" s="3340" t="s">
        <v>1675</v>
      </c>
      <c r="H5" s="3341"/>
      <c r="I5" s="3340" t="s">
        <v>1676</v>
      </c>
      <c r="J5" s="3341"/>
      <c r="K5" s="537"/>
      <c r="L5" s="2486"/>
      <c r="M5" s="2487"/>
      <c r="N5" s="2487"/>
      <c r="O5" s="2487"/>
      <c r="P5" s="3353"/>
      <c r="Q5" s="3354"/>
      <c r="R5" s="3336"/>
      <c r="S5" s="3337"/>
      <c r="T5" s="3336"/>
      <c r="U5" s="3337"/>
      <c r="V5" s="3359"/>
      <c r="W5" s="3359"/>
      <c r="X5" s="1265"/>
      <c r="Y5" s="3336"/>
      <c r="Z5" s="3337"/>
      <c r="AA5" s="3330"/>
      <c r="AB5" s="3359"/>
      <c r="AC5" s="3330"/>
    </row>
    <row r="6" spans="1:29" ht="15.75" thickBot="1">
      <c r="A6" s="350"/>
      <c r="B6" s="351"/>
      <c r="C6" s="3342" t="s">
        <v>1677</v>
      </c>
      <c r="D6" s="3343"/>
      <c r="E6" s="3344" t="s">
        <v>1677</v>
      </c>
      <c r="F6" s="3345"/>
      <c r="G6" s="3342" t="s">
        <v>1677</v>
      </c>
      <c r="H6" s="3343"/>
      <c r="I6" s="3342" t="s">
        <v>1677</v>
      </c>
      <c r="J6" s="3343"/>
      <c r="K6" s="537" t="s">
        <v>1678</v>
      </c>
      <c r="L6" s="2486"/>
      <c r="M6" s="2487"/>
      <c r="N6" s="2487"/>
      <c r="O6" s="2487"/>
      <c r="P6" s="3355"/>
      <c r="Q6" s="3356"/>
      <c r="R6" s="3336"/>
      <c r="S6" s="3337"/>
      <c r="T6" s="3357"/>
      <c r="U6" s="3358"/>
      <c r="V6" s="3359"/>
      <c r="W6" s="3359"/>
      <c r="X6" s="1265"/>
      <c r="Y6" s="3357"/>
      <c r="Z6" s="3358"/>
      <c r="AA6" s="3331"/>
      <c r="AB6" s="3359"/>
      <c r="AC6" s="3331"/>
    </row>
    <row r="7" spans="1:29" s="102" customFormat="1" ht="15.75" thickBot="1">
      <c r="A7" s="352" t="s">
        <v>1679</v>
      </c>
      <c r="B7" s="353"/>
      <c r="C7" s="354">
        <f>'数据-取费表'!B2</f>
        <v>45546</v>
      </c>
      <c r="D7" s="355">
        <v>100</v>
      </c>
      <c r="E7" s="356"/>
      <c r="F7" s="357">
        <f>SUMIF(58:58,YEAR(E7)&amp;"-"&amp;MONTH(E7),59:59)</f>
        <v>0</v>
      </c>
      <c r="G7" s="356"/>
      <c r="H7" s="355">
        <f>SUMIF(58:58,YEAR(G7)&amp;"-"&amp;MONTH(G7),59:59)</f>
        <v>0</v>
      </c>
      <c r="I7" s="356"/>
      <c r="J7" s="355">
        <f>SUMIF(58:58,YEAR(I7)&amp;"-"&amp;MONTH(I7),59:59)</f>
        <v>0</v>
      </c>
      <c r="K7" s="38"/>
      <c r="L7" s="2488"/>
      <c r="M7" s="2439"/>
      <c r="N7" s="2439"/>
      <c r="O7" s="2439"/>
      <c r="P7" s="3332" t="s">
        <v>1680</v>
      </c>
      <c r="Q7" s="3360"/>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32" t="s">
        <v>1683</v>
      </c>
      <c r="Q8" s="3333"/>
      <c r="R8" s="664" t="s">
        <v>14</v>
      </c>
      <c r="S8" s="665">
        <f t="shared" si="0"/>
        <v>100</v>
      </c>
      <c r="T8" s="664" t="s">
        <v>14</v>
      </c>
      <c r="U8" s="665">
        <f t="shared" si="1"/>
        <v>100</v>
      </c>
      <c r="V8" s="664" t="s">
        <v>14</v>
      </c>
      <c r="W8" s="665">
        <f t="shared" si="2"/>
        <v>100</v>
      </c>
      <c r="X8" s="666"/>
      <c r="Y8" s="3332" t="s">
        <v>1683</v>
      </c>
      <c r="Z8" s="333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46"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46"/>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46"/>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46"/>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46"/>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46"/>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2" t="s">
        <v>1691</v>
      </c>
      <c r="Q15" s="1263" t="str">
        <f t="shared" si="6"/>
        <v>商业繁华度</v>
      </c>
      <c r="R15" s="667" t="s">
        <v>14</v>
      </c>
      <c r="S15" s="668">
        <f t="shared" si="0"/>
        <v>100</v>
      </c>
      <c r="T15" s="667" t="s">
        <v>14</v>
      </c>
      <c r="U15" s="668">
        <f t="shared" si="1"/>
        <v>100</v>
      </c>
      <c r="V15" s="667" t="s">
        <v>14</v>
      </c>
      <c r="W15" s="668">
        <f t="shared" si="2"/>
        <v>100</v>
      </c>
      <c r="X15" s="1265"/>
      <c r="Y15" s="336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73"/>
      <c r="Q16" s="1263"/>
      <c r="R16" s="667"/>
      <c r="S16" s="668"/>
      <c r="T16" s="667"/>
      <c r="U16" s="668"/>
      <c r="V16" s="667"/>
      <c r="W16" s="668"/>
      <c r="X16" s="1265"/>
      <c r="Y16" s="336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3"/>
      <c r="Q17" s="1263" t="str">
        <f>B17</f>
        <v>交通便捷度</v>
      </c>
      <c r="R17" s="667" t="s">
        <v>14</v>
      </c>
      <c r="S17" s="668">
        <f>F17</f>
        <v>100</v>
      </c>
      <c r="T17" s="667" t="s">
        <v>14</v>
      </c>
      <c r="U17" s="668">
        <f>H17</f>
        <v>100</v>
      </c>
      <c r="V17" s="667" t="s">
        <v>14</v>
      </c>
      <c r="W17" s="668">
        <f>J17</f>
        <v>100</v>
      </c>
      <c r="X17" s="1265"/>
      <c r="Y17" s="336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73"/>
      <c r="Q18" s="1263"/>
      <c r="R18" s="667"/>
      <c r="S18" s="668"/>
      <c r="T18" s="667"/>
      <c r="U18" s="668"/>
      <c r="V18" s="667"/>
      <c r="W18" s="668"/>
      <c r="X18" s="1265"/>
      <c r="Y18" s="336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3"/>
      <c r="Q19" s="1263" t="str">
        <f>B19</f>
        <v>公共配套设施</v>
      </c>
      <c r="R19" s="667" t="s">
        <v>14</v>
      </c>
      <c r="S19" s="668">
        <f>F19</f>
        <v>100</v>
      </c>
      <c r="T19" s="667" t="s">
        <v>14</v>
      </c>
      <c r="U19" s="668">
        <f>H19</f>
        <v>100</v>
      </c>
      <c r="V19" s="667" t="s">
        <v>14</v>
      </c>
      <c r="W19" s="668">
        <f>J19</f>
        <v>100</v>
      </c>
      <c r="X19" s="1265"/>
      <c r="Y19" s="336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73"/>
      <c r="Q20" s="1263"/>
      <c r="R20" s="667"/>
      <c r="S20" s="668"/>
      <c r="T20" s="667"/>
      <c r="U20" s="668"/>
      <c r="V20" s="667"/>
      <c r="W20" s="668"/>
      <c r="X20" s="1265"/>
      <c r="Y20" s="336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3"/>
      <c r="Q21" s="1263" t="str">
        <f>B21</f>
        <v>基础设施水平</v>
      </c>
      <c r="R21" s="667" t="s">
        <v>14</v>
      </c>
      <c r="S21" s="668">
        <f>F21</f>
        <v>100</v>
      </c>
      <c r="T21" s="667" t="s">
        <v>14</v>
      </c>
      <c r="U21" s="668">
        <f>H21</f>
        <v>100</v>
      </c>
      <c r="V21" s="667" t="s">
        <v>14</v>
      </c>
      <c r="W21" s="668">
        <f>J21</f>
        <v>100</v>
      </c>
      <c r="X21" s="1265"/>
      <c r="Y21" s="336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73"/>
      <c r="Q22" s="1263"/>
      <c r="R22" s="667"/>
      <c r="S22" s="668"/>
      <c r="T22" s="667"/>
      <c r="U22" s="668"/>
      <c r="V22" s="667"/>
      <c r="W22" s="668"/>
      <c r="X22" s="1265"/>
      <c r="Y22" s="3366"/>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3"/>
      <c r="Q23" s="1263" t="str">
        <f>B23</f>
        <v>自然及人文环境</v>
      </c>
      <c r="R23" s="667" t="s">
        <v>14</v>
      </c>
      <c r="S23" s="668">
        <f>F23</f>
        <v>100</v>
      </c>
      <c r="T23" s="667" t="s">
        <v>14</v>
      </c>
      <c r="U23" s="668">
        <f>H23</f>
        <v>100</v>
      </c>
      <c r="V23" s="667" t="s">
        <v>14</v>
      </c>
      <c r="W23" s="668">
        <f>J23</f>
        <v>100</v>
      </c>
      <c r="X23" s="1265"/>
      <c r="Y23" s="336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73"/>
      <c r="Q24" s="1263"/>
      <c r="R24" s="667"/>
      <c r="S24" s="668"/>
      <c r="T24" s="667"/>
      <c r="U24" s="668"/>
      <c r="V24" s="667"/>
      <c r="W24" s="668"/>
      <c r="X24" s="1265"/>
      <c r="Y24" s="336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3"/>
      <c r="Q25" s="1263" t="str">
        <f t="shared" ref="Q25:Q46" si="11">B25</f>
        <v>临街状况</v>
      </c>
      <c r="R25" s="667" t="s">
        <v>14</v>
      </c>
      <c r="S25" s="668">
        <f>F25</f>
        <v>100</v>
      </c>
      <c r="T25" s="667" t="s">
        <v>14</v>
      </c>
      <c r="U25" s="668">
        <f>H25</f>
        <v>100</v>
      </c>
      <c r="V25" s="667" t="s">
        <v>14</v>
      </c>
      <c r="W25" s="668">
        <f>J25</f>
        <v>100</v>
      </c>
      <c r="X25" s="1265"/>
      <c r="Y25" s="336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3"/>
      <c r="Q26" s="1263" t="str">
        <f t="shared" si="11"/>
        <v>平面位置/可视性</v>
      </c>
      <c r="R26" s="667" t="s">
        <v>14</v>
      </c>
      <c r="S26" s="668">
        <f>F26</f>
        <v>100</v>
      </c>
      <c r="T26" s="667" t="s">
        <v>14</v>
      </c>
      <c r="U26" s="668">
        <f>H26</f>
        <v>100</v>
      </c>
      <c r="V26" s="667" t="s">
        <v>14</v>
      </c>
      <c r="W26" s="668">
        <f>J26</f>
        <v>100</v>
      </c>
      <c r="X26" s="1265"/>
      <c r="Y26" s="3366"/>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73"/>
      <c r="Q27" s="530" t="str">
        <f t="shared" si="11"/>
        <v>人流量</v>
      </c>
      <c r="R27" s="664" t="s">
        <v>14</v>
      </c>
      <c r="S27" s="665">
        <f>F27</f>
        <v>100</v>
      </c>
      <c r="T27" s="664" t="s">
        <v>14</v>
      </c>
      <c r="U27" s="665">
        <f>H27</f>
        <v>100</v>
      </c>
      <c r="V27" s="664" t="s">
        <v>14</v>
      </c>
      <c r="W27" s="665">
        <f>J27</f>
        <v>100</v>
      </c>
      <c r="X27" s="666"/>
      <c r="Y27" s="336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3"/>
      <c r="Q29" s="1263">
        <f t="shared" si="11"/>
        <v>111</v>
      </c>
      <c r="R29" s="667" t="s">
        <v>14</v>
      </c>
      <c r="S29" s="668">
        <f t="shared" si="12"/>
        <v>100</v>
      </c>
      <c r="T29" s="667" t="s">
        <v>14</v>
      </c>
      <c r="U29" s="668">
        <f t="shared" si="13"/>
        <v>100</v>
      </c>
      <c r="V29" s="667" t="s">
        <v>14</v>
      </c>
      <c r="W29" s="668">
        <f t="shared" si="14"/>
        <v>100</v>
      </c>
      <c r="X29" s="1265"/>
      <c r="Y29" s="336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3"/>
      <c r="Q30" s="1263">
        <f t="shared" si="11"/>
        <v>111</v>
      </c>
      <c r="R30" s="667" t="s">
        <v>14</v>
      </c>
      <c r="S30" s="668">
        <f t="shared" si="12"/>
        <v>100</v>
      </c>
      <c r="T30" s="667" t="s">
        <v>14</v>
      </c>
      <c r="U30" s="668">
        <f t="shared" si="13"/>
        <v>100</v>
      </c>
      <c r="V30" s="667" t="s">
        <v>14</v>
      </c>
      <c r="W30" s="668">
        <f t="shared" si="14"/>
        <v>100</v>
      </c>
      <c r="X30" s="1265"/>
      <c r="Y30" s="336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3"/>
      <c r="Q31" s="1263">
        <f t="shared" si="11"/>
        <v>111</v>
      </c>
      <c r="R31" s="667" t="s">
        <v>14</v>
      </c>
      <c r="S31" s="668">
        <f t="shared" si="12"/>
        <v>100</v>
      </c>
      <c r="T31" s="667" t="s">
        <v>14</v>
      </c>
      <c r="U31" s="668">
        <f t="shared" si="13"/>
        <v>100</v>
      </c>
      <c r="V31" s="667" t="s">
        <v>14</v>
      </c>
      <c r="W31" s="668">
        <f t="shared" si="14"/>
        <v>100</v>
      </c>
      <c r="X31" s="1265"/>
      <c r="Y31" s="336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67" t="s">
        <v>1696</v>
      </c>
      <c r="Q32" s="1263" t="str">
        <f t="shared" si="11"/>
        <v>商业类型</v>
      </c>
      <c r="R32" s="667" t="s">
        <v>14</v>
      </c>
      <c r="S32" s="668">
        <f t="shared" si="12"/>
        <v>100</v>
      </c>
      <c r="T32" s="667" t="s">
        <v>14</v>
      </c>
      <c r="U32" s="668">
        <f t="shared" si="13"/>
        <v>100</v>
      </c>
      <c r="V32" s="667" t="s">
        <v>14</v>
      </c>
      <c r="W32" s="668">
        <f t="shared" si="14"/>
        <v>100</v>
      </c>
      <c r="X32" s="1265"/>
      <c r="Y32" s="337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68"/>
      <c r="Q33" s="531" t="str">
        <f t="shared" si="11"/>
        <v>项目建筑规模</v>
      </c>
      <c r="R33" s="669" t="s">
        <v>14</v>
      </c>
      <c r="S33" s="670" t="e">
        <f t="shared" si="12"/>
        <v>#N/A</v>
      </c>
      <c r="T33" s="669" t="s">
        <v>14</v>
      </c>
      <c r="U33" s="670" t="e">
        <f t="shared" si="13"/>
        <v>#N/A</v>
      </c>
      <c r="V33" s="669" t="s">
        <v>14</v>
      </c>
      <c r="W33" s="670" t="e">
        <f t="shared" si="14"/>
        <v>#N/A</v>
      </c>
      <c r="X33" s="671"/>
      <c r="Y33" s="337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68"/>
      <c r="Q34" s="1263" t="str">
        <f t="shared" si="11"/>
        <v>建筑结构</v>
      </c>
      <c r="R34" s="667" t="s">
        <v>14</v>
      </c>
      <c r="S34" s="668">
        <f t="shared" si="12"/>
        <v>100</v>
      </c>
      <c r="T34" s="667" t="s">
        <v>14</v>
      </c>
      <c r="U34" s="668">
        <f t="shared" si="13"/>
        <v>100</v>
      </c>
      <c r="V34" s="667" t="s">
        <v>14</v>
      </c>
      <c r="W34" s="668">
        <f t="shared" si="14"/>
        <v>100</v>
      </c>
      <c r="X34" s="1265"/>
      <c r="Y34" s="337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68"/>
      <c r="Q35" s="1263" t="str">
        <f t="shared" si="11"/>
        <v>公共部分装修</v>
      </c>
      <c r="R35" s="667" t="s">
        <v>14</v>
      </c>
      <c r="S35" s="668">
        <f t="shared" si="12"/>
        <v>100</v>
      </c>
      <c r="T35" s="667" t="s">
        <v>14</v>
      </c>
      <c r="U35" s="668">
        <f t="shared" si="13"/>
        <v>100</v>
      </c>
      <c r="V35" s="667" t="s">
        <v>14</v>
      </c>
      <c r="W35" s="668">
        <f t="shared" si="14"/>
        <v>100</v>
      </c>
      <c r="X35" s="1265"/>
      <c r="Y35" s="337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68"/>
      <c r="Q36" s="1263" t="str">
        <f t="shared" si="11"/>
        <v>成新度</v>
      </c>
      <c r="R36" s="667" t="s">
        <v>14</v>
      </c>
      <c r="S36" s="668" t="e">
        <f t="shared" si="12"/>
        <v>#N/A</v>
      </c>
      <c r="T36" s="667" t="s">
        <v>14</v>
      </c>
      <c r="U36" s="668" t="e">
        <f t="shared" si="13"/>
        <v>#N/A</v>
      </c>
      <c r="V36" s="667" t="s">
        <v>14</v>
      </c>
      <c r="W36" s="668" t="e">
        <f t="shared" si="14"/>
        <v>#N/A</v>
      </c>
      <c r="X36" s="1265"/>
      <c r="Y36" s="337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68"/>
      <c r="Q37" s="530" t="str">
        <f t="shared" si="11"/>
        <v>市政基础设施</v>
      </c>
      <c r="R37" s="664" t="s">
        <v>14</v>
      </c>
      <c r="S37" s="665">
        <f t="shared" si="12"/>
        <v>100</v>
      </c>
      <c r="T37" s="664" t="s">
        <v>14</v>
      </c>
      <c r="U37" s="665">
        <f t="shared" si="13"/>
        <v>100</v>
      </c>
      <c r="V37" s="664" t="s">
        <v>14</v>
      </c>
      <c r="W37" s="665">
        <f t="shared" si="14"/>
        <v>100</v>
      </c>
      <c r="X37" s="666"/>
      <c r="Y37" s="337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68" t="s">
        <v>1696</v>
      </c>
      <c r="Q38" s="1263" t="str">
        <f t="shared" si="11"/>
        <v>业态</v>
      </c>
      <c r="R38" s="667" t="s">
        <v>14</v>
      </c>
      <c r="S38" s="668">
        <f t="shared" si="12"/>
        <v>100</v>
      </c>
      <c r="T38" s="667" t="s">
        <v>14</v>
      </c>
      <c r="U38" s="668">
        <f t="shared" si="13"/>
        <v>100</v>
      </c>
      <c r="V38" s="667" t="s">
        <v>14</v>
      </c>
      <c r="W38" s="668">
        <f t="shared" si="14"/>
        <v>100</v>
      </c>
      <c r="X38" s="1265"/>
      <c r="Y38" s="337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68"/>
      <c r="Q39" s="1263" t="str">
        <f t="shared" si="11"/>
        <v>层高</v>
      </c>
      <c r="R39" s="667" t="s">
        <v>14</v>
      </c>
      <c r="S39" s="668">
        <f t="shared" si="12"/>
        <v>100</v>
      </c>
      <c r="T39" s="667" t="s">
        <v>14</v>
      </c>
      <c r="U39" s="668">
        <f t="shared" si="13"/>
        <v>100</v>
      </c>
      <c r="V39" s="667" t="s">
        <v>14</v>
      </c>
      <c r="W39" s="668">
        <f t="shared" si="14"/>
        <v>100</v>
      </c>
      <c r="X39" s="1265"/>
      <c r="Y39" s="337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68"/>
      <c r="Q40" s="1263" t="str">
        <f t="shared" si="11"/>
        <v>单套建筑面积</v>
      </c>
      <c r="R40" s="667" t="s">
        <v>14</v>
      </c>
      <c r="S40" s="668">
        <f t="shared" si="12"/>
        <v>100</v>
      </c>
      <c r="T40" s="667" t="s">
        <v>14</v>
      </c>
      <c r="U40" s="668">
        <f t="shared" si="13"/>
        <v>100</v>
      </c>
      <c r="V40" s="667" t="s">
        <v>14</v>
      </c>
      <c r="W40" s="668">
        <f t="shared" si="14"/>
        <v>100</v>
      </c>
      <c r="X40" s="1265"/>
      <c r="Y40" s="337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68"/>
      <c r="Q41" s="531" t="str">
        <f t="shared" si="11"/>
        <v>进深比</v>
      </c>
      <c r="R41" s="669" t="s">
        <v>14</v>
      </c>
      <c r="S41" s="670">
        <f t="shared" si="12"/>
        <v>100</v>
      </c>
      <c r="T41" s="669" t="s">
        <v>14</v>
      </c>
      <c r="U41" s="670">
        <f t="shared" si="13"/>
        <v>100</v>
      </c>
      <c r="V41" s="669" t="s">
        <v>14</v>
      </c>
      <c r="W41" s="670">
        <f t="shared" si="14"/>
        <v>100</v>
      </c>
      <c r="X41" s="671"/>
      <c r="Y41" s="337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68"/>
      <c r="Q42" s="1263" t="str">
        <f t="shared" si="11"/>
        <v>内部装修</v>
      </c>
      <c r="R42" s="667" t="s">
        <v>14</v>
      </c>
      <c r="S42" s="668">
        <f t="shared" si="12"/>
        <v>100</v>
      </c>
      <c r="T42" s="667" t="s">
        <v>14</v>
      </c>
      <c r="U42" s="668">
        <f t="shared" si="13"/>
        <v>100</v>
      </c>
      <c r="V42" s="667" t="s">
        <v>14</v>
      </c>
      <c r="W42" s="668">
        <f t="shared" si="14"/>
        <v>100</v>
      </c>
      <c r="X42" s="1265"/>
      <c r="Y42" s="337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68"/>
      <c r="Q43" s="1263" t="str">
        <f t="shared" si="11"/>
        <v>内部装修维护情况</v>
      </c>
      <c r="R43" s="667" t="s">
        <v>14</v>
      </c>
      <c r="S43" s="668">
        <f t="shared" si="12"/>
        <v>100</v>
      </c>
      <c r="T43" s="667" t="s">
        <v>14</v>
      </c>
      <c r="U43" s="668">
        <f t="shared" si="13"/>
        <v>100</v>
      </c>
      <c r="V43" s="667" t="s">
        <v>14</v>
      </c>
      <c r="W43" s="668">
        <f t="shared" si="14"/>
        <v>100</v>
      </c>
      <c r="X43" s="1265"/>
      <c r="Y43" s="337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68"/>
      <c r="Q44" s="530">
        <f t="shared" si="11"/>
        <v>111</v>
      </c>
      <c r="R44" s="664" t="s">
        <v>14</v>
      </c>
      <c r="S44" s="665">
        <f t="shared" si="12"/>
        <v>100</v>
      </c>
      <c r="T44" s="664" t="s">
        <v>14</v>
      </c>
      <c r="U44" s="665">
        <f t="shared" si="13"/>
        <v>100</v>
      </c>
      <c r="V44" s="664" t="s">
        <v>14</v>
      </c>
      <c r="W44" s="665">
        <f t="shared" si="14"/>
        <v>100</v>
      </c>
      <c r="X44" s="666"/>
      <c r="Y44" s="337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68"/>
      <c r="Q45" s="1263">
        <f t="shared" si="11"/>
        <v>111</v>
      </c>
      <c r="R45" s="667" t="s">
        <v>14</v>
      </c>
      <c r="S45" s="668">
        <f t="shared" si="12"/>
        <v>100</v>
      </c>
      <c r="T45" s="667" t="s">
        <v>14</v>
      </c>
      <c r="U45" s="668">
        <f t="shared" si="13"/>
        <v>100</v>
      </c>
      <c r="V45" s="667" t="s">
        <v>14</v>
      </c>
      <c r="W45" s="668">
        <f t="shared" si="14"/>
        <v>100</v>
      </c>
      <c r="X45" s="1265"/>
      <c r="Y45" s="337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69"/>
      <c r="Q46" s="1263">
        <f t="shared" si="11"/>
        <v>111</v>
      </c>
      <c r="R46" s="667" t="s">
        <v>14</v>
      </c>
      <c r="S46" s="668">
        <f t="shared" si="12"/>
        <v>100</v>
      </c>
      <c r="T46" s="667" t="s">
        <v>14</v>
      </c>
      <c r="U46" s="668">
        <f t="shared" si="13"/>
        <v>100</v>
      </c>
      <c r="V46" s="667" t="s">
        <v>14</v>
      </c>
      <c r="W46" s="668">
        <f t="shared" si="14"/>
        <v>100</v>
      </c>
      <c r="X46" s="1265"/>
      <c r="Y46" s="337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64" t="str">
        <f>A47</f>
        <v>成交单价（元/平方米）</v>
      </c>
      <c r="Q47" s="3364"/>
      <c r="R47" s="3359">
        <f>E47</f>
        <v>0</v>
      </c>
      <c r="S47" s="3359"/>
      <c r="T47" s="3359">
        <f>G47</f>
        <v>0</v>
      </c>
      <c r="U47" s="3359"/>
      <c r="V47" s="3359">
        <f>I47</f>
        <v>0</v>
      </c>
      <c r="W47" s="3359"/>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64" t="str">
        <f>A48</f>
        <v>比较价值（元/平方米）</v>
      </c>
      <c r="Q48" s="3364"/>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258.36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47" t="s">
        <v>1770</v>
      </c>
      <c r="D4" s="3348"/>
      <c r="E4" s="3349" t="s">
        <v>1771</v>
      </c>
      <c r="F4" s="3350"/>
      <c r="G4" s="3347" t="s">
        <v>1772</v>
      </c>
      <c r="H4" s="3348"/>
      <c r="I4" s="3347" t="s">
        <v>1773</v>
      </c>
      <c r="J4" s="3348"/>
      <c r="K4" s="537" t="s">
        <v>1774</v>
      </c>
      <c r="L4" s="2486"/>
      <c r="M4" s="2487"/>
      <c r="N4" s="2487"/>
      <c r="O4" s="2487"/>
      <c r="P4" s="3406" t="s">
        <v>1775</v>
      </c>
      <c r="Q4" s="3407"/>
      <c r="R4" s="3401" t="s">
        <v>1771</v>
      </c>
      <c r="S4" s="3402"/>
      <c r="T4" s="3401" t="s">
        <v>1772</v>
      </c>
      <c r="U4" s="3402"/>
      <c r="V4" s="3410" t="s">
        <v>1773</v>
      </c>
      <c r="W4" s="3410"/>
      <c r="X4" s="1808"/>
      <c r="Y4" s="3401" t="s">
        <v>1775</v>
      </c>
      <c r="Z4" s="3402"/>
      <c r="AA4" s="3400" t="s">
        <v>1771</v>
      </c>
      <c r="AB4" s="3400" t="s">
        <v>1772</v>
      </c>
      <c r="AC4" s="3403" t="s">
        <v>1773</v>
      </c>
    </row>
    <row r="5" spans="1:29" ht="15">
      <c r="A5" s="348"/>
      <c r="B5" s="349"/>
      <c r="C5" s="3340" t="s">
        <v>1673</v>
      </c>
      <c r="D5" s="3341"/>
      <c r="E5" s="3338" t="s">
        <v>1674</v>
      </c>
      <c r="F5" s="3339"/>
      <c r="G5" s="3340" t="s">
        <v>1675</v>
      </c>
      <c r="H5" s="3341"/>
      <c r="I5" s="3340" t="s">
        <v>1676</v>
      </c>
      <c r="J5" s="3341"/>
      <c r="K5" s="537"/>
      <c r="L5" s="2486"/>
      <c r="M5" s="2487"/>
      <c r="N5" s="2487"/>
      <c r="O5" s="2487"/>
      <c r="P5" s="3408"/>
      <c r="Q5" s="3354"/>
      <c r="R5" s="3336"/>
      <c r="S5" s="3337"/>
      <c r="T5" s="3336"/>
      <c r="U5" s="3337"/>
      <c r="V5" s="3359"/>
      <c r="W5" s="3359"/>
      <c r="X5" s="1265"/>
      <c r="Y5" s="3336"/>
      <c r="Z5" s="3337"/>
      <c r="AA5" s="3330"/>
      <c r="AB5" s="3330"/>
      <c r="AC5" s="3404"/>
    </row>
    <row r="6" spans="1:29" ht="15.75" thickBot="1">
      <c r="A6" s="350"/>
      <c r="B6" s="351"/>
      <c r="C6" s="3342" t="s">
        <v>1677</v>
      </c>
      <c r="D6" s="3343"/>
      <c r="E6" s="3344" t="s">
        <v>1677</v>
      </c>
      <c r="F6" s="3345"/>
      <c r="G6" s="3342" t="s">
        <v>1677</v>
      </c>
      <c r="H6" s="3343"/>
      <c r="I6" s="3342" t="s">
        <v>1677</v>
      </c>
      <c r="J6" s="3343"/>
      <c r="K6" s="537" t="s">
        <v>1678</v>
      </c>
      <c r="L6" s="2486"/>
      <c r="M6" s="2487"/>
      <c r="N6" s="2487"/>
      <c r="O6" s="2487"/>
      <c r="P6" s="3409"/>
      <c r="Q6" s="3356"/>
      <c r="R6" s="3336"/>
      <c r="S6" s="3337"/>
      <c r="T6" s="3357"/>
      <c r="U6" s="3358"/>
      <c r="V6" s="3359"/>
      <c r="W6" s="3359"/>
      <c r="X6" s="1265"/>
      <c r="Y6" s="3357"/>
      <c r="Z6" s="3358"/>
      <c r="AA6" s="3331"/>
      <c r="AB6" s="3331"/>
      <c r="AC6" s="3405"/>
    </row>
    <row r="7" spans="1:29" s="102" customFormat="1" ht="15.75" thickBot="1">
      <c r="A7" s="352" t="s">
        <v>1679</v>
      </c>
      <c r="B7" s="353"/>
      <c r="C7" s="354">
        <f>'数据-取费表'!B2</f>
        <v>45546</v>
      </c>
      <c r="D7" s="355">
        <v>100</v>
      </c>
      <c r="E7" s="356"/>
      <c r="F7" s="357">
        <f>SUMIF(59:59,YEAR(E7)&amp;"-"&amp;MONTH(E7),60:60)</f>
        <v>0</v>
      </c>
      <c r="G7" s="356"/>
      <c r="H7" s="355">
        <f>SUMIF(59:59,YEAR(G7)&amp;"-"&amp;MONTH(G7),60:60)</f>
        <v>0</v>
      </c>
      <c r="I7" s="356"/>
      <c r="J7" s="355">
        <f>SUMIF(59:59,YEAR(I7)&amp;"-"&amp;MONTH(I7),60:60)</f>
        <v>0</v>
      </c>
      <c r="K7" s="38"/>
      <c r="L7" s="2488"/>
      <c r="M7" s="2439"/>
      <c r="N7" s="2439"/>
      <c r="O7" s="2439"/>
      <c r="P7" s="3411" t="s">
        <v>1680</v>
      </c>
      <c r="Q7" s="3360"/>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11" t="s">
        <v>1683</v>
      </c>
      <c r="Q8" s="3333"/>
      <c r="R8" s="664" t="s">
        <v>14</v>
      </c>
      <c r="S8" s="665">
        <f t="shared" si="0"/>
        <v>100</v>
      </c>
      <c r="T8" s="664" t="s">
        <v>14</v>
      </c>
      <c r="U8" s="665">
        <f t="shared" si="1"/>
        <v>100</v>
      </c>
      <c r="V8" s="664" t="s">
        <v>14</v>
      </c>
      <c r="W8" s="665">
        <f t="shared" si="2"/>
        <v>100</v>
      </c>
      <c r="X8" s="666"/>
      <c r="Y8" s="3332" t="s">
        <v>1683</v>
      </c>
      <c r="Z8" s="333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46"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46"/>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46"/>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46"/>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46"/>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46"/>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2" t="s">
        <v>1691</v>
      </c>
      <c r="Q15" s="1263" t="str">
        <f t="shared" si="6"/>
        <v>办公集聚程度</v>
      </c>
      <c r="R15" s="667" t="s">
        <v>14</v>
      </c>
      <c r="S15" s="668">
        <f t="shared" si="0"/>
        <v>100</v>
      </c>
      <c r="T15" s="667" t="s">
        <v>14</v>
      </c>
      <c r="U15" s="668">
        <f t="shared" si="1"/>
        <v>100</v>
      </c>
      <c r="V15" s="667" t="s">
        <v>14</v>
      </c>
      <c r="W15" s="668">
        <f t="shared" si="2"/>
        <v>100</v>
      </c>
      <c r="X15" s="1265"/>
      <c r="Y15" s="3365"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2"/>
      <c r="M16" s="2487"/>
      <c r="N16" s="2487"/>
      <c r="O16" s="2487"/>
      <c r="P16" s="3373"/>
      <c r="Q16" s="1263"/>
      <c r="R16" s="667"/>
      <c r="S16" s="668"/>
      <c r="T16" s="667"/>
      <c r="U16" s="668"/>
      <c r="V16" s="667"/>
      <c r="W16" s="668"/>
      <c r="X16" s="1265"/>
      <c r="Y16" s="3366"/>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3"/>
      <c r="Q17" s="1263" t="str">
        <f>B17</f>
        <v>交通便捷度</v>
      </c>
      <c r="R17" s="667" t="s">
        <v>14</v>
      </c>
      <c r="S17" s="668">
        <f>F17</f>
        <v>100</v>
      </c>
      <c r="T17" s="667" t="s">
        <v>14</v>
      </c>
      <c r="U17" s="668">
        <f>H17</f>
        <v>100</v>
      </c>
      <c r="V17" s="667" t="s">
        <v>14</v>
      </c>
      <c r="W17" s="668">
        <f>J17</f>
        <v>100</v>
      </c>
      <c r="X17" s="1265"/>
      <c r="Y17" s="3366"/>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2"/>
      <c r="M18" s="2487"/>
      <c r="N18" s="2487"/>
      <c r="O18" s="2487"/>
      <c r="P18" s="3373"/>
      <c r="Q18" s="1263"/>
      <c r="R18" s="667"/>
      <c r="S18" s="668"/>
      <c r="T18" s="667"/>
      <c r="U18" s="668"/>
      <c r="V18" s="667"/>
      <c r="W18" s="668"/>
      <c r="X18" s="1265"/>
      <c r="Y18" s="3366"/>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3"/>
      <c r="Q19" s="1263" t="str">
        <f>B19</f>
        <v>公共配套设施</v>
      </c>
      <c r="R19" s="667" t="s">
        <v>14</v>
      </c>
      <c r="S19" s="668">
        <f>F19</f>
        <v>100</v>
      </c>
      <c r="T19" s="667" t="s">
        <v>14</v>
      </c>
      <c r="U19" s="668">
        <f>H19</f>
        <v>100</v>
      </c>
      <c r="V19" s="667" t="s">
        <v>14</v>
      </c>
      <c r="W19" s="668">
        <f>J19</f>
        <v>100</v>
      </c>
      <c r="X19" s="1265"/>
      <c r="Y19" s="3366"/>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2"/>
      <c r="M20" s="2487"/>
      <c r="N20" s="2487"/>
      <c r="O20" s="2487"/>
      <c r="P20" s="3373"/>
      <c r="Q20" s="1263"/>
      <c r="R20" s="667"/>
      <c r="S20" s="668"/>
      <c r="T20" s="667"/>
      <c r="U20" s="668"/>
      <c r="V20" s="667"/>
      <c r="W20" s="668"/>
      <c r="X20" s="1265"/>
      <c r="Y20" s="3366"/>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3"/>
      <c r="Q21" s="1263" t="str">
        <f>B21</f>
        <v>基础设施水平</v>
      </c>
      <c r="R21" s="667" t="s">
        <v>14</v>
      </c>
      <c r="S21" s="668">
        <f>F21</f>
        <v>100</v>
      </c>
      <c r="T21" s="667" t="s">
        <v>14</v>
      </c>
      <c r="U21" s="668">
        <f>H21</f>
        <v>100</v>
      </c>
      <c r="V21" s="667" t="s">
        <v>14</v>
      </c>
      <c r="W21" s="668">
        <f>J21</f>
        <v>100</v>
      </c>
      <c r="X21" s="1265"/>
      <c r="Y21" s="3366"/>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2"/>
      <c r="M22" s="2487"/>
      <c r="N22" s="2487"/>
      <c r="O22" s="2487"/>
      <c r="P22" s="3373"/>
      <c r="Q22" s="1263"/>
      <c r="R22" s="667"/>
      <c r="S22" s="668"/>
      <c r="T22" s="667"/>
      <c r="U22" s="668"/>
      <c r="V22" s="667"/>
      <c r="W22" s="668"/>
      <c r="X22" s="1265"/>
      <c r="Y22" s="3366"/>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3"/>
      <c r="Q23" s="1263" t="str">
        <f>B23</f>
        <v>环境质量</v>
      </c>
      <c r="R23" s="667" t="s">
        <v>14</v>
      </c>
      <c r="S23" s="668">
        <f>F23</f>
        <v>100</v>
      </c>
      <c r="T23" s="667" t="s">
        <v>14</v>
      </c>
      <c r="U23" s="668">
        <f>H23</f>
        <v>100</v>
      </c>
      <c r="V23" s="667" t="s">
        <v>14</v>
      </c>
      <c r="W23" s="668">
        <f>J23</f>
        <v>100</v>
      </c>
      <c r="X23" s="1265"/>
      <c r="Y23" s="3366"/>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2"/>
      <c r="M24" s="2487"/>
      <c r="N24" s="2487"/>
      <c r="O24" s="2487"/>
      <c r="P24" s="3373"/>
      <c r="Q24" s="1263"/>
      <c r="R24" s="667"/>
      <c r="S24" s="668"/>
      <c r="T24" s="667"/>
      <c r="U24" s="668"/>
      <c r="V24" s="667"/>
      <c r="W24" s="668"/>
      <c r="X24" s="1265"/>
      <c r="Y24" s="3366"/>
      <c r="Z24" s="1264"/>
      <c r="AA24" s="1264">
        <v>1</v>
      </c>
      <c r="AB24" s="1264">
        <v>1</v>
      </c>
      <c r="AC24" s="1811">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73"/>
      <c r="Q25" s="1263" t="str">
        <f>B25</f>
        <v>毗邻道路的类型与等级</v>
      </c>
      <c r="R25" s="667" t="s">
        <v>14</v>
      </c>
      <c r="S25" s="668">
        <f>F25</f>
        <v>100</v>
      </c>
      <c r="T25" s="667" t="s">
        <v>14</v>
      </c>
      <c r="U25" s="668">
        <f>H25</f>
        <v>100</v>
      </c>
      <c r="V25" s="667" t="s">
        <v>14</v>
      </c>
      <c r="W25" s="668">
        <f>J25</f>
        <v>100</v>
      </c>
      <c r="X25" s="1265"/>
      <c r="Y25" s="3366"/>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73"/>
      <c r="Q26" s="1263"/>
      <c r="R26" s="667"/>
      <c r="S26" s="668"/>
      <c r="T26" s="667"/>
      <c r="U26" s="668"/>
      <c r="V26" s="667"/>
      <c r="W26" s="668"/>
      <c r="X26" s="1265"/>
      <c r="Y26" s="3366"/>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73"/>
      <c r="Q27" s="1263" t="str">
        <f t="shared" ref="Q27:Q47" si="11">B27</f>
        <v>楼层</v>
      </c>
      <c r="R27" s="667" t="s">
        <v>14</v>
      </c>
      <c r="S27" s="668">
        <f>F27</f>
        <v>100</v>
      </c>
      <c r="T27" s="667" t="s">
        <v>14</v>
      </c>
      <c r="U27" s="668">
        <f>H27</f>
        <v>100</v>
      </c>
      <c r="V27" s="667" t="s">
        <v>14</v>
      </c>
      <c r="W27" s="668">
        <f>J27</f>
        <v>100</v>
      </c>
      <c r="X27" s="1265"/>
      <c r="Y27" s="3366"/>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73"/>
      <c r="Q28" s="530" t="str">
        <f t="shared" si="11"/>
        <v>朝向</v>
      </c>
      <c r="R28" s="664" t="s">
        <v>14</v>
      </c>
      <c r="S28" s="665">
        <f>F28</f>
        <v>100</v>
      </c>
      <c r="T28" s="664" t="s">
        <v>14</v>
      </c>
      <c r="U28" s="665">
        <f>H28</f>
        <v>100</v>
      </c>
      <c r="V28" s="664" t="s">
        <v>14</v>
      </c>
      <c r="W28" s="665">
        <f>J28</f>
        <v>100</v>
      </c>
      <c r="X28" s="666"/>
      <c r="Y28" s="3366"/>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73"/>
      <c r="Q29" s="1263">
        <f t="shared" si="11"/>
        <v>111</v>
      </c>
      <c r="R29" s="667" t="s">
        <v>14</v>
      </c>
      <c r="S29" s="668">
        <f t="shared" ref="S29:S47" si="12">F29</f>
        <v>100</v>
      </c>
      <c r="T29" s="667" t="s">
        <v>14</v>
      </c>
      <c r="U29" s="668">
        <f t="shared" ref="U29:U47" si="13">H29</f>
        <v>100</v>
      </c>
      <c r="V29" s="667" t="s">
        <v>14</v>
      </c>
      <c r="W29" s="668">
        <f t="shared" ref="W29:W47" si="14">J29</f>
        <v>100</v>
      </c>
      <c r="X29" s="1265"/>
      <c r="Y29" s="3366"/>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73"/>
      <c r="Q30" s="1263">
        <f t="shared" si="11"/>
        <v>111</v>
      </c>
      <c r="R30" s="667" t="s">
        <v>14</v>
      </c>
      <c r="S30" s="668">
        <f t="shared" si="12"/>
        <v>100</v>
      </c>
      <c r="T30" s="667" t="s">
        <v>14</v>
      </c>
      <c r="U30" s="668">
        <f t="shared" si="13"/>
        <v>100</v>
      </c>
      <c r="V30" s="667" t="s">
        <v>14</v>
      </c>
      <c r="W30" s="668">
        <f t="shared" si="14"/>
        <v>100</v>
      </c>
      <c r="X30" s="1265"/>
      <c r="Y30" s="3366"/>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73"/>
      <c r="Q31" s="1263">
        <f t="shared" si="11"/>
        <v>111</v>
      </c>
      <c r="R31" s="667" t="s">
        <v>14</v>
      </c>
      <c r="S31" s="668">
        <f t="shared" si="12"/>
        <v>100</v>
      </c>
      <c r="T31" s="667" t="s">
        <v>14</v>
      </c>
      <c r="U31" s="668">
        <f t="shared" si="13"/>
        <v>100</v>
      </c>
      <c r="V31" s="667" t="s">
        <v>14</v>
      </c>
      <c r="W31" s="668">
        <f t="shared" si="14"/>
        <v>100</v>
      </c>
      <c r="X31" s="1265"/>
      <c r="Y31" s="3366"/>
      <c r="Z31" s="1264">
        <f t="shared" si="15"/>
        <v>111</v>
      </c>
      <c r="AA31" s="1264">
        <f t="shared" si="3"/>
        <v>1</v>
      </c>
      <c r="AB31" s="1264">
        <f t="shared" si="4"/>
        <v>1</v>
      </c>
      <c r="AC31" s="1811">
        <f t="shared" si="5"/>
        <v>1</v>
      </c>
    </row>
    <row r="32" spans="1:29" ht="15.75"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73"/>
      <c r="Q32" s="1263">
        <f t="shared" si="11"/>
        <v>111</v>
      </c>
      <c r="R32" s="667" t="s">
        <v>14</v>
      </c>
      <c r="S32" s="668">
        <f t="shared" si="12"/>
        <v>100</v>
      </c>
      <c r="T32" s="667" t="s">
        <v>14</v>
      </c>
      <c r="U32" s="668">
        <f t="shared" si="13"/>
        <v>100</v>
      </c>
      <c r="V32" s="667" t="s">
        <v>14</v>
      </c>
      <c r="W32" s="668">
        <f t="shared" si="14"/>
        <v>100</v>
      </c>
      <c r="X32" s="1265"/>
      <c r="Y32" s="3366"/>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67" t="s">
        <v>1696</v>
      </c>
      <c r="Q33" s="1263" t="str">
        <f t="shared" si="11"/>
        <v>建筑类型</v>
      </c>
      <c r="R33" s="667" t="s">
        <v>14</v>
      </c>
      <c r="S33" s="668">
        <f t="shared" si="12"/>
        <v>100</v>
      </c>
      <c r="T33" s="667" t="s">
        <v>14</v>
      </c>
      <c r="U33" s="668">
        <f t="shared" si="13"/>
        <v>100</v>
      </c>
      <c r="V33" s="667" t="s">
        <v>14</v>
      </c>
      <c r="W33" s="668">
        <f t="shared" si="14"/>
        <v>100</v>
      </c>
      <c r="X33" s="1265"/>
      <c r="Y33" s="3370"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68"/>
      <c r="Q34" s="531" t="str">
        <f t="shared" si="11"/>
        <v>项目建筑规模</v>
      </c>
      <c r="R34" s="669" t="s">
        <v>14</v>
      </c>
      <c r="S34" s="670" t="e">
        <f t="shared" si="12"/>
        <v>#N/A</v>
      </c>
      <c r="T34" s="669" t="s">
        <v>14</v>
      </c>
      <c r="U34" s="670" t="e">
        <f t="shared" si="13"/>
        <v>#N/A</v>
      </c>
      <c r="V34" s="669" t="s">
        <v>14</v>
      </c>
      <c r="W34" s="670" t="e">
        <f t="shared" si="14"/>
        <v>#N/A</v>
      </c>
      <c r="X34" s="671"/>
      <c r="Y34" s="3370"/>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68"/>
      <c r="Q35" s="1263" t="str">
        <f t="shared" si="11"/>
        <v>建筑结构</v>
      </c>
      <c r="R35" s="667" t="s">
        <v>14</v>
      </c>
      <c r="S35" s="668">
        <f t="shared" si="12"/>
        <v>100</v>
      </c>
      <c r="T35" s="667" t="s">
        <v>14</v>
      </c>
      <c r="U35" s="668">
        <f t="shared" si="13"/>
        <v>100</v>
      </c>
      <c r="V35" s="667" t="s">
        <v>14</v>
      </c>
      <c r="W35" s="668">
        <f t="shared" si="14"/>
        <v>100</v>
      </c>
      <c r="X35" s="1265"/>
      <c r="Y35" s="3370"/>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68"/>
      <c r="Q36" s="1263" t="str">
        <f t="shared" si="11"/>
        <v>公共部分装修</v>
      </c>
      <c r="R36" s="667" t="s">
        <v>14</v>
      </c>
      <c r="S36" s="668">
        <f t="shared" si="12"/>
        <v>100</v>
      </c>
      <c r="T36" s="667" t="s">
        <v>14</v>
      </c>
      <c r="U36" s="668">
        <f t="shared" si="13"/>
        <v>100</v>
      </c>
      <c r="V36" s="667" t="s">
        <v>14</v>
      </c>
      <c r="W36" s="668">
        <f t="shared" si="14"/>
        <v>100</v>
      </c>
      <c r="X36" s="1265"/>
      <c r="Y36" s="3370"/>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68"/>
      <c r="Q37" s="1263" t="str">
        <f t="shared" si="11"/>
        <v>成新度</v>
      </c>
      <c r="R37" s="667" t="s">
        <v>14</v>
      </c>
      <c r="S37" s="668" t="e">
        <f t="shared" si="12"/>
        <v>#N/A</v>
      </c>
      <c r="T37" s="667" t="s">
        <v>14</v>
      </c>
      <c r="U37" s="668" t="e">
        <f t="shared" si="13"/>
        <v>#N/A</v>
      </c>
      <c r="V37" s="667" t="s">
        <v>14</v>
      </c>
      <c r="W37" s="668" t="e">
        <f t="shared" si="14"/>
        <v>#N/A</v>
      </c>
      <c r="X37" s="1265"/>
      <c r="Y37" s="3370"/>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68"/>
      <c r="Q38" s="530" t="str">
        <f t="shared" si="11"/>
        <v>写字楼等级</v>
      </c>
      <c r="R38" s="664" t="s">
        <v>14</v>
      </c>
      <c r="S38" s="665">
        <f t="shared" si="12"/>
        <v>100</v>
      </c>
      <c r="T38" s="664" t="s">
        <v>14</v>
      </c>
      <c r="U38" s="665">
        <f t="shared" si="13"/>
        <v>100</v>
      </c>
      <c r="V38" s="664" t="s">
        <v>14</v>
      </c>
      <c r="W38" s="665">
        <f t="shared" si="14"/>
        <v>100</v>
      </c>
      <c r="X38" s="666"/>
      <c r="Y38" s="337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68" t="s">
        <v>1696</v>
      </c>
      <c r="Q39" s="1263" t="str">
        <f t="shared" si="11"/>
        <v>物业管理</v>
      </c>
      <c r="R39" s="667" t="s">
        <v>14</v>
      </c>
      <c r="S39" s="668">
        <f t="shared" si="12"/>
        <v>100</v>
      </c>
      <c r="T39" s="667" t="s">
        <v>14</v>
      </c>
      <c r="U39" s="668">
        <f t="shared" si="13"/>
        <v>100</v>
      </c>
      <c r="V39" s="667" t="s">
        <v>14</v>
      </c>
      <c r="W39" s="668">
        <f t="shared" si="14"/>
        <v>100</v>
      </c>
      <c r="X39" s="1265"/>
      <c r="Y39" s="3370"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68"/>
      <c r="Q40" s="1263" t="str">
        <f t="shared" si="11"/>
        <v>市政基础设施</v>
      </c>
      <c r="R40" s="667" t="s">
        <v>14</v>
      </c>
      <c r="S40" s="668">
        <f t="shared" si="12"/>
        <v>100</v>
      </c>
      <c r="T40" s="667" t="s">
        <v>14</v>
      </c>
      <c r="U40" s="668">
        <f t="shared" si="13"/>
        <v>100</v>
      </c>
      <c r="V40" s="667" t="s">
        <v>14</v>
      </c>
      <c r="W40" s="668">
        <f t="shared" si="14"/>
        <v>100</v>
      </c>
      <c r="X40" s="1265"/>
      <c r="Y40" s="3370"/>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68"/>
      <c r="Q41" s="1263" t="str">
        <f t="shared" si="11"/>
        <v>层高</v>
      </c>
      <c r="R41" s="667" t="s">
        <v>14</v>
      </c>
      <c r="S41" s="668">
        <f t="shared" si="12"/>
        <v>100</v>
      </c>
      <c r="T41" s="667" t="s">
        <v>14</v>
      </c>
      <c r="U41" s="668">
        <f t="shared" si="13"/>
        <v>100</v>
      </c>
      <c r="V41" s="667" t="s">
        <v>14</v>
      </c>
      <c r="W41" s="668">
        <f t="shared" si="14"/>
        <v>100</v>
      </c>
      <c r="X41" s="1265"/>
      <c r="Y41" s="3370"/>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68"/>
      <c r="Q42" s="531" t="str">
        <f t="shared" si="11"/>
        <v>单套建筑面积</v>
      </c>
      <c r="R42" s="669" t="s">
        <v>14</v>
      </c>
      <c r="S42" s="670">
        <f t="shared" si="12"/>
        <v>100</v>
      </c>
      <c r="T42" s="669" t="s">
        <v>14</v>
      </c>
      <c r="U42" s="670">
        <f t="shared" si="13"/>
        <v>100</v>
      </c>
      <c r="V42" s="669" t="s">
        <v>14</v>
      </c>
      <c r="W42" s="670">
        <f t="shared" si="14"/>
        <v>100</v>
      </c>
      <c r="X42" s="671"/>
      <c r="Y42" s="3370"/>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68"/>
      <c r="Q43" s="1263" t="str">
        <f t="shared" si="11"/>
        <v>内部装修</v>
      </c>
      <c r="R43" s="667" t="s">
        <v>14</v>
      </c>
      <c r="S43" s="668">
        <f t="shared" si="12"/>
        <v>100</v>
      </c>
      <c r="T43" s="667" t="s">
        <v>14</v>
      </c>
      <c r="U43" s="668">
        <f t="shared" si="13"/>
        <v>100</v>
      </c>
      <c r="V43" s="667" t="s">
        <v>14</v>
      </c>
      <c r="W43" s="668">
        <f t="shared" si="14"/>
        <v>100</v>
      </c>
      <c r="X43" s="1265"/>
      <c r="Y43" s="3370"/>
      <c r="Z43" s="1264" t="str">
        <f t="shared" si="15"/>
        <v>内部装修</v>
      </c>
      <c r="AA43" s="1264">
        <f t="shared" si="3"/>
        <v>1</v>
      </c>
      <c r="AB43" s="1264">
        <f t="shared" si="4"/>
        <v>1</v>
      </c>
      <c r="AC43" s="1811">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68"/>
      <c r="Q44" s="1263" t="str">
        <f t="shared" si="11"/>
        <v>内部装修维护情况</v>
      </c>
      <c r="R44" s="667" t="s">
        <v>14</v>
      </c>
      <c r="S44" s="668">
        <f t="shared" si="12"/>
        <v>100</v>
      </c>
      <c r="T44" s="667" t="s">
        <v>14</v>
      </c>
      <c r="U44" s="668">
        <f t="shared" si="13"/>
        <v>100</v>
      </c>
      <c r="V44" s="667" t="s">
        <v>14</v>
      </c>
      <c r="W44" s="668">
        <f t="shared" si="14"/>
        <v>100</v>
      </c>
      <c r="X44" s="1265"/>
      <c r="Y44" s="3370"/>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68"/>
      <c r="Q45" s="530">
        <f t="shared" si="11"/>
        <v>111</v>
      </c>
      <c r="R45" s="664" t="s">
        <v>14</v>
      </c>
      <c r="S45" s="665">
        <f t="shared" si="12"/>
        <v>100</v>
      </c>
      <c r="T45" s="664" t="s">
        <v>14</v>
      </c>
      <c r="U45" s="665">
        <f t="shared" si="13"/>
        <v>100</v>
      </c>
      <c r="V45" s="664" t="s">
        <v>14</v>
      </c>
      <c r="W45" s="665">
        <f t="shared" si="14"/>
        <v>100</v>
      </c>
      <c r="X45" s="666"/>
      <c r="Y45" s="337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68"/>
      <c r="Q46" s="1263">
        <f t="shared" si="11"/>
        <v>111</v>
      </c>
      <c r="R46" s="667" t="s">
        <v>14</v>
      </c>
      <c r="S46" s="668">
        <f t="shared" si="12"/>
        <v>100</v>
      </c>
      <c r="T46" s="667" t="s">
        <v>14</v>
      </c>
      <c r="U46" s="668">
        <f t="shared" si="13"/>
        <v>100</v>
      </c>
      <c r="V46" s="667" t="s">
        <v>14</v>
      </c>
      <c r="W46" s="668">
        <f t="shared" si="14"/>
        <v>100</v>
      </c>
      <c r="X46" s="1265"/>
      <c r="Y46" s="3370"/>
      <c r="Z46" s="1264">
        <f t="shared" si="15"/>
        <v>111</v>
      </c>
      <c r="AA46" s="1264">
        <f t="shared" si="3"/>
        <v>1</v>
      </c>
      <c r="AB46" s="1264">
        <f t="shared" si="4"/>
        <v>1</v>
      </c>
      <c r="AC46" s="1811">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69"/>
      <c r="Q47" s="1263">
        <f t="shared" si="11"/>
        <v>111</v>
      </c>
      <c r="R47" s="667" t="s">
        <v>14</v>
      </c>
      <c r="S47" s="668">
        <f t="shared" si="12"/>
        <v>100</v>
      </c>
      <c r="T47" s="667" t="s">
        <v>14</v>
      </c>
      <c r="U47" s="668">
        <f t="shared" si="13"/>
        <v>100</v>
      </c>
      <c r="V47" s="667" t="s">
        <v>14</v>
      </c>
      <c r="W47" s="668">
        <f t="shared" si="14"/>
        <v>100</v>
      </c>
      <c r="X47" s="1265"/>
      <c r="Y47" s="3371"/>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46" t="str">
        <f>A48</f>
        <v>成交单价（元/平方米）</v>
      </c>
      <c r="Q48" s="3364"/>
      <c r="R48" s="3359">
        <f>E48</f>
        <v>0</v>
      </c>
      <c r="S48" s="3359"/>
      <c r="T48" s="3359">
        <f>G48</f>
        <v>0</v>
      </c>
      <c r="U48" s="3359"/>
      <c r="V48" s="3359">
        <f>I48</f>
        <v>0</v>
      </c>
      <c r="W48" s="3359"/>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46" t="str">
        <f>A49</f>
        <v>比较价值（元/平方米）</v>
      </c>
      <c r="Q49" s="3364"/>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258.36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47" t="s">
        <v>1770</v>
      </c>
      <c r="D4" s="3348"/>
      <c r="E4" s="3349" t="s">
        <v>1771</v>
      </c>
      <c r="F4" s="3350"/>
      <c r="G4" s="3347" t="s">
        <v>1772</v>
      </c>
      <c r="H4" s="3348"/>
      <c r="I4" s="3347" t="s">
        <v>1773</v>
      </c>
      <c r="J4" s="3348"/>
      <c r="K4" s="537" t="s">
        <v>1774</v>
      </c>
      <c r="L4" s="860"/>
      <c r="M4" s="861"/>
      <c r="N4" s="861"/>
      <c r="O4" s="861"/>
      <c r="P4" s="3351" t="s">
        <v>1775</v>
      </c>
      <c r="Q4" s="3352"/>
      <c r="R4" s="3334" t="s">
        <v>1771</v>
      </c>
      <c r="S4" s="3335"/>
      <c r="T4" s="3334" t="s">
        <v>1772</v>
      </c>
      <c r="U4" s="3335"/>
      <c r="V4" s="3359" t="s">
        <v>1773</v>
      </c>
      <c r="W4" s="3359"/>
      <c r="X4" s="1265"/>
      <c r="Y4" s="3334" t="s">
        <v>1775</v>
      </c>
      <c r="Z4" s="3335"/>
      <c r="AA4" s="3329" t="s">
        <v>1771</v>
      </c>
      <c r="AB4" s="3330" t="s">
        <v>1772</v>
      </c>
      <c r="AC4" s="3329" t="s">
        <v>1773</v>
      </c>
    </row>
    <row r="5" spans="1:29" ht="15">
      <c r="A5" s="348"/>
      <c r="B5" s="349"/>
      <c r="C5" s="3340" t="s">
        <v>1673</v>
      </c>
      <c r="D5" s="3341"/>
      <c r="E5" s="3338" t="s">
        <v>1674</v>
      </c>
      <c r="F5" s="3339"/>
      <c r="G5" s="3340" t="s">
        <v>1675</v>
      </c>
      <c r="H5" s="3341"/>
      <c r="I5" s="3340" t="s">
        <v>1676</v>
      </c>
      <c r="J5" s="3341"/>
      <c r="K5" s="537"/>
      <c r="L5" s="860"/>
      <c r="M5" s="861"/>
      <c r="N5" s="861"/>
      <c r="O5" s="861"/>
      <c r="P5" s="3353"/>
      <c r="Q5" s="3354"/>
      <c r="R5" s="3336"/>
      <c r="S5" s="3337"/>
      <c r="T5" s="3336"/>
      <c r="U5" s="3337"/>
      <c r="V5" s="3359"/>
      <c r="W5" s="3359"/>
      <c r="X5" s="1265"/>
      <c r="Y5" s="3336"/>
      <c r="Z5" s="3337"/>
      <c r="AA5" s="3330"/>
      <c r="AB5" s="3330"/>
      <c r="AC5" s="3330"/>
    </row>
    <row r="6" spans="1:29" ht="15.75" thickBot="1">
      <c r="A6" s="350"/>
      <c r="B6" s="351"/>
      <c r="C6" s="3342" t="s">
        <v>1677</v>
      </c>
      <c r="D6" s="3343"/>
      <c r="E6" s="3344" t="s">
        <v>1677</v>
      </c>
      <c r="F6" s="3345"/>
      <c r="G6" s="3342" t="s">
        <v>1677</v>
      </c>
      <c r="H6" s="3343"/>
      <c r="I6" s="3342" t="s">
        <v>1677</v>
      </c>
      <c r="J6" s="3343"/>
      <c r="K6" s="537" t="s">
        <v>1678</v>
      </c>
      <c r="L6" s="860"/>
      <c r="M6" s="861"/>
      <c r="N6" s="861"/>
      <c r="O6" s="861"/>
      <c r="P6" s="3355"/>
      <c r="Q6" s="3356"/>
      <c r="R6" s="3336"/>
      <c r="S6" s="3337"/>
      <c r="T6" s="3357"/>
      <c r="U6" s="3358"/>
      <c r="V6" s="3359"/>
      <c r="W6" s="3359"/>
      <c r="X6" s="1265"/>
      <c r="Y6" s="3357"/>
      <c r="Z6" s="3358"/>
      <c r="AA6" s="3331"/>
      <c r="AB6" s="3331"/>
      <c r="AC6" s="3331"/>
    </row>
    <row r="7" spans="1:29" s="102" customFormat="1" ht="15.75" thickBot="1">
      <c r="A7" s="352" t="s">
        <v>1679</v>
      </c>
      <c r="B7" s="353"/>
      <c r="C7" s="354">
        <f>'数据-取费表'!B2</f>
        <v>45546</v>
      </c>
      <c r="D7" s="355">
        <v>100</v>
      </c>
      <c r="E7" s="356"/>
      <c r="F7" s="357">
        <f>SUMIF(52:52,YEAR(E7)&amp;"-"&amp;MONTH(E7),53:53)</f>
        <v>0</v>
      </c>
      <c r="G7" s="356"/>
      <c r="H7" s="355">
        <f>SUMIF(52:52,YEAR(G7)&amp;"-"&amp;MONTH(G7),53:53)</f>
        <v>0</v>
      </c>
      <c r="I7" s="356"/>
      <c r="J7" s="355">
        <f>SUMIF(52:52,YEAR(I7)&amp;"-"&amp;MONTH(I7),53:53)</f>
        <v>0</v>
      </c>
      <c r="K7" s="38"/>
      <c r="L7" s="862"/>
      <c r="M7" s="863"/>
      <c r="N7" s="863"/>
      <c r="O7" s="863"/>
      <c r="P7" s="3332" t="s">
        <v>1680</v>
      </c>
      <c r="Q7" s="3360"/>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2" t="s">
        <v>1683</v>
      </c>
      <c r="Q8" s="3333"/>
      <c r="R8" s="664" t="s">
        <v>14</v>
      </c>
      <c r="S8" s="665">
        <f t="shared" si="0"/>
        <v>100</v>
      </c>
      <c r="T8" s="664" t="s">
        <v>14</v>
      </c>
      <c r="U8" s="665">
        <f t="shared" si="1"/>
        <v>100</v>
      </c>
      <c r="V8" s="664" t="s">
        <v>14</v>
      </c>
      <c r="W8" s="665">
        <f t="shared" si="2"/>
        <v>100</v>
      </c>
      <c r="X8" s="666"/>
      <c r="Y8" s="3332" t="s">
        <v>1683</v>
      </c>
      <c r="Z8" s="333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4"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64"/>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4"/>
      <c r="Q11" s="530" t="str">
        <f t="shared" si="6"/>
        <v>容积率</v>
      </c>
      <c r="R11" s="664" t="s">
        <v>14</v>
      </c>
      <c r="S11" s="665">
        <f t="shared" si="0"/>
        <v>100</v>
      </c>
      <c r="T11" s="664" t="s">
        <v>14</v>
      </c>
      <c r="U11" s="665">
        <f t="shared" si="1"/>
        <v>100</v>
      </c>
      <c r="V11" s="664" t="s">
        <v>14</v>
      </c>
      <c r="W11" s="665">
        <f t="shared" si="2"/>
        <v>100</v>
      </c>
      <c r="X11" s="666"/>
      <c r="Y11" s="330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4"/>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4"/>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4"/>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5" t="s">
        <v>1691</v>
      </c>
      <c r="Q15" s="1263" t="str">
        <f t="shared" si="6"/>
        <v>产业集聚程度</v>
      </c>
      <c r="R15" s="667" t="s">
        <v>14</v>
      </c>
      <c r="S15" s="668">
        <f t="shared" si="0"/>
        <v>100</v>
      </c>
      <c r="T15" s="667" t="s">
        <v>14</v>
      </c>
      <c r="U15" s="668">
        <f t="shared" si="1"/>
        <v>100</v>
      </c>
      <c r="V15" s="667" t="s">
        <v>14</v>
      </c>
      <c r="W15" s="668">
        <f t="shared" si="2"/>
        <v>100</v>
      </c>
      <c r="X15" s="1265"/>
      <c r="Y15" s="336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6"/>
      <c r="Q16" s="1263"/>
      <c r="R16" s="667"/>
      <c r="S16" s="668"/>
      <c r="T16" s="667"/>
      <c r="U16" s="668"/>
      <c r="V16" s="667"/>
      <c r="W16" s="668"/>
      <c r="X16" s="1265"/>
      <c r="Y16" s="336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6"/>
      <c r="Q17" s="1263" t="str">
        <f>B17</f>
        <v>交通便捷度</v>
      </c>
      <c r="R17" s="667" t="s">
        <v>14</v>
      </c>
      <c r="S17" s="668">
        <f>F17</f>
        <v>100</v>
      </c>
      <c r="T17" s="667" t="s">
        <v>14</v>
      </c>
      <c r="U17" s="668">
        <f>H17</f>
        <v>100</v>
      </c>
      <c r="V17" s="667" t="s">
        <v>14</v>
      </c>
      <c r="W17" s="668">
        <f>J17</f>
        <v>100</v>
      </c>
      <c r="X17" s="1265"/>
      <c r="Y17" s="336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6"/>
      <c r="Q18" s="1263"/>
      <c r="R18" s="667"/>
      <c r="S18" s="668"/>
      <c r="T18" s="667"/>
      <c r="U18" s="668"/>
      <c r="V18" s="667"/>
      <c r="W18" s="668"/>
      <c r="X18" s="1265"/>
      <c r="Y18" s="336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6"/>
      <c r="Q19" s="1263" t="str">
        <f>B19</f>
        <v>公共配套设施</v>
      </c>
      <c r="R19" s="667" t="s">
        <v>14</v>
      </c>
      <c r="S19" s="668">
        <f>F19</f>
        <v>100</v>
      </c>
      <c r="T19" s="667" t="s">
        <v>14</v>
      </c>
      <c r="U19" s="668">
        <f>H19</f>
        <v>100</v>
      </c>
      <c r="V19" s="667" t="s">
        <v>14</v>
      </c>
      <c r="W19" s="668">
        <f>J19</f>
        <v>100</v>
      </c>
      <c r="X19" s="1265"/>
      <c r="Y19" s="336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6"/>
      <c r="Q20" s="1263"/>
      <c r="R20" s="667"/>
      <c r="S20" s="668"/>
      <c r="T20" s="667"/>
      <c r="U20" s="668"/>
      <c r="V20" s="667"/>
      <c r="W20" s="668"/>
      <c r="X20" s="1265"/>
      <c r="Y20" s="336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6"/>
      <c r="Q21" s="1263" t="str">
        <f>B21</f>
        <v>基础设施水平</v>
      </c>
      <c r="R21" s="667" t="s">
        <v>14</v>
      </c>
      <c r="S21" s="668">
        <f>F21</f>
        <v>100</v>
      </c>
      <c r="T21" s="667" t="s">
        <v>14</v>
      </c>
      <c r="U21" s="668">
        <f>H21</f>
        <v>100</v>
      </c>
      <c r="V21" s="667" t="s">
        <v>14</v>
      </c>
      <c r="W21" s="668">
        <f>J21</f>
        <v>100</v>
      </c>
      <c r="X21" s="1265"/>
      <c r="Y21" s="336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6"/>
      <c r="Q22" s="1263"/>
      <c r="R22" s="667"/>
      <c r="S22" s="668"/>
      <c r="T22" s="667"/>
      <c r="U22" s="668"/>
      <c r="V22" s="667"/>
      <c r="W22" s="668"/>
      <c r="X22" s="1265"/>
      <c r="Y22" s="336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6"/>
      <c r="Q23" s="1263" t="str">
        <f>B23</f>
        <v>环境质量</v>
      </c>
      <c r="R23" s="667" t="s">
        <v>14</v>
      </c>
      <c r="S23" s="668">
        <f>F23</f>
        <v>100</v>
      </c>
      <c r="T23" s="667" t="s">
        <v>14</v>
      </c>
      <c r="U23" s="668">
        <f>H23</f>
        <v>100</v>
      </c>
      <c r="V23" s="667" t="s">
        <v>14</v>
      </c>
      <c r="W23" s="668">
        <f>J23</f>
        <v>100</v>
      </c>
      <c r="X23" s="1265"/>
      <c r="Y23" s="336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6"/>
      <c r="Q24" s="1263"/>
      <c r="R24" s="667"/>
      <c r="S24" s="668"/>
      <c r="T24" s="667"/>
      <c r="U24" s="668"/>
      <c r="V24" s="667"/>
      <c r="W24" s="668"/>
      <c r="X24" s="1265"/>
      <c r="Y24" s="336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6"/>
      <c r="Q25" s="1263">
        <f>B25</f>
        <v>111</v>
      </c>
      <c r="R25" s="667" t="s">
        <v>14</v>
      </c>
      <c r="S25" s="668">
        <f>F25</f>
        <v>100</v>
      </c>
      <c r="T25" s="667" t="s">
        <v>14</v>
      </c>
      <c r="U25" s="668">
        <f>H25</f>
        <v>100</v>
      </c>
      <c r="V25" s="667" t="s">
        <v>14</v>
      </c>
      <c r="W25" s="668">
        <f>J25</f>
        <v>100</v>
      </c>
      <c r="X25" s="1265"/>
      <c r="Y25" s="336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6"/>
      <c r="Q26" s="1263">
        <f t="shared" ref="Q26:Q40" si="11">B26</f>
        <v>111</v>
      </c>
      <c r="R26" s="667" t="s">
        <v>14</v>
      </c>
      <c r="S26" s="668">
        <f>F26</f>
        <v>100</v>
      </c>
      <c r="T26" s="667" t="s">
        <v>14</v>
      </c>
      <c r="U26" s="668">
        <f>H26</f>
        <v>100</v>
      </c>
      <c r="V26" s="667" t="s">
        <v>14</v>
      </c>
      <c r="W26" s="668">
        <f>J26</f>
        <v>100</v>
      </c>
      <c r="X26" s="1265"/>
      <c r="Y26" s="336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6"/>
      <c r="Q27" s="530">
        <f t="shared" si="11"/>
        <v>111</v>
      </c>
      <c r="R27" s="664" t="s">
        <v>14</v>
      </c>
      <c r="S27" s="665">
        <f>F27</f>
        <v>100</v>
      </c>
      <c r="T27" s="664" t="s">
        <v>14</v>
      </c>
      <c r="U27" s="665">
        <f>H27</f>
        <v>100</v>
      </c>
      <c r="V27" s="664" t="s">
        <v>14</v>
      </c>
      <c r="W27" s="665">
        <f>J27</f>
        <v>100</v>
      </c>
      <c r="X27" s="666"/>
      <c r="Y27" s="336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6"/>
      <c r="Q28" s="1263">
        <f t="shared" si="11"/>
        <v>111</v>
      </c>
      <c r="R28" s="667" t="s">
        <v>14</v>
      </c>
      <c r="S28" s="668">
        <f t="shared" ref="S28:S40" si="12">F28</f>
        <v>100</v>
      </c>
      <c r="T28" s="667" t="s">
        <v>14</v>
      </c>
      <c r="U28" s="668">
        <f t="shared" ref="U28:U40" si="13">H28</f>
        <v>100</v>
      </c>
      <c r="V28" s="667" t="s">
        <v>14</v>
      </c>
      <c r="W28" s="668">
        <f t="shared" ref="W28:W40" si="14">J28</f>
        <v>100</v>
      </c>
      <c r="X28" s="1265"/>
      <c r="Y28" s="336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5" t="s">
        <v>1696</v>
      </c>
      <c r="Q29" s="1263" t="str">
        <f t="shared" si="11"/>
        <v>建筑类型</v>
      </c>
      <c r="R29" s="667" t="s">
        <v>14</v>
      </c>
      <c r="S29" s="668">
        <f t="shared" si="12"/>
        <v>100</v>
      </c>
      <c r="T29" s="667" t="s">
        <v>14</v>
      </c>
      <c r="U29" s="668">
        <f t="shared" si="13"/>
        <v>100</v>
      </c>
      <c r="V29" s="667" t="s">
        <v>14</v>
      </c>
      <c r="W29" s="668">
        <f t="shared" si="14"/>
        <v>100</v>
      </c>
      <c r="X29" s="1265"/>
      <c r="Y29" s="337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0"/>
      <c r="Q30" s="531" t="str">
        <f t="shared" si="11"/>
        <v>项目建筑规模</v>
      </c>
      <c r="R30" s="669" t="s">
        <v>14</v>
      </c>
      <c r="S30" s="670" t="e">
        <f t="shared" si="12"/>
        <v>#N/A</v>
      </c>
      <c r="T30" s="669" t="s">
        <v>14</v>
      </c>
      <c r="U30" s="670" t="e">
        <f t="shared" si="13"/>
        <v>#N/A</v>
      </c>
      <c r="V30" s="669" t="s">
        <v>14</v>
      </c>
      <c r="W30" s="670" t="e">
        <f t="shared" si="14"/>
        <v>#N/A</v>
      </c>
      <c r="X30" s="671"/>
      <c r="Y30" s="337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0"/>
      <c r="Q31" s="1263" t="str">
        <f t="shared" si="11"/>
        <v>建筑结构</v>
      </c>
      <c r="R31" s="667" t="s">
        <v>14</v>
      </c>
      <c r="S31" s="668">
        <f t="shared" si="12"/>
        <v>100</v>
      </c>
      <c r="T31" s="667" t="s">
        <v>14</v>
      </c>
      <c r="U31" s="668">
        <f t="shared" si="13"/>
        <v>100</v>
      </c>
      <c r="V31" s="667" t="s">
        <v>14</v>
      </c>
      <c r="W31" s="668">
        <f t="shared" si="14"/>
        <v>100</v>
      </c>
      <c r="X31" s="1265"/>
      <c r="Y31" s="337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0"/>
      <c r="Q32" s="1263" t="str">
        <f t="shared" si="11"/>
        <v>公共部分装修</v>
      </c>
      <c r="R32" s="667" t="s">
        <v>14</v>
      </c>
      <c r="S32" s="668">
        <f t="shared" si="12"/>
        <v>100</v>
      </c>
      <c r="T32" s="667" t="s">
        <v>14</v>
      </c>
      <c r="U32" s="668">
        <f t="shared" si="13"/>
        <v>100</v>
      </c>
      <c r="V32" s="667" t="s">
        <v>14</v>
      </c>
      <c r="W32" s="668">
        <f t="shared" si="14"/>
        <v>100</v>
      </c>
      <c r="X32" s="1265"/>
      <c r="Y32" s="337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0"/>
      <c r="Q33" s="1263" t="str">
        <f t="shared" si="11"/>
        <v>成新度</v>
      </c>
      <c r="R33" s="667" t="s">
        <v>14</v>
      </c>
      <c r="S33" s="668" t="e">
        <f t="shared" si="12"/>
        <v>#N/A</v>
      </c>
      <c r="T33" s="667" t="s">
        <v>14</v>
      </c>
      <c r="U33" s="668" t="e">
        <f t="shared" si="13"/>
        <v>#N/A</v>
      </c>
      <c r="V33" s="667" t="s">
        <v>14</v>
      </c>
      <c r="W33" s="668" t="e">
        <f t="shared" si="14"/>
        <v>#N/A</v>
      </c>
      <c r="X33" s="1265"/>
      <c r="Y33" s="337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0"/>
      <c r="Q34" s="530" t="str">
        <f t="shared" si="11"/>
        <v>物业管理</v>
      </c>
      <c r="R34" s="664" t="s">
        <v>14</v>
      </c>
      <c r="S34" s="665">
        <f t="shared" si="12"/>
        <v>100</v>
      </c>
      <c r="T34" s="664" t="s">
        <v>14</v>
      </c>
      <c r="U34" s="665">
        <f t="shared" si="13"/>
        <v>100</v>
      </c>
      <c r="V34" s="664" t="s">
        <v>14</v>
      </c>
      <c r="W34" s="665">
        <f t="shared" si="14"/>
        <v>100</v>
      </c>
      <c r="X34" s="666"/>
      <c r="Y34" s="337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0" t="s">
        <v>1696</v>
      </c>
      <c r="Q35" s="1263" t="str">
        <f t="shared" si="11"/>
        <v>市政基础设施</v>
      </c>
      <c r="R35" s="667" t="s">
        <v>14</v>
      </c>
      <c r="S35" s="668">
        <f t="shared" si="12"/>
        <v>100</v>
      </c>
      <c r="T35" s="667" t="s">
        <v>14</v>
      </c>
      <c r="U35" s="668">
        <f t="shared" si="13"/>
        <v>100</v>
      </c>
      <c r="V35" s="667" t="s">
        <v>14</v>
      </c>
      <c r="W35" s="668">
        <f t="shared" si="14"/>
        <v>100</v>
      </c>
      <c r="X35" s="1265"/>
      <c r="Y35" s="337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0"/>
      <c r="Q36" s="1263" t="str">
        <f t="shared" si="11"/>
        <v>内部装修</v>
      </c>
      <c r="R36" s="667" t="s">
        <v>14</v>
      </c>
      <c r="S36" s="668">
        <f t="shared" si="12"/>
        <v>100</v>
      </c>
      <c r="T36" s="667" t="s">
        <v>14</v>
      </c>
      <c r="U36" s="668">
        <f t="shared" si="13"/>
        <v>100</v>
      </c>
      <c r="V36" s="667" t="s">
        <v>14</v>
      </c>
      <c r="W36" s="668">
        <f t="shared" si="14"/>
        <v>100</v>
      </c>
      <c r="X36" s="1265"/>
      <c r="Y36" s="337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0"/>
      <c r="Q37" s="1263" t="str">
        <f t="shared" si="11"/>
        <v>内部装修状况</v>
      </c>
      <c r="R37" s="667" t="s">
        <v>14</v>
      </c>
      <c r="S37" s="668">
        <f t="shared" si="12"/>
        <v>100</v>
      </c>
      <c r="T37" s="667" t="s">
        <v>14</v>
      </c>
      <c r="U37" s="668">
        <f t="shared" si="13"/>
        <v>100</v>
      </c>
      <c r="V37" s="667" t="s">
        <v>14</v>
      </c>
      <c r="W37" s="668">
        <f t="shared" si="14"/>
        <v>100</v>
      </c>
      <c r="X37" s="1265"/>
      <c r="Y37" s="337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0"/>
      <c r="Q38" s="531">
        <f t="shared" si="11"/>
        <v>111</v>
      </c>
      <c r="R38" s="669" t="s">
        <v>14</v>
      </c>
      <c r="S38" s="670">
        <f t="shared" si="12"/>
        <v>100</v>
      </c>
      <c r="T38" s="669" t="s">
        <v>14</v>
      </c>
      <c r="U38" s="670">
        <f t="shared" si="13"/>
        <v>100</v>
      </c>
      <c r="V38" s="669" t="s">
        <v>14</v>
      </c>
      <c r="W38" s="670">
        <f t="shared" si="14"/>
        <v>100</v>
      </c>
      <c r="X38" s="671"/>
      <c r="Y38" s="337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0"/>
      <c r="Q39" s="1263">
        <f t="shared" si="11"/>
        <v>111</v>
      </c>
      <c r="R39" s="667" t="s">
        <v>14</v>
      </c>
      <c r="S39" s="668">
        <f t="shared" si="12"/>
        <v>100</v>
      </c>
      <c r="T39" s="667" t="s">
        <v>14</v>
      </c>
      <c r="U39" s="668">
        <f t="shared" si="13"/>
        <v>100</v>
      </c>
      <c r="V39" s="667" t="s">
        <v>14</v>
      </c>
      <c r="W39" s="668">
        <f t="shared" si="14"/>
        <v>100</v>
      </c>
      <c r="X39" s="1265"/>
      <c r="Y39" s="337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1"/>
      <c r="Q40" s="1263">
        <f t="shared" si="11"/>
        <v>111</v>
      </c>
      <c r="R40" s="667" t="s">
        <v>14</v>
      </c>
      <c r="S40" s="668">
        <f t="shared" si="12"/>
        <v>100</v>
      </c>
      <c r="T40" s="667" t="s">
        <v>14</v>
      </c>
      <c r="U40" s="668">
        <f t="shared" si="13"/>
        <v>100</v>
      </c>
      <c r="V40" s="667" t="s">
        <v>14</v>
      </c>
      <c r="W40" s="668">
        <f t="shared" si="14"/>
        <v>100</v>
      </c>
      <c r="X40" s="1265"/>
      <c r="Y40" s="337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4" t="str">
        <f>A41</f>
        <v>成交单价（元/平方米）</v>
      </c>
      <c r="Q41" s="3364"/>
      <c r="R41" s="3359">
        <f>E41</f>
        <v>0</v>
      </c>
      <c r="S41" s="3359"/>
      <c r="T41" s="3359">
        <f>G41</f>
        <v>0</v>
      </c>
      <c r="U41" s="3359"/>
      <c r="V41" s="3359">
        <f>I41</f>
        <v>0</v>
      </c>
      <c r="W41" s="3359"/>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4" t="str">
        <f>A42</f>
        <v>比较价值（元/平方米）</v>
      </c>
      <c r="Q42" s="3364"/>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1" t="str">
        <f>A43</f>
        <v>估价对象XX用房的比较价值（楼面单价，元/平方米）</v>
      </c>
      <c r="Q43" s="3362"/>
      <c r="R43" s="3363" t="e">
        <f>IF(F1="售价",ROUND(IF(D42="简单平均",AVERAGE(R42:V42),R42*F42+T42*H42+V42*J42),0),ROUND(IF(D42="简单平均",AVERAGE(R42:V42),R42*F42+T42*H42+V42*J42),1))</f>
        <v>#DIV/0!</v>
      </c>
      <c r="S43" s="3363"/>
      <c r="T43" s="3363"/>
      <c r="U43" s="3363"/>
      <c r="V43" s="3363"/>
      <c r="W43" s="3363"/>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47" t="s">
        <v>1770</v>
      </c>
      <c r="D4" s="3348"/>
      <c r="E4" s="3349" t="s">
        <v>1771</v>
      </c>
      <c r="F4" s="3350"/>
      <c r="G4" s="3347" t="s">
        <v>1772</v>
      </c>
      <c r="H4" s="3348"/>
      <c r="I4" s="3347" t="s">
        <v>1773</v>
      </c>
      <c r="J4" s="3348"/>
      <c r="K4" s="537" t="s">
        <v>1774</v>
      </c>
      <c r="L4" s="2486"/>
      <c r="M4" s="2487"/>
      <c r="N4" s="2487"/>
      <c r="O4" s="2487"/>
      <c r="P4" s="3351" t="s">
        <v>1775</v>
      </c>
      <c r="Q4" s="3352"/>
      <c r="R4" s="3334" t="s">
        <v>1771</v>
      </c>
      <c r="S4" s="3335"/>
      <c r="T4" s="3334" t="s">
        <v>1772</v>
      </c>
      <c r="U4" s="3335"/>
      <c r="V4" s="3359" t="s">
        <v>1773</v>
      </c>
      <c r="W4" s="3359"/>
      <c r="X4" s="1265"/>
      <c r="Y4" s="3334" t="s">
        <v>1775</v>
      </c>
      <c r="Z4" s="3335"/>
      <c r="AA4" s="3329" t="s">
        <v>1771</v>
      </c>
      <c r="AB4" s="3330" t="s">
        <v>1772</v>
      </c>
      <c r="AC4" s="3329" t="s">
        <v>1773</v>
      </c>
    </row>
    <row r="5" spans="1:29" ht="15">
      <c r="A5" s="348"/>
      <c r="B5" s="349"/>
      <c r="C5" s="3340" t="s">
        <v>1673</v>
      </c>
      <c r="D5" s="3341"/>
      <c r="E5" s="3338" t="s">
        <v>1674</v>
      </c>
      <c r="F5" s="3339"/>
      <c r="G5" s="3340" t="s">
        <v>1675</v>
      </c>
      <c r="H5" s="3341"/>
      <c r="I5" s="3340" t="s">
        <v>1676</v>
      </c>
      <c r="J5" s="3341"/>
      <c r="K5" s="537"/>
      <c r="L5" s="2486"/>
      <c r="M5" s="2487"/>
      <c r="N5" s="2487"/>
      <c r="O5" s="2487"/>
      <c r="P5" s="3353"/>
      <c r="Q5" s="3354"/>
      <c r="R5" s="3336"/>
      <c r="S5" s="3337"/>
      <c r="T5" s="3336"/>
      <c r="U5" s="3337"/>
      <c r="V5" s="3359"/>
      <c r="W5" s="3359"/>
      <c r="X5" s="1265"/>
      <c r="Y5" s="3336"/>
      <c r="Z5" s="3337"/>
      <c r="AA5" s="3330"/>
      <c r="AB5" s="3330"/>
      <c r="AC5" s="3330"/>
    </row>
    <row r="6" spans="1:29" ht="15.75" thickBot="1">
      <c r="A6" s="350"/>
      <c r="B6" s="351"/>
      <c r="C6" s="3342" t="s">
        <v>1677</v>
      </c>
      <c r="D6" s="3343"/>
      <c r="E6" s="3344" t="s">
        <v>1677</v>
      </c>
      <c r="F6" s="3345"/>
      <c r="G6" s="3342" t="s">
        <v>1677</v>
      </c>
      <c r="H6" s="3343"/>
      <c r="I6" s="3342" t="s">
        <v>1677</v>
      </c>
      <c r="J6" s="3343"/>
      <c r="K6" s="537" t="s">
        <v>1678</v>
      </c>
      <c r="L6" s="2486"/>
      <c r="M6" s="2487"/>
      <c r="N6" s="2487"/>
      <c r="O6" s="2487"/>
      <c r="P6" s="3355"/>
      <c r="Q6" s="3356"/>
      <c r="R6" s="3336"/>
      <c r="S6" s="3337"/>
      <c r="T6" s="3357"/>
      <c r="U6" s="3358"/>
      <c r="V6" s="3359"/>
      <c r="W6" s="3359"/>
      <c r="X6" s="1265"/>
      <c r="Y6" s="3357"/>
      <c r="Z6" s="3358"/>
      <c r="AA6" s="3331"/>
      <c r="AB6" s="3331"/>
      <c r="AC6" s="3331"/>
    </row>
    <row r="7" spans="1:29" s="102" customFormat="1" ht="15.75" thickBot="1">
      <c r="A7" s="352" t="s">
        <v>1679</v>
      </c>
      <c r="B7" s="353"/>
      <c r="C7" s="354">
        <f>'数据-取费表'!B2</f>
        <v>45546</v>
      </c>
      <c r="D7" s="355">
        <v>100</v>
      </c>
      <c r="E7" s="356"/>
      <c r="F7" s="357">
        <f>SUMIF(48:48,YEAR(E7)&amp;"-"&amp;MONTH(E7),49:49)</f>
        <v>0</v>
      </c>
      <c r="G7" s="356"/>
      <c r="H7" s="355">
        <f>SUMIF(48:48,YEAR(G7)&amp;"-"&amp;MONTH(G7),49:49)</f>
        <v>0</v>
      </c>
      <c r="I7" s="356"/>
      <c r="J7" s="355">
        <f>SUMIF(48:48,YEAR(I7)&amp;"-"&amp;MONTH(I7),49:49)</f>
        <v>0</v>
      </c>
      <c r="K7" s="38"/>
      <c r="L7" s="2488"/>
      <c r="M7" s="2439"/>
      <c r="N7" s="2439"/>
      <c r="O7" s="2439"/>
      <c r="P7" s="3332" t="s">
        <v>1680</v>
      </c>
      <c r="Q7" s="3360"/>
      <c r="R7" s="664" t="s">
        <v>14</v>
      </c>
      <c r="S7" s="665">
        <f t="shared" ref="S7:S14" si="0">F7</f>
        <v>0</v>
      </c>
      <c r="T7" s="664" t="s">
        <v>14</v>
      </c>
      <c r="U7" s="665">
        <f t="shared" ref="U7:U14" si="1">H7</f>
        <v>0</v>
      </c>
      <c r="V7" s="664" t="s">
        <v>14</v>
      </c>
      <c r="W7" s="665">
        <f t="shared" ref="W7:W14" si="2">J7</f>
        <v>0</v>
      </c>
      <c r="X7" s="666"/>
      <c r="Y7" s="3332" t="s">
        <v>1680</v>
      </c>
      <c r="Z7" s="333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32" t="s">
        <v>1683</v>
      </c>
      <c r="Q8" s="3333"/>
      <c r="R8" s="664" t="s">
        <v>14</v>
      </c>
      <c r="S8" s="665">
        <f t="shared" si="0"/>
        <v>100</v>
      </c>
      <c r="T8" s="664" t="s">
        <v>14</v>
      </c>
      <c r="U8" s="665">
        <f t="shared" si="1"/>
        <v>100</v>
      </c>
      <c r="V8" s="664" t="s">
        <v>14</v>
      </c>
      <c r="W8" s="665">
        <f t="shared" si="2"/>
        <v>100</v>
      </c>
      <c r="X8" s="666"/>
      <c r="Y8" s="3332" t="s">
        <v>1683</v>
      </c>
      <c r="Z8" s="333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64"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4"/>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4"/>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64"/>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4"/>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65" t="s">
        <v>1691</v>
      </c>
      <c r="Q14" s="1263" t="str">
        <f t="shared" si="6"/>
        <v>交通便捷度</v>
      </c>
      <c r="R14" s="667" t="s">
        <v>14</v>
      </c>
      <c r="S14" s="668">
        <f t="shared" si="0"/>
        <v>100</v>
      </c>
      <c r="T14" s="667" t="s">
        <v>14</v>
      </c>
      <c r="U14" s="668">
        <f t="shared" si="1"/>
        <v>100</v>
      </c>
      <c r="V14" s="667" t="s">
        <v>14</v>
      </c>
      <c r="W14" s="668">
        <f t="shared" si="2"/>
        <v>100</v>
      </c>
      <c r="X14" s="1265"/>
      <c r="Y14" s="336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66"/>
      <c r="Q15" s="1263"/>
      <c r="R15" s="667"/>
      <c r="S15" s="668"/>
      <c r="T15" s="667"/>
      <c r="U15" s="668"/>
      <c r="V15" s="667"/>
      <c r="W15" s="668"/>
      <c r="X15" s="1265"/>
      <c r="Y15" s="336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66"/>
      <c r="Q16" s="1263" t="str">
        <f>B16</f>
        <v>公共配套设施</v>
      </c>
      <c r="R16" s="667" t="s">
        <v>14</v>
      </c>
      <c r="S16" s="668">
        <f>F16</f>
        <v>100</v>
      </c>
      <c r="T16" s="667" t="s">
        <v>14</v>
      </c>
      <c r="U16" s="668">
        <f>H16</f>
        <v>100</v>
      </c>
      <c r="V16" s="667" t="s">
        <v>14</v>
      </c>
      <c r="W16" s="668">
        <f>J16</f>
        <v>100</v>
      </c>
      <c r="X16" s="1265"/>
      <c r="Y16" s="336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66"/>
      <c r="Q17" s="1263"/>
      <c r="R17" s="667"/>
      <c r="S17" s="668"/>
      <c r="T17" s="667"/>
      <c r="U17" s="668"/>
      <c r="V17" s="667"/>
      <c r="W17" s="668"/>
      <c r="X17" s="1265"/>
      <c r="Y17" s="336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66"/>
      <c r="Q18" s="1263" t="str">
        <f>B18</f>
        <v>基础设施水平</v>
      </c>
      <c r="R18" s="667" t="s">
        <v>14</v>
      </c>
      <c r="S18" s="668">
        <f>F18</f>
        <v>100</v>
      </c>
      <c r="T18" s="667" t="s">
        <v>14</v>
      </c>
      <c r="U18" s="668">
        <f>H18</f>
        <v>100</v>
      </c>
      <c r="V18" s="667" t="s">
        <v>14</v>
      </c>
      <c r="W18" s="668">
        <f>J18</f>
        <v>100</v>
      </c>
      <c r="X18" s="1265"/>
      <c r="Y18" s="336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66"/>
      <c r="Q19" s="1263"/>
      <c r="R19" s="667"/>
      <c r="S19" s="668"/>
      <c r="T19" s="667"/>
      <c r="U19" s="668"/>
      <c r="V19" s="667"/>
      <c r="W19" s="668"/>
      <c r="X19" s="1265"/>
      <c r="Y19" s="336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66"/>
      <c r="Q20" s="1263" t="str">
        <f>B20</f>
        <v>自然及人文环境</v>
      </c>
      <c r="R20" s="667" t="s">
        <v>14</v>
      </c>
      <c r="S20" s="668">
        <f>F20</f>
        <v>100</v>
      </c>
      <c r="T20" s="667" t="s">
        <v>14</v>
      </c>
      <c r="U20" s="668">
        <f>H20</f>
        <v>100</v>
      </c>
      <c r="V20" s="667" t="s">
        <v>14</v>
      </c>
      <c r="W20" s="668">
        <f>J20</f>
        <v>100</v>
      </c>
      <c r="X20" s="1265"/>
      <c r="Y20" s="336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66"/>
      <c r="Q21" s="1263"/>
      <c r="R21" s="667"/>
      <c r="S21" s="668"/>
      <c r="T21" s="667"/>
      <c r="U21" s="668"/>
      <c r="V21" s="667"/>
      <c r="W21" s="668"/>
      <c r="X21" s="1265"/>
      <c r="Y21" s="336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66"/>
      <c r="Q22" s="1263" t="str">
        <f>B22</f>
        <v>楼层</v>
      </c>
      <c r="R22" s="667" t="s">
        <v>14</v>
      </c>
      <c r="S22" s="668">
        <f>F22</f>
        <v>100</v>
      </c>
      <c r="T22" s="667" t="s">
        <v>14</v>
      </c>
      <c r="U22" s="668">
        <f>H22</f>
        <v>100</v>
      </c>
      <c r="V22" s="667" t="s">
        <v>14</v>
      </c>
      <c r="W22" s="668">
        <f>J22</f>
        <v>100</v>
      </c>
      <c r="X22" s="1265"/>
      <c r="Y22" s="336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66"/>
      <c r="Q23" s="1263">
        <f>B23</f>
        <v>111</v>
      </c>
      <c r="R23" s="667" t="s">
        <v>14</v>
      </c>
      <c r="S23" s="668">
        <f>F23</f>
        <v>100</v>
      </c>
      <c r="T23" s="667" t="s">
        <v>14</v>
      </c>
      <c r="U23" s="668">
        <f>H23</f>
        <v>100</v>
      </c>
      <c r="V23" s="667" t="s">
        <v>14</v>
      </c>
      <c r="W23" s="668">
        <f>J23</f>
        <v>100</v>
      </c>
      <c r="X23" s="1265"/>
      <c r="Y23" s="336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66"/>
      <c r="Q24" s="1263">
        <f t="shared" ref="Q24:Q36" si="11">B24</f>
        <v>111</v>
      </c>
      <c r="R24" s="667" t="s">
        <v>14</v>
      </c>
      <c r="S24" s="668">
        <f>F24</f>
        <v>100</v>
      </c>
      <c r="T24" s="667" t="s">
        <v>14</v>
      </c>
      <c r="U24" s="668">
        <f>H24</f>
        <v>100</v>
      </c>
      <c r="V24" s="667" t="s">
        <v>14</v>
      </c>
      <c r="W24" s="668">
        <f>J24</f>
        <v>100</v>
      </c>
      <c r="X24" s="1265"/>
      <c r="Y24" s="336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66"/>
      <c r="Q25" s="530">
        <f t="shared" si="11"/>
        <v>111</v>
      </c>
      <c r="R25" s="664" t="s">
        <v>14</v>
      </c>
      <c r="S25" s="665">
        <f>F25</f>
        <v>100</v>
      </c>
      <c r="T25" s="664" t="s">
        <v>14</v>
      </c>
      <c r="U25" s="665">
        <f>H25</f>
        <v>100</v>
      </c>
      <c r="V25" s="664" t="s">
        <v>14</v>
      </c>
      <c r="W25" s="665">
        <f>J25</f>
        <v>100</v>
      </c>
      <c r="X25" s="666"/>
      <c r="Y25" s="3366"/>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1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0"/>
      <c r="Q27" s="531" t="str">
        <f t="shared" si="11"/>
        <v>项目停车位配比</v>
      </c>
      <c r="R27" s="669" t="s">
        <v>14</v>
      </c>
      <c r="S27" s="670">
        <f t="shared" si="12"/>
        <v>100</v>
      </c>
      <c r="T27" s="669" t="s">
        <v>14</v>
      </c>
      <c r="U27" s="670">
        <f t="shared" si="13"/>
        <v>100</v>
      </c>
      <c r="V27" s="669" t="s">
        <v>14</v>
      </c>
      <c r="W27" s="670">
        <f t="shared" si="14"/>
        <v>100</v>
      </c>
      <c r="X27" s="671"/>
      <c r="Y27" s="337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0"/>
      <c r="Q28" s="1263" t="str">
        <f t="shared" si="11"/>
        <v>公共部分装修</v>
      </c>
      <c r="R28" s="667" t="s">
        <v>14</v>
      </c>
      <c r="S28" s="668">
        <f t="shared" si="12"/>
        <v>100</v>
      </c>
      <c r="T28" s="667" t="s">
        <v>14</v>
      </c>
      <c r="U28" s="668">
        <f t="shared" si="13"/>
        <v>100</v>
      </c>
      <c r="V28" s="667" t="s">
        <v>14</v>
      </c>
      <c r="W28" s="668">
        <f t="shared" si="14"/>
        <v>100</v>
      </c>
      <c r="X28" s="1265"/>
      <c r="Y28" s="337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0"/>
      <c r="Q29" s="1263" t="str">
        <f t="shared" si="11"/>
        <v>成新率</v>
      </c>
      <c r="R29" s="667" t="s">
        <v>14</v>
      </c>
      <c r="S29" s="668" t="e">
        <f t="shared" si="12"/>
        <v>#N/A</v>
      </c>
      <c r="T29" s="667" t="s">
        <v>14</v>
      </c>
      <c r="U29" s="668" t="e">
        <f t="shared" si="13"/>
        <v>#N/A</v>
      </c>
      <c r="V29" s="667" t="s">
        <v>14</v>
      </c>
      <c r="W29" s="668" t="e">
        <f t="shared" si="14"/>
        <v>#N/A</v>
      </c>
      <c r="X29" s="1265"/>
      <c r="Y29" s="337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0"/>
      <c r="Q30" s="1263" t="str">
        <f t="shared" si="11"/>
        <v>物业等级</v>
      </c>
      <c r="R30" s="667" t="s">
        <v>14</v>
      </c>
      <c r="S30" s="668">
        <f t="shared" si="12"/>
        <v>100</v>
      </c>
      <c r="T30" s="667" t="s">
        <v>14</v>
      </c>
      <c r="U30" s="668">
        <f t="shared" si="13"/>
        <v>100</v>
      </c>
      <c r="V30" s="667" t="s">
        <v>14</v>
      </c>
      <c r="W30" s="668">
        <f t="shared" si="14"/>
        <v>100</v>
      </c>
      <c r="X30" s="1265"/>
      <c r="Y30" s="337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70"/>
      <c r="Q31" s="530" t="str">
        <f t="shared" si="11"/>
        <v>停车位面积</v>
      </c>
      <c r="R31" s="664" t="s">
        <v>14</v>
      </c>
      <c r="S31" s="665" t="e">
        <f t="shared" si="12"/>
        <v>#N/A</v>
      </c>
      <c r="T31" s="664" t="s">
        <v>14</v>
      </c>
      <c r="U31" s="665" t="e">
        <f t="shared" si="13"/>
        <v>#N/A</v>
      </c>
      <c r="V31" s="664" t="s">
        <v>14</v>
      </c>
      <c r="W31" s="665" t="e">
        <f t="shared" si="14"/>
        <v>#N/A</v>
      </c>
      <c r="X31" s="666"/>
      <c r="Y31" s="337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0" t="s">
        <v>1696</v>
      </c>
      <c r="Q32" s="1263" t="str">
        <f t="shared" si="11"/>
        <v>车位类型</v>
      </c>
      <c r="R32" s="667" t="s">
        <v>14</v>
      </c>
      <c r="S32" s="668">
        <f t="shared" si="12"/>
        <v>100</v>
      </c>
      <c r="T32" s="667" t="s">
        <v>14</v>
      </c>
      <c r="U32" s="668">
        <f t="shared" si="13"/>
        <v>100</v>
      </c>
      <c r="V32" s="667" t="s">
        <v>14</v>
      </c>
      <c r="W32" s="668">
        <f t="shared" si="14"/>
        <v>100</v>
      </c>
      <c r="X32" s="1265"/>
      <c r="Y32" s="337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0"/>
      <c r="Q33" s="1263" t="str">
        <f t="shared" si="11"/>
        <v>是否直接入户</v>
      </c>
      <c r="R33" s="667" t="s">
        <v>14</v>
      </c>
      <c r="S33" s="668">
        <f t="shared" si="12"/>
        <v>100</v>
      </c>
      <c r="T33" s="667" t="s">
        <v>14</v>
      </c>
      <c r="U33" s="668">
        <f t="shared" si="13"/>
        <v>100</v>
      </c>
      <c r="V33" s="667" t="s">
        <v>14</v>
      </c>
      <c r="W33" s="668">
        <f t="shared" si="14"/>
        <v>100</v>
      </c>
      <c r="X33" s="1265"/>
      <c r="Y33" s="337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0"/>
      <c r="Q34" s="1263">
        <f t="shared" si="11"/>
        <v>111</v>
      </c>
      <c r="R34" s="667" t="s">
        <v>14</v>
      </c>
      <c r="S34" s="668">
        <f t="shared" si="12"/>
        <v>100</v>
      </c>
      <c r="T34" s="667" t="s">
        <v>14</v>
      </c>
      <c r="U34" s="668">
        <f t="shared" si="13"/>
        <v>100</v>
      </c>
      <c r="V34" s="667" t="s">
        <v>14</v>
      </c>
      <c r="W34" s="668">
        <f t="shared" si="14"/>
        <v>100</v>
      </c>
      <c r="X34" s="1265"/>
      <c r="Y34" s="337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0"/>
      <c r="Q35" s="531">
        <f t="shared" si="11"/>
        <v>111</v>
      </c>
      <c r="R35" s="669" t="s">
        <v>14</v>
      </c>
      <c r="S35" s="670">
        <f t="shared" si="12"/>
        <v>100</v>
      </c>
      <c r="T35" s="669" t="s">
        <v>14</v>
      </c>
      <c r="U35" s="670">
        <f t="shared" si="13"/>
        <v>100</v>
      </c>
      <c r="V35" s="669" t="s">
        <v>14</v>
      </c>
      <c r="W35" s="670">
        <f t="shared" si="14"/>
        <v>100</v>
      </c>
      <c r="X35" s="671"/>
      <c r="Y35" s="337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0"/>
      <c r="Q36" s="1263">
        <f t="shared" si="11"/>
        <v>111</v>
      </c>
      <c r="R36" s="667" t="s">
        <v>14</v>
      </c>
      <c r="S36" s="668">
        <f t="shared" si="12"/>
        <v>100</v>
      </c>
      <c r="T36" s="667" t="s">
        <v>14</v>
      </c>
      <c r="U36" s="668">
        <f t="shared" si="13"/>
        <v>100</v>
      </c>
      <c r="V36" s="667" t="s">
        <v>14</v>
      </c>
      <c r="W36" s="668">
        <f t="shared" si="14"/>
        <v>100</v>
      </c>
      <c r="X36" s="1265"/>
      <c r="Y36" s="3370"/>
      <c r="Z36" s="1264">
        <f t="shared" si="15"/>
        <v>111</v>
      </c>
      <c r="AA36" s="1264">
        <f t="shared" si="3"/>
        <v>1</v>
      </c>
      <c r="AB36" s="1264">
        <f t="shared" si="4"/>
        <v>1</v>
      </c>
      <c r="AC36" s="1264">
        <f t="shared" si="5"/>
        <v>1</v>
      </c>
    </row>
    <row r="37" spans="1:29" ht="15">
      <c r="A37" s="416" t="s">
        <v>1844</v>
      </c>
      <c r="B37" s="1820" t="s">
        <v>3356</v>
      </c>
      <c r="C37" s="1081" t="s">
        <v>0</v>
      </c>
      <c r="D37" s="418"/>
      <c r="E37" s="419"/>
      <c r="F37" s="420"/>
      <c r="G37" s="421"/>
      <c r="H37" s="422"/>
      <c r="I37" s="419"/>
      <c r="J37" s="422"/>
      <c r="K37" s="545"/>
      <c r="L37" s="2494"/>
      <c r="M37" s="2487"/>
      <c r="N37" s="2487"/>
      <c r="O37" s="2487"/>
      <c r="P37" s="3364" t="str">
        <f>A37</f>
        <v>成交单价</v>
      </c>
      <c r="Q37" s="3364"/>
      <c r="R37" s="3359">
        <f>E37</f>
        <v>0</v>
      </c>
      <c r="S37" s="3359"/>
      <c r="T37" s="3359">
        <f>G37</f>
        <v>0</v>
      </c>
      <c r="U37" s="3359"/>
      <c r="V37" s="3359">
        <f>I37</f>
        <v>0</v>
      </c>
      <c r="W37" s="3359"/>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64" t="str">
        <f>A38</f>
        <v>比较价值（元/平方米）</v>
      </c>
      <c r="Q38" s="3364"/>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61" t="str">
        <f>A39</f>
        <v>估价对象XX用房的比较价值（楼面单价，元/平方米）</v>
      </c>
      <c r="Q39" s="3362"/>
      <c r="R39" s="3416" t="e">
        <f>IF(F1="售价",ROUND(IF(D38="简单平均",AVERAGE(R38:W38),R38*F38+T38*H38+V38*J38),0),ROUND(IF(D38="简单平均",AVERAGE(R38:V38),R38*F38+T38*H38+V38*J38),1))</f>
        <v>#DIV/0!</v>
      </c>
      <c r="S39" s="3416"/>
      <c r="T39" s="3416"/>
      <c r="U39" s="3416"/>
      <c r="V39" s="3416"/>
      <c r="W39" s="341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估价对象为北京市房地产，为所有。根据《国有土地使用证》[]，估价对象（分摊）出让国有建设用地使用权面积为0平方米，建筑面积为258.36平方米。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估价对象为北京市房地产,属开发建设的，该项目尚在开发建设中。根据《国有土地使用证》[]，估价对象（分摊）出让国有建设用地使用权面积为0平方米，规划建筑面积为258.36平方米。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47" t="s">
        <v>1770</v>
      </c>
      <c r="D4" s="3348"/>
      <c r="E4" s="3349" t="s">
        <v>1771</v>
      </c>
      <c r="F4" s="3350"/>
      <c r="G4" s="3347" t="s">
        <v>1772</v>
      </c>
      <c r="H4" s="3348"/>
      <c r="I4" s="3347" t="s">
        <v>1773</v>
      </c>
      <c r="J4" s="3348"/>
      <c r="K4" s="537" t="s">
        <v>1774</v>
      </c>
      <c r="L4" s="2486"/>
      <c r="M4" s="2487"/>
      <c r="N4" s="2487"/>
      <c r="O4" s="2487"/>
      <c r="P4" s="3351" t="s">
        <v>1775</v>
      </c>
      <c r="Q4" s="3352"/>
      <c r="R4" s="3334" t="s">
        <v>1771</v>
      </c>
      <c r="S4" s="3335"/>
      <c r="T4" s="3334" t="s">
        <v>1772</v>
      </c>
      <c r="U4" s="3335"/>
      <c r="V4" s="3359" t="s">
        <v>1773</v>
      </c>
      <c r="W4" s="3359"/>
      <c r="X4" s="1265"/>
      <c r="Y4" s="3334" t="s">
        <v>1775</v>
      </c>
      <c r="Z4" s="3335"/>
      <c r="AA4" s="3329" t="s">
        <v>1771</v>
      </c>
      <c r="AB4" s="3330" t="s">
        <v>1772</v>
      </c>
      <c r="AC4" s="3329" t="s">
        <v>1773</v>
      </c>
    </row>
    <row r="5" spans="1:29" ht="15">
      <c r="A5" s="348"/>
      <c r="B5" s="349"/>
      <c r="C5" s="3340" t="s">
        <v>1673</v>
      </c>
      <c r="D5" s="3341"/>
      <c r="E5" s="3338" t="s">
        <v>1674</v>
      </c>
      <c r="F5" s="3339"/>
      <c r="G5" s="3340" t="s">
        <v>1675</v>
      </c>
      <c r="H5" s="3341"/>
      <c r="I5" s="3340" t="s">
        <v>1676</v>
      </c>
      <c r="J5" s="3341"/>
      <c r="K5" s="537"/>
      <c r="L5" s="2486"/>
      <c r="M5" s="2487"/>
      <c r="N5" s="2487"/>
      <c r="O5" s="2487"/>
      <c r="P5" s="3353"/>
      <c r="Q5" s="3354"/>
      <c r="R5" s="3336"/>
      <c r="S5" s="3337"/>
      <c r="T5" s="3336"/>
      <c r="U5" s="3337"/>
      <c r="V5" s="3359"/>
      <c r="W5" s="3359"/>
      <c r="X5" s="1265"/>
      <c r="Y5" s="3336"/>
      <c r="Z5" s="3337"/>
      <c r="AA5" s="3330"/>
      <c r="AB5" s="3330"/>
      <c r="AC5" s="3330"/>
    </row>
    <row r="6" spans="1:29" ht="15.75" thickBot="1">
      <c r="A6" s="350"/>
      <c r="B6" s="351"/>
      <c r="C6" s="3342" t="s">
        <v>1677</v>
      </c>
      <c r="D6" s="3343"/>
      <c r="E6" s="3344" t="s">
        <v>1677</v>
      </c>
      <c r="F6" s="3345"/>
      <c r="G6" s="3342" t="s">
        <v>1677</v>
      </c>
      <c r="H6" s="3343"/>
      <c r="I6" s="3342" t="s">
        <v>1677</v>
      </c>
      <c r="J6" s="3343"/>
      <c r="K6" s="537" t="s">
        <v>1678</v>
      </c>
      <c r="L6" s="2486"/>
      <c r="M6" s="2487"/>
      <c r="N6" s="2487"/>
      <c r="O6" s="2487"/>
      <c r="P6" s="3355"/>
      <c r="Q6" s="3356"/>
      <c r="R6" s="3336"/>
      <c r="S6" s="3337"/>
      <c r="T6" s="3357"/>
      <c r="U6" s="3358"/>
      <c r="V6" s="3359"/>
      <c r="W6" s="3359"/>
      <c r="X6" s="1265"/>
      <c r="Y6" s="3357"/>
      <c r="Z6" s="3358"/>
      <c r="AA6" s="3331"/>
      <c r="AB6" s="3331"/>
      <c r="AC6" s="3331"/>
    </row>
    <row r="7" spans="1:29" s="102" customFormat="1" ht="15.75" thickBot="1">
      <c r="A7" s="352" t="s">
        <v>1679</v>
      </c>
      <c r="B7" s="353"/>
      <c r="C7" s="354">
        <f>'数据-取费表'!B2</f>
        <v>45546</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32" t="s">
        <v>1680</v>
      </c>
      <c r="Q7" s="3360"/>
      <c r="R7" s="664" t="s">
        <v>14</v>
      </c>
      <c r="S7" s="665">
        <f t="shared" ref="S7:S14" si="0">F7</f>
        <v>0</v>
      </c>
      <c r="T7" s="664" t="s">
        <v>14</v>
      </c>
      <c r="U7" s="665">
        <f t="shared" ref="U7:U14" si="1">H7</f>
        <v>0</v>
      </c>
      <c r="V7" s="664" t="s">
        <v>14</v>
      </c>
      <c r="W7" s="665">
        <f t="shared" ref="W7:W14" si="2">J7</f>
        <v>0</v>
      </c>
      <c r="X7" s="666"/>
      <c r="Y7" s="3332" t="s">
        <v>1680</v>
      </c>
      <c r="Z7" s="333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32" t="s">
        <v>1683</v>
      </c>
      <c r="Q8" s="3333"/>
      <c r="R8" s="664" t="s">
        <v>14</v>
      </c>
      <c r="S8" s="665">
        <f t="shared" si="0"/>
        <v>100</v>
      </c>
      <c r="T8" s="664" t="s">
        <v>14</v>
      </c>
      <c r="U8" s="665">
        <f t="shared" si="1"/>
        <v>100</v>
      </c>
      <c r="V8" s="664" t="s">
        <v>14</v>
      </c>
      <c r="W8" s="665">
        <f t="shared" si="2"/>
        <v>100</v>
      </c>
      <c r="X8" s="666"/>
      <c r="Y8" s="3332" t="s">
        <v>1683</v>
      </c>
      <c r="Z8" s="333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64" t="s">
        <v>1686</v>
      </c>
      <c r="Q9" s="530" t="str">
        <f t="shared" ref="Q9:Q14" si="6">B9</f>
        <v>用途</v>
      </c>
      <c r="R9" s="664" t="s">
        <v>14</v>
      </c>
      <c r="S9" s="665">
        <f t="shared" si="0"/>
        <v>100</v>
      </c>
      <c r="T9" s="664" t="s">
        <v>14</v>
      </c>
      <c r="U9" s="665">
        <f t="shared" si="1"/>
        <v>100</v>
      </c>
      <c r="V9" s="664" t="s">
        <v>14</v>
      </c>
      <c r="W9" s="665">
        <f t="shared" si="2"/>
        <v>100</v>
      </c>
      <c r="X9" s="666"/>
      <c r="Y9" s="330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4"/>
      <c r="Q10" s="530" t="str">
        <f t="shared" si="6"/>
        <v>土地使用年限（年）</v>
      </c>
      <c r="R10" s="664" t="s">
        <v>14</v>
      </c>
      <c r="S10" s="665">
        <f t="shared" si="0"/>
        <v>100</v>
      </c>
      <c r="T10" s="664" t="s">
        <v>14</v>
      </c>
      <c r="U10" s="665">
        <f t="shared" si="1"/>
        <v>100</v>
      </c>
      <c r="V10" s="664" t="s">
        <v>14</v>
      </c>
      <c r="W10" s="665">
        <f t="shared" si="2"/>
        <v>100</v>
      </c>
      <c r="X10" s="666"/>
      <c r="Y10" s="330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4"/>
      <c r="Q11" s="530">
        <f t="shared" si="6"/>
        <v>111</v>
      </c>
      <c r="R11" s="664" t="s">
        <v>14</v>
      </c>
      <c r="S11" s="665">
        <f t="shared" si="0"/>
        <v>100</v>
      </c>
      <c r="T11" s="664" t="s">
        <v>14</v>
      </c>
      <c r="U11" s="665">
        <f t="shared" si="1"/>
        <v>100</v>
      </c>
      <c r="V11" s="664" t="s">
        <v>14</v>
      </c>
      <c r="W11" s="665">
        <f t="shared" si="2"/>
        <v>100</v>
      </c>
      <c r="X11" s="666"/>
      <c r="Y11" s="330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64"/>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64"/>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65" t="s">
        <v>1691</v>
      </c>
      <c r="Q14" s="1263" t="str">
        <f t="shared" si="6"/>
        <v>交通便捷度</v>
      </c>
      <c r="R14" s="667" t="s">
        <v>14</v>
      </c>
      <c r="S14" s="668">
        <f t="shared" si="0"/>
        <v>100</v>
      </c>
      <c r="T14" s="667" t="s">
        <v>14</v>
      </c>
      <c r="U14" s="668">
        <f t="shared" si="1"/>
        <v>100</v>
      </c>
      <c r="V14" s="667" t="s">
        <v>14</v>
      </c>
      <c r="W14" s="668">
        <f t="shared" si="2"/>
        <v>100</v>
      </c>
      <c r="X14" s="1265"/>
      <c r="Y14" s="336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66"/>
      <c r="Q15" s="1263"/>
      <c r="R15" s="667"/>
      <c r="S15" s="668"/>
      <c r="T15" s="667"/>
      <c r="U15" s="668"/>
      <c r="V15" s="667"/>
      <c r="W15" s="668"/>
      <c r="X15" s="1265"/>
      <c r="Y15" s="336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66"/>
      <c r="Q16" s="1263" t="str">
        <f>B16</f>
        <v>公共配套设施</v>
      </c>
      <c r="R16" s="667" t="s">
        <v>14</v>
      </c>
      <c r="S16" s="668">
        <f>F16</f>
        <v>100</v>
      </c>
      <c r="T16" s="667" t="s">
        <v>14</v>
      </c>
      <c r="U16" s="668">
        <f>H16</f>
        <v>100</v>
      </c>
      <c r="V16" s="667" t="s">
        <v>14</v>
      </c>
      <c r="W16" s="668">
        <f>J16</f>
        <v>100</v>
      </c>
      <c r="X16" s="1265"/>
      <c r="Y16" s="336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66"/>
      <c r="Q17" s="1263"/>
      <c r="R17" s="667"/>
      <c r="S17" s="668"/>
      <c r="T17" s="667"/>
      <c r="U17" s="668"/>
      <c r="V17" s="667"/>
      <c r="W17" s="668"/>
      <c r="X17" s="1265"/>
      <c r="Y17" s="336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66"/>
      <c r="Q18" s="1263" t="str">
        <f>B18</f>
        <v>基础设施水平</v>
      </c>
      <c r="R18" s="667" t="s">
        <v>14</v>
      </c>
      <c r="S18" s="668">
        <f>F18</f>
        <v>100</v>
      </c>
      <c r="T18" s="667" t="s">
        <v>14</v>
      </c>
      <c r="U18" s="668">
        <f>H18</f>
        <v>100</v>
      </c>
      <c r="V18" s="667" t="s">
        <v>14</v>
      </c>
      <c r="W18" s="668">
        <f>J18</f>
        <v>100</v>
      </c>
      <c r="X18" s="1265"/>
      <c r="Y18" s="336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66"/>
      <c r="Q19" s="1263"/>
      <c r="R19" s="667"/>
      <c r="S19" s="668"/>
      <c r="T19" s="667"/>
      <c r="U19" s="668"/>
      <c r="V19" s="667"/>
      <c r="W19" s="668"/>
      <c r="X19" s="1265"/>
      <c r="Y19" s="336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66"/>
      <c r="Q20" s="1263" t="str">
        <f>B20</f>
        <v>自然及人文环境</v>
      </c>
      <c r="R20" s="667" t="s">
        <v>14</v>
      </c>
      <c r="S20" s="668">
        <f>F20</f>
        <v>100</v>
      </c>
      <c r="T20" s="667" t="s">
        <v>14</v>
      </c>
      <c r="U20" s="668">
        <f>H20</f>
        <v>100</v>
      </c>
      <c r="V20" s="667" t="s">
        <v>14</v>
      </c>
      <c r="W20" s="668">
        <f>J20</f>
        <v>100</v>
      </c>
      <c r="X20" s="1265"/>
      <c r="Y20" s="336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66"/>
      <c r="Q21" s="1263"/>
      <c r="R21" s="667"/>
      <c r="S21" s="668"/>
      <c r="T21" s="667"/>
      <c r="U21" s="668"/>
      <c r="V21" s="667"/>
      <c r="W21" s="668"/>
      <c r="X21" s="1265"/>
      <c r="Y21" s="336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66"/>
      <c r="Q22" s="1263" t="str">
        <f>B22</f>
        <v>楼层</v>
      </c>
      <c r="R22" s="667" t="s">
        <v>14</v>
      </c>
      <c r="S22" s="668">
        <f>F22</f>
        <v>100</v>
      </c>
      <c r="T22" s="667" t="s">
        <v>14</v>
      </c>
      <c r="U22" s="668">
        <f>H22</f>
        <v>100</v>
      </c>
      <c r="V22" s="667" t="s">
        <v>14</v>
      </c>
      <c r="W22" s="668">
        <f>J22</f>
        <v>100</v>
      </c>
      <c r="X22" s="1265"/>
      <c r="Y22" s="336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66"/>
      <c r="Q23" s="1263">
        <f>B23</f>
        <v>111</v>
      </c>
      <c r="R23" s="667" t="s">
        <v>14</v>
      </c>
      <c r="S23" s="668">
        <f>F23</f>
        <v>100</v>
      </c>
      <c r="T23" s="667" t="s">
        <v>14</v>
      </c>
      <c r="U23" s="668">
        <f>H23</f>
        <v>100</v>
      </c>
      <c r="V23" s="667" t="s">
        <v>14</v>
      </c>
      <c r="W23" s="668">
        <f>J23</f>
        <v>100</v>
      </c>
      <c r="X23" s="1265"/>
      <c r="Y23" s="336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66"/>
      <c r="Q24" s="1263">
        <f t="shared" ref="Q24:Q34" si="11">B24</f>
        <v>111</v>
      </c>
      <c r="R24" s="667" t="s">
        <v>14</v>
      </c>
      <c r="S24" s="668">
        <f>F24</f>
        <v>100</v>
      </c>
      <c r="T24" s="667" t="s">
        <v>14</v>
      </c>
      <c r="U24" s="668">
        <f>H24</f>
        <v>100</v>
      </c>
      <c r="V24" s="667" t="s">
        <v>14</v>
      </c>
      <c r="W24" s="668">
        <f>J24</f>
        <v>100</v>
      </c>
      <c r="X24" s="1265"/>
      <c r="Y24" s="3366"/>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66"/>
      <c r="Q25" s="530">
        <f t="shared" si="11"/>
        <v>111</v>
      </c>
      <c r="R25" s="664" t="s">
        <v>14</v>
      </c>
      <c r="S25" s="665">
        <f>F25</f>
        <v>100</v>
      </c>
      <c r="T25" s="664" t="s">
        <v>14</v>
      </c>
      <c r="U25" s="665">
        <f>H25</f>
        <v>100</v>
      </c>
      <c r="V25" s="664" t="s">
        <v>14</v>
      </c>
      <c r="W25" s="665">
        <f>J25</f>
        <v>100</v>
      </c>
      <c r="X25" s="666"/>
      <c r="Y25" s="336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1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0"/>
      <c r="Q27" s="531" t="str">
        <f t="shared" si="11"/>
        <v>成新率</v>
      </c>
      <c r="R27" s="669" t="s">
        <v>14</v>
      </c>
      <c r="S27" s="670" t="e">
        <f t="shared" si="12"/>
        <v>#N/A</v>
      </c>
      <c r="T27" s="669" t="s">
        <v>14</v>
      </c>
      <c r="U27" s="670" t="e">
        <f t="shared" si="13"/>
        <v>#N/A</v>
      </c>
      <c r="V27" s="669" t="s">
        <v>14</v>
      </c>
      <c r="W27" s="670" t="e">
        <f t="shared" si="14"/>
        <v>#N/A</v>
      </c>
      <c r="X27" s="671"/>
      <c r="Y27" s="337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0"/>
      <c r="Q28" s="1263" t="str">
        <f t="shared" si="11"/>
        <v>物业等级</v>
      </c>
      <c r="R28" s="667" t="s">
        <v>14</v>
      </c>
      <c r="S28" s="668">
        <f t="shared" si="12"/>
        <v>100</v>
      </c>
      <c r="T28" s="667" t="s">
        <v>14</v>
      </c>
      <c r="U28" s="668">
        <f t="shared" si="13"/>
        <v>100</v>
      </c>
      <c r="V28" s="667" t="s">
        <v>14</v>
      </c>
      <c r="W28" s="668">
        <f t="shared" si="14"/>
        <v>100</v>
      </c>
      <c r="X28" s="1265"/>
      <c r="Y28" s="337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0"/>
      <c r="Q29" s="1263" t="str">
        <f t="shared" si="11"/>
        <v>有无电梯</v>
      </c>
      <c r="R29" s="667" t="s">
        <v>14</v>
      </c>
      <c r="S29" s="668">
        <f t="shared" si="12"/>
        <v>100</v>
      </c>
      <c r="T29" s="667" t="s">
        <v>14</v>
      </c>
      <c r="U29" s="668">
        <f t="shared" si="13"/>
        <v>100</v>
      </c>
      <c r="V29" s="667" t="s">
        <v>14</v>
      </c>
      <c r="W29" s="668">
        <f t="shared" si="14"/>
        <v>100</v>
      </c>
      <c r="X29" s="1265"/>
      <c r="Y29" s="337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0"/>
      <c r="Q30" s="1263" t="str">
        <f t="shared" si="11"/>
        <v>建筑面积</v>
      </c>
      <c r="R30" s="667" t="s">
        <v>14</v>
      </c>
      <c r="S30" s="668" t="e">
        <f t="shared" si="12"/>
        <v>#N/A</v>
      </c>
      <c r="T30" s="667" t="s">
        <v>14</v>
      </c>
      <c r="U30" s="668" t="e">
        <f t="shared" si="13"/>
        <v>#N/A</v>
      </c>
      <c r="V30" s="667" t="s">
        <v>14</v>
      </c>
      <c r="W30" s="668" t="e">
        <f t="shared" si="14"/>
        <v>#N/A</v>
      </c>
      <c r="X30" s="1265"/>
      <c r="Y30" s="337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70"/>
      <c r="Q31" s="530" t="str">
        <f t="shared" si="11"/>
        <v>是否封闭</v>
      </c>
      <c r="R31" s="664" t="s">
        <v>14</v>
      </c>
      <c r="S31" s="665">
        <f t="shared" si="12"/>
        <v>100</v>
      </c>
      <c r="T31" s="664" t="s">
        <v>14</v>
      </c>
      <c r="U31" s="665">
        <f t="shared" si="13"/>
        <v>100</v>
      </c>
      <c r="V31" s="664" t="s">
        <v>14</v>
      </c>
      <c r="W31" s="665">
        <f t="shared" si="14"/>
        <v>100</v>
      </c>
      <c r="X31" s="666"/>
      <c r="Y31" s="337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0" t="s">
        <v>1696</v>
      </c>
      <c r="Q32" s="1263">
        <f t="shared" si="11"/>
        <v>111</v>
      </c>
      <c r="R32" s="667" t="s">
        <v>14</v>
      </c>
      <c r="S32" s="668">
        <f t="shared" si="12"/>
        <v>100</v>
      </c>
      <c r="T32" s="667" t="s">
        <v>14</v>
      </c>
      <c r="U32" s="668">
        <f t="shared" si="13"/>
        <v>100</v>
      </c>
      <c r="V32" s="667" t="s">
        <v>14</v>
      </c>
      <c r="W32" s="668">
        <f t="shared" si="14"/>
        <v>100</v>
      </c>
      <c r="X32" s="1265"/>
      <c r="Y32" s="337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0"/>
      <c r="Q33" s="1263">
        <f t="shared" si="11"/>
        <v>111</v>
      </c>
      <c r="R33" s="667" t="s">
        <v>14</v>
      </c>
      <c r="S33" s="668">
        <f t="shared" si="12"/>
        <v>100</v>
      </c>
      <c r="T33" s="667" t="s">
        <v>14</v>
      </c>
      <c r="U33" s="668">
        <f t="shared" si="13"/>
        <v>100</v>
      </c>
      <c r="V33" s="667" t="s">
        <v>14</v>
      </c>
      <c r="W33" s="668">
        <f t="shared" si="14"/>
        <v>100</v>
      </c>
      <c r="X33" s="1265"/>
      <c r="Y33" s="3370"/>
      <c r="Z33" s="1264">
        <f t="shared" si="15"/>
        <v>111</v>
      </c>
      <c r="AA33" s="1264">
        <f t="shared" si="3"/>
        <v>1</v>
      </c>
      <c r="AB33" s="1264">
        <f t="shared" si="4"/>
        <v>1</v>
      </c>
      <c r="AC33" s="1264">
        <f t="shared" si="5"/>
        <v>1</v>
      </c>
    </row>
    <row r="34" spans="1:30" ht="15.75"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0"/>
      <c r="Q34" s="1263">
        <f t="shared" si="11"/>
        <v>111</v>
      </c>
      <c r="R34" s="667" t="s">
        <v>14</v>
      </c>
      <c r="S34" s="668">
        <f t="shared" si="12"/>
        <v>100</v>
      </c>
      <c r="T34" s="667" t="s">
        <v>14</v>
      </c>
      <c r="U34" s="668">
        <f t="shared" si="13"/>
        <v>100</v>
      </c>
      <c r="V34" s="667" t="s">
        <v>14</v>
      </c>
      <c r="W34" s="668">
        <f t="shared" si="14"/>
        <v>100</v>
      </c>
      <c r="X34" s="1265"/>
      <c r="Y34" s="337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64" t="str">
        <f>A35</f>
        <v>成交单价（元/平方米）</v>
      </c>
      <c r="Q35" s="3364"/>
      <c r="R35" s="3359">
        <f>E35</f>
        <v>0</v>
      </c>
      <c r="S35" s="3359"/>
      <c r="T35" s="3359">
        <f>G35</f>
        <v>0</v>
      </c>
      <c r="U35" s="3359"/>
      <c r="V35" s="3359">
        <f>I35</f>
        <v>0</v>
      </c>
      <c r="W35" s="3359"/>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64" t="str">
        <f>A36</f>
        <v>比较价值（元/平方米）</v>
      </c>
      <c r="Q36" s="3364"/>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61" t="str">
        <f>A37</f>
        <v>估价对象XX用房的比较价值（楼面单价，元/平方米）</v>
      </c>
      <c r="Q37" s="3362"/>
      <c r="R37" s="3416" t="e">
        <f>IF(F1="售价",ROUND(IF(D36="简单平均",AVERAGE(R36:W36),R36*F36+T36*H36+V36*J36),0),ROUND(IF(D36="简单平均",AVERAGE(R36:V36),R36*F36+T36*H36+V36*J36),1))</f>
        <v>#DIV/0!</v>
      </c>
      <c r="S37" s="3416"/>
      <c r="T37" s="3416"/>
      <c r="U37" s="3416"/>
      <c r="V37" s="3416"/>
      <c r="W37" s="341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47" t="s">
        <v>1770</v>
      </c>
      <c r="D4" s="3348"/>
      <c r="E4" s="3349" t="s">
        <v>1771</v>
      </c>
      <c r="F4" s="3350"/>
      <c r="G4" s="3347" t="s">
        <v>1772</v>
      </c>
      <c r="H4" s="3348"/>
      <c r="I4" s="3347" t="s">
        <v>1773</v>
      </c>
      <c r="J4" s="3348"/>
      <c r="K4" s="537" t="s">
        <v>1774</v>
      </c>
      <c r="L4" s="2486"/>
      <c r="M4" s="2487"/>
      <c r="N4" s="2487"/>
      <c r="O4" s="2487"/>
      <c r="P4" s="3351" t="s">
        <v>1775</v>
      </c>
      <c r="Q4" s="3352"/>
      <c r="R4" s="3334" t="s">
        <v>1771</v>
      </c>
      <c r="S4" s="3335"/>
      <c r="T4" s="3334" t="s">
        <v>1772</v>
      </c>
      <c r="U4" s="3335"/>
      <c r="V4" s="3359" t="s">
        <v>1773</v>
      </c>
      <c r="W4" s="3359"/>
      <c r="X4" s="1265"/>
      <c r="Y4" s="3334" t="s">
        <v>1775</v>
      </c>
      <c r="Z4" s="3335"/>
      <c r="AA4" s="3329" t="s">
        <v>1771</v>
      </c>
      <c r="AB4" s="3330" t="s">
        <v>1772</v>
      </c>
      <c r="AC4" s="3329" t="s">
        <v>1773</v>
      </c>
    </row>
    <row r="5" spans="1:29" ht="15">
      <c r="A5" s="348"/>
      <c r="B5" s="349"/>
      <c r="C5" s="3340" t="s">
        <v>1673</v>
      </c>
      <c r="D5" s="3341"/>
      <c r="E5" s="3338" t="s">
        <v>1674</v>
      </c>
      <c r="F5" s="3339"/>
      <c r="G5" s="3340" t="s">
        <v>1675</v>
      </c>
      <c r="H5" s="3341"/>
      <c r="I5" s="3340" t="s">
        <v>1676</v>
      </c>
      <c r="J5" s="3341"/>
      <c r="K5" s="537"/>
      <c r="L5" s="2486"/>
      <c r="M5" s="2487"/>
      <c r="N5" s="2487"/>
      <c r="O5" s="2487"/>
      <c r="P5" s="3353"/>
      <c r="Q5" s="3354"/>
      <c r="R5" s="3336"/>
      <c r="S5" s="3337"/>
      <c r="T5" s="3336"/>
      <c r="U5" s="3337"/>
      <c r="V5" s="3359"/>
      <c r="W5" s="3359"/>
      <c r="X5" s="1265"/>
      <c r="Y5" s="3336"/>
      <c r="Z5" s="3337"/>
      <c r="AA5" s="3330"/>
      <c r="AB5" s="3330"/>
      <c r="AC5" s="3330"/>
    </row>
    <row r="6" spans="1:29" ht="15.75" thickBot="1">
      <c r="A6" s="350"/>
      <c r="B6" s="351"/>
      <c r="C6" s="3342" t="s">
        <v>1677</v>
      </c>
      <c r="D6" s="3343"/>
      <c r="E6" s="3344" t="s">
        <v>1677</v>
      </c>
      <c r="F6" s="3345"/>
      <c r="G6" s="3342" t="s">
        <v>1677</v>
      </c>
      <c r="H6" s="3343"/>
      <c r="I6" s="3342" t="s">
        <v>1677</v>
      </c>
      <c r="J6" s="3343"/>
      <c r="K6" s="537" t="s">
        <v>1678</v>
      </c>
      <c r="L6" s="2486"/>
      <c r="M6" s="2487"/>
      <c r="N6" s="2487"/>
      <c r="O6" s="2487"/>
      <c r="P6" s="3355"/>
      <c r="Q6" s="3356"/>
      <c r="R6" s="3336"/>
      <c r="S6" s="3337"/>
      <c r="T6" s="3357"/>
      <c r="U6" s="3358"/>
      <c r="V6" s="3359"/>
      <c r="W6" s="3359"/>
      <c r="X6" s="1265"/>
      <c r="Y6" s="3357"/>
      <c r="Z6" s="3358"/>
      <c r="AA6" s="3331"/>
      <c r="AB6" s="3331"/>
      <c r="AC6" s="3331"/>
    </row>
    <row r="7" spans="1:29" s="102" customFormat="1" ht="15.75" thickBot="1">
      <c r="A7" s="352" t="s">
        <v>1679</v>
      </c>
      <c r="B7" s="353"/>
      <c r="C7" s="354">
        <f>'数据-取费表'!B2</f>
        <v>45546</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32" t="s">
        <v>1680</v>
      </c>
      <c r="Q7" s="3360"/>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32" t="s">
        <v>1683</v>
      </c>
      <c r="Q8" s="3333"/>
      <c r="R8" s="664" t="s">
        <v>14</v>
      </c>
      <c r="S8" s="665">
        <f t="shared" si="0"/>
        <v>0</v>
      </c>
      <c r="T8" s="664" t="s">
        <v>14</v>
      </c>
      <c r="U8" s="665">
        <f t="shared" si="1"/>
        <v>0</v>
      </c>
      <c r="V8" s="664" t="s">
        <v>14</v>
      </c>
      <c r="W8" s="665">
        <f t="shared" si="2"/>
        <v>0</v>
      </c>
      <c r="X8" s="666"/>
      <c r="Y8" s="3332" t="s">
        <v>1683</v>
      </c>
      <c r="Z8" s="3333"/>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64"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9"/>
      <c r="M10" s="2490"/>
      <c r="N10" s="2490"/>
      <c r="O10" s="2541"/>
      <c r="P10" s="3364"/>
      <c r="Q10" s="530" t="str">
        <f t="shared" si="6"/>
        <v>土地使用年限（年）</v>
      </c>
      <c r="R10" s="664" t="s">
        <v>14</v>
      </c>
      <c r="S10" s="665">
        <f t="shared" si="0"/>
        <v>106</v>
      </c>
      <c r="T10" s="664" t="s">
        <v>14</v>
      </c>
      <c r="U10" s="665">
        <f t="shared" si="1"/>
        <v>106</v>
      </c>
      <c r="V10" s="664" t="s">
        <v>14</v>
      </c>
      <c r="W10" s="665">
        <f t="shared" si="2"/>
        <v>106</v>
      </c>
      <c r="X10" s="666"/>
      <c r="Y10" s="3302"/>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4"/>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64"/>
      <c r="Q12" s="530" t="str">
        <f t="shared" si="6"/>
        <v>配建</v>
      </c>
      <c r="R12" s="664" t="s">
        <v>14</v>
      </c>
      <c r="S12" s="665">
        <f t="shared" si="0"/>
        <v>100</v>
      </c>
      <c r="T12" s="664" t="s">
        <v>14</v>
      </c>
      <c r="U12" s="665">
        <f t="shared" si="1"/>
        <v>100</v>
      </c>
      <c r="V12" s="664" t="s">
        <v>14</v>
      </c>
      <c r="W12" s="665">
        <f t="shared" si="2"/>
        <v>100</v>
      </c>
      <c r="X12" s="666"/>
      <c r="Y12" s="330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4"/>
      <c r="Q13" s="530">
        <f t="shared" si="6"/>
        <v>111</v>
      </c>
      <c r="R13" s="664" t="s">
        <v>14</v>
      </c>
      <c r="S13" s="665">
        <f t="shared" si="0"/>
        <v>100</v>
      </c>
      <c r="T13" s="664" t="s">
        <v>14</v>
      </c>
      <c r="U13" s="665">
        <f t="shared" si="1"/>
        <v>100</v>
      </c>
      <c r="V13" s="664" t="s">
        <v>14</v>
      </c>
      <c r="W13" s="665">
        <f t="shared" si="2"/>
        <v>100</v>
      </c>
      <c r="X13" s="666"/>
      <c r="Y13" s="330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4"/>
      <c r="Q14" s="530">
        <f t="shared" si="6"/>
        <v>111</v>
      </c>
      <c r="R14" s="664" t="s">
        <v>14</v>
      </c>
      <c r="S14" s="665">
        <f t="shared" si="0"/>
        <v>100</v>
      </c>
      <c r="T14" s="664" t="s">
        <v>14</v>
      </c>
      <c r="U14" s="665">
        <f t="shared" si="1"/>
        <v>100</v>
      </c>
      <c r="V14" s="664" t="s">
        <v>14</v>
      </c>
      <c r="W14" s="665">
        <f t="shared" si="2"/>
        <v>100</v>
      </c>
      <c r="X14" s="666"/>
      <c r="Y14" s="330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65" t="s">
        <v>1691</v>
      </c>
      <c r="Q15" s="1263" t="str">
        <f t="shared" si="6"/>
        <v>居住社区成熟度</v>
      </c>
      <c r="R15" s="667" t="s">
        <v>14</v>
      </c>
      <c r="S15" s="668">
        <f t="shared" si="0"/>
        <v>100</v>
      </c>
      <c r="T15" s="667" t="s">
        <v>14</v>
      </c>
      <c r="U15" s="668">
        <f t="shared" si="1"/>
        <v>100</v>
      </c>
      <c r="V15" s="667" t="s">
        <v>14</v>
      </c>
      <c r="W15" s="668">
        <f t="shared" si="2"/>
        <v>100</v>
      </c>
      <c r="X15" s="1265"/>
      <c r="Y15" s="336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66"/>
      <c r="Q16" s="1263"/>
      <c r="R16" s="667"/>
      <c r="S16" s="668"/>
      <c r="T16" s="667"/>
      <c r="U16" s="668"/>
      <c r="V16" s="667"/>
      <c r="W16" s="668"/>
      <c r="X16" s="1265"/>
      <c r="Y16" s="3366"/>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66"/>
      <c r="Q17" s="1263" t="str">
        <f>B17</f>
        <v>商业繁华度</v>
      </c>
      <c r="R17" s="667" t="s">
        <v>14</v>
      </c>
      <c r="S17" s="668">
        <f>F17</f>
        <v>100</v>
      </c>
      <c r="T17" s="667" t="s">
        <v>14</v>
      </c>
      <c r="U17" s="668">
        <f>H17</f>
        <v>100</v>
      </c>
      <c r="V17" s="667" t="s">
        <v>14</v>
      </c>
      <c r="W17" s="668">
        <f>J17</f>
        <v>100</v>
      </c>
      <c r="X17" s="1265"/>
      <c r="Y17" s="336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66"/>
      <c r="Q18" s="1263"/>
      <c r="R18" s="667"/>
      <c r="S18" s="668"/>
      <c r="T18" s="667"/>
      <c r="U18" s="668"/>
      <c r="V18" s="667"/>
      <c r="W18" s="668"/>
      <c r="X18" s="1265"/>
      <c r="Y18" s="3366"/>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66"/>
      <c r="Q19" s="1263" t="str">
        <f>B19</f>
        <v>办公集聚程度</v>
      </c>
      <c r="R19" s="667" t="s">
        <v>14</v>
      </c>
      <c r="S19" s="668">
        <f>F19</f>
        <v>100</v>
      </c>
      <c r="T19" s="667" t="s">
        <v>14</v>
      </c>
      <c r="U19" s="668">
        <f>H19</f>
        <v>100</v>
      </c>
      <c r="V19" s="667" t="s">
        <v>14</v>
      </c>
      <c r="W19" s="668">
        <f>J19</f>
        <v>100</v>
      </c>
      <c r="X19" s="1265"/>
      <c r="Y19" s="336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66"/>
      <c r="Q20" s="1263"/>
      <c r="R20" s="667"/>
      <c r="S20" s="668"/>
      <c r="T20" s="667"/>
      <c r="U20" s="668"/>
      <c r="V20" s="667"/>
      <c r="W20" s="668"/>
      <c r="X20" s="1265"/>
      <c r="Y20" s="336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66"/>
      <c r="Q21" s="1263" t="str">
        <f>B21</f>
        <v>交通便捷度</v>
      </c>
      <c r="R21" s="667" t="s">
        <v>14</v>
      </c>
      <c r="S21" s="668">
        <f>F21</f>
        <v>100</v>
      </c>
      <c r="T21" s="667" t="s">
        <v>14</v>
      </c>
      <c r="U21" s="668">
        <f>H21</f>
        <v>100</v>
      </c>
      <c r="V21" s="667" t="s">
        <v>14</v>
      </c>
      <c r="W21" s="668">
        <f>J21</f>
        <v>100</v>
      </c>
      <c r="X21" s="1265"/>
      <c r="Y21" s="336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66"/>
      <c r="Q22" s="1263"/>
      <c r="R22" s="667"/>
      <c r="S22" s="668"/>
      <c r="T22" s="667"/>
      <c r="U22" s="668"/>
      <c r="V22" s="667"/>
      <c r="W22" s="668"/>
      <c r="X22" s="1265"/>
      <c r="Y22" s="336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66"/>
      <c r="Q23" s="1263" t="str">
        <f t="shared" ref="Q23:Q37" si="8">B23</f>
        <v>区域土地利用方向</v>
      </c>
      <c r="R23" s="667" t="s">
        <v>14</v>
      </c>
      <c r="S23" s="668">
        <f>F23</f>
        <v>100</v>
      </c>
      <c r="T23" s="667" t="s">
        <v>14</v>
      </c>
      <c r="U23" s="668">
        <f>H23</f>
        <v>100</v>
      </c>
      <c r="V23" s="667" t="s">
        <v>14</v>
      </c>
      <c r="W23" s="668">
        <f>J23</f>
        <v>100</v>
      </c>
      <c r="X23" s="1265"/>
      <c r="Y23" s="336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66"/>
      <c r="Q24" s="1263"/>
      <c r="R24" s="667"/>
      <c r="S24" s="668"/>
      <c r="T24" s="667"/>
      <c r="U24" s="668"/>
      <c r="V24" s="667"/>
      <c r="W24" s="668"/>
      <c r="X24" s="1265"/>
      <c r="Y24" s="3366"/>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66"/>
      <c r="Q25" s="1263" t="str">
        <f t="shared" si="8"/>
        <v>自然及人文环境状况</v>
      </c>
      <c r="R25" s="667" t="s">
        <v>14</v>
      </c>
      <c r="S25" s="668">
        <f>F25</f>
        <v>100</v>
      </c>
      <c r="T25" s="667" t="s">
        <v>14</v>
      </c>
      <c r="U25" s="668">
        <f>H25</f>
        <v>100</v>
      </c>
      <c r="V25" s="667" t="s">
        <v>14</v>
      </c>
      <c r="W25" s="668">
        <f>J25</f>
        <v>100</v>
      </c>
      <c r="X25" s="1265"/>
      <c r="Y25" s="336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66"/>
      <c r="Q26" s="1263"/>
      <c r="R26" s="667"/>
      <c r="S26" s="668"/>
      <c r="T26" s="667"/>
      <c r="U26" s="668"/>
      <c r="V26" s="667"/>
      <c r="W26" s="668"/>
      <c r="X26" s="1265"/>
      <c r="Y26" s="336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66"/>
      <c r="Q27" s="530" t="str">
        <f t="shared" si="8"/>
        <v>公共配套设施</v>
      </c>
      <c r="R27" s="664" t="s">
        <v>14</v>
      </c>
      <c r="S27" s="665">
        <f>F27</f>
        <v>100</v>
      </c>
      <c r="T27" s="664" t="s">
        <v>14</v>
      </c>
      <c r="U27" s="665">
        <f>H27</f>
        <v>100</v>
      </c>
      <c r="V27" s="664" t="s">
        <v>14</v>
      </c>
      <c r="W27" s="665">
        <f>J27</f>
        <v>100</v>
      </c>
      <c r="X27" s="666"/>
      <c r="Y27" s="3366"/>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8"/>
      <c r="M28" s="2439"/>
      <c r="N28" s="2439"/>
      <c r="O28" s="2540"/>
      <c r="P28" s="3366"/>
      <c r="Q28" s="530"/>
      <c r="R28" s="664"/>
      <c r="S28" s="665"/>
      <c r="T28" s="664"/>
      <c r="U28" s="665"/>
      <c r="V28" s="664"/>
      <c r="W28" s="665"/>
      <c r="X28" s="666"/>
      <c r="Y28" s="336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66"/>
      <c r="Q29" s="530" t="str">
        <f t="shared" ref="Q29" si="9">B29</f>
        <v>基础设施水平</v>
      </c>
      <c r="R29" s="664" t="s">
        <v>14</v>
      </c>
      <c r="S29" s="665">
        <f>F29</f>
        <v>100</v>
      </c>
      <c r="T29" s="664" t="s">
        <v>14</v>
      </c>
      <c r="U29" s="665">
        <f>H29</f>
        <v>100</v>
      </c>
      <c r="V29" s="664" t="s">
        <v>14</v>
      </c>
      <c r="W29" s="665">
        <f>J29</f>
        <v>100</v>
      </c>
      <c r="X29" s="666"/>
      <c r="Y29" s="3366"/>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66"/>
      <c r="Q30" s="530"/>
      <c r="R30" s="664"/>
      <c r="S30" s="665"/>
      <c r="T30" s="664"/>
      <c r="U30" s="665"/>
      <c r="V30" s="664"/>
      <c r="W30" s="665"/>
      <c r="X30" s="666"/>
      <c r="Y30" s="336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6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66"/>
      <c r="Q32" s="1263" t="str">
        <f t="shared" si="8"/>
        <v>毗邻道路的类型与等级</v>
      </c>
      <c r="R32" s="667" t="s">
        <v>14</v>
      </c>
      <c r="S32" s="668">
        <f t="shared" si="10"/>
        <v>100</v>
      </c>
      <c r="T32" s="667" t="s">
        <v>14</v>
      </c>
      <c r="U32" s="668">
        <f t="shared" si="11"/>
        <v>100</v>
      </c>
      <c r="V32" s="667" t="s">
        <v>14</v>
      </c>
      <c r="W32" s="668">
        <f t="shared" si="12"/>
        <v>100</v>
      </c>
      <c r="X32" s="1265"/>
      <c r="Y32" s="336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66"/>
      <c r="Q33" s="1263"/>
      <c r="R33" s="667"/>
      <c r="S33" s="668"/>
      <c r="T33" s="667"/>
      <c r="U33" s="668"/>
      <c r="V33" s="667"/>
      <c r="W33" s="668"/>
      <c r="X33" s="1265"/>
      <c r="Y33" s="336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66"/>
      <c r="Q34" s="1263" t="str">
        <f t="shared" si="8"/>
        <v>土地级别</v>
      </c>
      <c r="R34" s="667" t="s">
        <v>14</v>
      </c>
      <c r="S34" s="668">
        <f t="shared" si="10"/>
        <v>100</v>
      </c>
      <c r="T34" s="667" t="s">
        <v>14</v>
      </c>
      <c r="U34" s="668">
        <f t="shared" si="11"/>
        <v>100</v>
      </c>
      <c r="V34" s="667" t="s">
        <v>14</v>
      </c>
      <c r="W34" s="668">
        <f t="shared" si="12"/>
        <v>100</v>
      </c>
      <c r="X34" s="1265"/>
      <c r="Y34" s="336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66"/>
      <c r="Q35" s="1263">
        <f t="shared" si="8"/>
        <v>111</v>
      </c>
      <c r="R35" s="667" t="s">
        <v>14</v>
      </c>
      <c r="S35" s="668">
        <f t="shared" si="10"/>
        <v>100</v>
      </c>
      <c r="T35" s="667" t="s">
        <v>14</v>
      </c>
      <c r="U35" s="668">
        <f t="shared" si="11"/>
        <v>100</v>
      </c>
      <c r="V35" s="667" t="s">
        <v>14</v>
      </c>
      <c r="W35" s="668">
        <f t="shared" si="12"/>
        <v>100</v>
      </c>
      <c r="X35" s="1265"/>
      <c r="Y35" s="336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15" t="s">
        <v>1696</v>
      </c>
      <c r="Q36" s="1263">
        <f t="shared" si="8"/>
        <v>111</v>
      </c>
      <c r="R36" s="667" t="s">
        <v>14</v>
      </c>
      <c r="S36" s="668">
        <f t="shared" si="10"/>
        <v>100</v>
      </c>
      <c r="T36" s="667" t="s">
        <v>14</v>
      </c>
      <c r="U36" s="668">
        <f t="shared" si="11"/>
        <v>100</v>
      </c>
      <c r="V36" s="667" t="s">
        <v>14</v>
      </c>
      <c r="W36" s="668">
        <f t="shared" si="12"/>
        <v>100</v>
      </c>
      <c r="X36" s="1265"/>
      <c r="Y36" s="337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0"/>
      <c r="Q37" s="1263">
        <f t="shared" si="8"/>
        <v>111</v>
      </c>
      <c r="R37" s="669" t="s">
        <v>14</v>
      </c>
      <c r="S37" s="670">
        <f t="shared" si="10"/>
        <v>100</v>
      </c>
      <c r="T37" s="669" t="s">
        <v>14</v>
      </c>
      <c r="U37" s="670">
        <f t="shared" si="11"/>
        <v>100</v>
      </c>
      <c r="V37" s="669" t="s">
        <v>14</v>
      </c>
      <c r="W37" s="670">
        <f t="shared" si="12"/>
        <v>100</v>
      </c>
      <c r="X37" s="671"/>
      <c r="Y37" s="337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0"/>
      <c r="Q38" s="1263" t="str">
        <f>B38</f>
        <v>宗地面积</v>
      </c>
      <c r="R38" s="667" t="s">
        <v>14</v>
      </c>
      <c r="S38" s="668" t="e">
        <f t="shared" si="10"/>
        <v>#N/A</v>
      </c>
      <c r="T38" s="667" t="s">
        <v>14</v>
      </c>
      <c r="U38" s="668" t="e">
        <f t="shared" si="11"/>
        <v>#N/A</v>
      </c>
      <c r="V38" s="667" t="s">
        <v>14</v>
      </c>
      <c r="W38" s="668" t="e">
        <f t="shared" si="12"/>
        <v>#N/A</v>
      </c>
      <c r="X38" s="1265"/>
      <c r="Y38" s="337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0"/>
      <c r="Q39" s="1263" t="str">
        <f t="shared" ref="Q39:Q45" si="14">B39</f>
        <v>宗地形状</v>
      </c>
      <c r="R39" s="667" t="s">
        <v>14</v>
      </c>
      <c r="S39" s="668">
        <f t="shared" si="10"/>
        <v>100</v>
      </c>
      <c r="T39" s="667" t="s">
        <v>14</v>
      </c>
      <c r="U39" s="668">
        <f t="shared" si="11"/>
        <v>100</v>
      </c>
      <c r="V39" s="667" t="s">
        <v>14</v>
      </c>
      <c r="W39" s="668">
        <f t="shared" si="12"/>
        <v>100</v>
      </c>
      <c r="X39" s="1265"/>
      <c r="Y39" s="337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0"/>
      <c r="Q40" s="1263" t="str">
        <f t="shared" si="14"/>
        <v>临街宽度及深度</v>
      </c>
      <c r="R40" s="667" t="s">
        <v>14</v>
      </c>
      <c r="S40" s="668">
        <f t="shared" si="10"/>
        <v>100</v>
      </c>
      <c r="T40" s="667" t="s">
        <v>14</v>
      </c>
      <c r="U40" s="668">
        <f t="shared" si="11"/>
        <v>100</v>
      </c>
      <c r="V40" s="667" t="s">
        <v>14</v>
      </c>
      <c r="W40" s="668">
        <f t="shared" si="12"/>
        <v>100</v>
      </c>
      <c r="X40" s="1265"/>
      <c r="Y40" s="3370"/>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70"/>
      <c r="Q41" s="1263" t="str">
        <f t="shared" si="14"/>
        <v>宗地开发程度</v>
      </c>
      <c r="R41" s="664" t="s">
        <v>14</v>
      </c>
      <c r="S41" s="665">
        <f t="shared" si="10"/>
        <v>100</v>
      </c>
      <c r="T41" s="664" t="s">
        <v>14</v>
      </c>
      <c r="U41" s="665">
        <f t="shared" si="11"/>
        <v>100</v>
      </c>
      <c r="V41" s="664" t="s">
        <v>14</v>
      </c>
      <c r="W41" s="665">
        <f t="shared" si="12"/>
        <v>100</v>
      </c>
      <c r="X41" s="666"/>
      <c r="Y41" s="337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0" t="s">
        <v>1696</v>
      </c>
      <c r="Q42" s="1263" t="str">
        <f t="shared" si="14"/>
        <v>工程地质条件</v>
      </c>
      <c r="R42" s="667" t="s">
        <v>14</v>
      </c>
      <c r="S42" s="668">
        <f t="shared" si="10"/>
        <v>100</v>
      </c>
      <c r="T42" s="667" t="s">
        <v>14</v>
      </c>
      <c r="U42" s="668">
        <f t="shared" si="11"/>
        <v>100</v>
      </c>
      <c r="V42" s="667" t="s">
        <v>14</v>
      </c>
      <c r="W42" s="668">
        <f t="shared" si="12"/>
        <v>100</v>
      </c>
      <c r="X42" s="1265"/>
      <c r="Y42" s="337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0"/>
      <c r="Q43" s="1263">
        <f t="shared" si="14"/>
        <v>111</v>
      </c>
      <c r="R43" s="667" t="s">
        <v>14</v>
      </c>
      <c r="S43" s="668">
        <f t="shared" si="10"/>
        <v>100</v>
      </c>
      <c r="T43" s="667" t="s">
        <v>14</v>
      </c>
      <c r="U43" s="668">
        <f t="shared" si="11"/>
        <v>100</v>
      </c>
      <c r="V43" s="667" t="s">
        <v>14</v>
      </c>
      <c r="W43" s="668">
        <f t="shared" si="12"/>
        <v>100</v>
      </c>
      <c r="X43" s="1265"/>
      <c r="Y43" s="337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0"/>
      <c r="Q44" s="1263">
        <f t="shared" si="14"/>
        <v>111</v>
      </c>
      <c r="R44" s="667" t="s">
        <v>14</v>
      </c>
      <c r="S44" s="668">
        <f t="shared" si="10"/>
        <v>100</v>
      </c>
      <c r="T44" s="667" t="s">
        <v>14</v>
      </c>
      <c r="U44" s="668">
        <f t="shared" si="11"/>
        <v>100</v>
      </c>
      <c r="V44" s="667" t="s">
        <v>14</v>
      </c>
      <c r="W44" s="668">
        <f t="shared" si="12"/>
        <v>100</v>
      </c>
      <c r="X44" s="1265"/>
      <c r="Y44" s="3370"/>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0"/>
      <c r="Q45" s="1263">
        <f t="shared" si="14"/>
        <v>111</v>
      </c>
      <c r="R45" s="669" t="s">
        <v>14</v>
      </c>
      <c r="S45" s="670">
        <f t="shared" si="10"/>
        <v>100</v>
      </c>
      <c r="T45" s="669" t="s">
        <v>14</v>
      </c>
      <c r="U45" s="670">
        <f t="shared" si="11"/>
        <v>100</v>
      </c>
      <c r="V45" s="669" t="s">
        <v>14</v>
      </c>
      <c r="W45" s="670">
        <f t="shared" si="12"/>
        <v>100</v>
      </c>
      <c r="X45" s="671"/>
      <c r="Y45" s="3370"/>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64" t="str">
        <f>A46</f>
        <v>成交单价</v>
      </c>
      <c r="Q46" s="3364"/>
      <c r="R46" s="3359">
        <f>E46</f>
        <v>0</v>
      </c>
      <c r="S46" s="3359"/>
      <c r="T46" s="3359">
        <f>G46</f>
        <v>0</v>
      </c>
      <c r="U46" s="3359"/>
      <c r="V46" s="3359">
        <f>I46</f>
        <v>0</v>
      </c>
      <c r="W46" s="3359"/>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64" t="str">
        <f>A47</f>
        <v>比较价值（元/平方米）</v>
      </c>
      <c r="Q47" s="3364"/>
      <c r="R47" s="3417" t="e">
        <f>ROUND(PRODUCT(R46,AA7:AA45),0)</f>
        <v>#DIV/0!</v>
      </c>
      <c r="S47" s="3417"/>
      <c r="T47" s="3417" t="e">
        <f>ROUND(PRODUCT(T46,AB7:AB45),0)</f>
        <v>#DIV/0!</v>
      </c>
      <c r="U47" s="3417"/>
      <c r="V47" s="3417" t="e">
        <f>ROUND(PRODUCT(V46,AC7:AC45),0)</f>
        <v>#DIV/0!</v>
      </c>
      <c r="W47" s="341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61" t="str">
        <f>A48</f>
        <v>估价对象XX用房的比较价值（楼面单价，元/平方米）</v>
      </c>
      <c r="Q48" s="3362"/>
      <c r="R48" s="3418" t="e">
        <f>ROUND(IF(D47="简单平均",AVERAGE(R47:W47),R47*F47+T47*H47+V47*J47),0)</f>
        <v>#DIV/0!</v>
      </c>
      <c r="S48" s="3418"/>
      <c r="T48" s="3418"/>
      <c r="U48" s="3418"/>
      <c r="V48" s="3418"/>
      <c r="W48" s="341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47" t="s">
        <v>1887</v>
      </c>
      <c r="H55" s="3419"/>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258.36</v>
      </c>
      <c r="F56" s="833" t="e">
        <f t="shared" ref="F56:F64" si="15">ROUND(B56*E56/10000,0)</f>
        <v>#DIV/0!</v>
      </c>
      <c r="G56" s="3346"/>
      <c r="H56" s="336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258.36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47" t="s">
        <v>1770</v>
      </c>
      <c r="D4" s="3348"/>
      <c r="E4" s="3349" t="s">
        <v>1771</v>
      </c>
      <c r="F4" s="3350"/>
      <c r="G4" s="3347" t="s">
        <v>1772</v>
      </c>
      <c r="H4" s="3348"/>
      <c r="I4" s="3347" t="s">
        <v>1773</v>
      </c>
      <c r="J4" s="3348"/>
      <c r="K4" s="537" t="s">
        <v>1774</v>
      </c>
      <c r="L4" s="2486"/>
      <c r="M4" s="2487"/>
      <c r="N4" s="2487"/>
      <c r="O4" s="2487"/>
      <c r="P4" s="3351" t="s">
        <v>1775</v>
      </c>
      <c r="Q4" s="3352"/>
      <c r="R4" s="3334" t="s">
        <v>1771</v>
      </c>
      <c r="S4" s="3335"/>
      <c r="T4" s="3334" t="s">
        <v>1772</v>
      </c>
      <c r="U4" s="3335"/>
      <c r="V4" s="3359" t="s">
        <v>1773</v>
      </c>
      <c r="W4" s="3359"/>
      <c r="X4" s="1265"/>
      <c r="Y4" s="3334" t="s">
        <v>1775</v>
      </c>
      <c r="Z4" s="3335"/>
      <c r="AA4" s="3329" t="s">
        <v>1771</v>
      </c>
      <c r="AB4" s="3330" t="s">
        <v>1772</v>
      </c>
      <c r="AC4" s="3329" t="s">
        <v>1773</v>
      </c>
    </row>
    <row r="5" spans="1:29" ht="15">
      <c r="A5" s="348"/>
      <c r="B5" s="349"/>
      <c r="C5" s="3340" t="s">
        <v>1673</v>
      </c>
      <c r="D5" s="3341"/>
      <c r="E5" s="3338" t="s">
        <v>1674</v>
      </c>
      <c r="F5" s="3339"/>
      <c r="G5" s="3340" t="s">
        <v>1675</v>
      </c>
      <c r="H5" s="3341"/>
      <c r="I5" s="3340" t="s">
        <v>1676</v>
      </c>
      <c r="J5" s="3341"/>
      <c r="K5" s="537"/>
      <c r="L5" s="2486"/>
      <c r="M5" s="2487"/>
      <c r="N5" s="2487"/>
      <c r="O5" s="2487"/>
      <c r="P5" s="3353"/>
      <c r="Q5" s="3354"/>
      <c r="R5" s="3336"/>
      <c r="S5" s="3337"/>
      <c r="T5" s="3336"/>
      <c r="U5" s="3337"/>
      <c r="V5" s="3359"/>
      <c r="W5" s="3359"/>
      <c r="X5" s="1265"/>
      <c r="Y5" s="3336"/>
      <c r="Z5" s="3337"/>
      <c r="AA5" s="3330"/>
      <c r="AB5" s="3330"/>
      <c r="AC5" s="3330"/>
    </row>
    <row r="6" spans="1:29" ht="15.75" thickBot="1">
      <c r="A6" s="350"/>
      <c r="B6" s="351"/>
      <c r="C6" s="3420" t="s">
        <v>1919</v>
      </c>
      <c r="D6" s="3421"/>
      <c r="E6" s="3422" t="s">
        <v>1919</v>
      </c>
      <c r="F6" s="3423"/>
      <c r="G6" s="3420" t="s">
        <v>1919</v>
      </c>
      <c r="H6" s="3421"/>
      <c r="I6" s="3420" t="s">
        <v>1919</v>
      </c>
      <c r="J6" s="3421"/>
      <c r="K6" s="537" t="s">
        <v>1678</v>
      </c>
      <c r="L6" s="2486"/>
      <c r="M6" s="2487"/>
      <c r="N6" s="2487"/>
      <c r="O6" s="2487"/>
      <c r="P6" s="3355"/>
      <c r="Q6" s="3356"/>
      <c r="R6" s="3336"/>
      <c r="S6" s="3337"/>
      <c r="T6" s="3357"/>
      <c r="U6" s="3358"/>
      <c r="V6" s="3359"/>
      <c r="W6" s="3359"/>
      <c r="X6" s="1265"/>
      <c r="Y6" s="3357"/>
      <c r="Z6" s="3358"/>
      <c r="AA6" s="3331"/>
      <c r="AB6" s="3331"/>
      <c r="AC6" s="3331"/>
    </row>
    <row r="7" spans="1:29" s="102" customFormat="1" ht="15.75" thickBot="1">
      <c r="A7" s="352" t="s">
        <v>1679</v>
      </c>
      <c r="B7" s="353"/>
      <c r="C7" s="354">
        <f>'数据-取费表'!B2</f>
        <v>45546</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32" t="s">
        <v>1680</v>
      </c>
      <c r="Q7" s="3360"/>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32" t="s">
        <v>1683</v>
      </c>
      <c r="Q8" s="3333"/>
      <c r="R8" s="664" t="s">
        <v>14</v>
      </c>
      <c r="S8" s="665">
        <f t="shared" si="0"/>
        <v>0</v>
      </c>
      <c r="T8" s="664" t="s">
        <v>14</v>
      </c>
      <c r="U8" s="665">
        <f t="shared" si="1"/>
        <v>0</v>
      </c>
      <c r="V8" s="664" t="s">
        <v>14</v>
      </c>
      <c r="W8" s="665">
        <f t="shared" si="2"/>
        <v>0</v>
      </c>
      <c r="X8" s="666"/>
      <c r="Y8" s="3332" t="s">
        <v>1683</v>
      </c>
      <c r="Z8" s="3333"/>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64" t="s">
        <v>1686</v>
      </c>
      <c r="Q9" s="530" t="str">
        <f t="shared" ref="Q9:Q15" si="6">B9</f>
        <v>用途</v>
      </c>
      <c r="R9" s="664" t="s">
        <v>14</v>
      </c>
      <c r="S9" s="665">
        <f t="shared" si="0"/>
        <v>100</v>
      </c>
      <c r="T9" s="664" t="s">
        <v>14</v>
      </c>
      <c r="U9" s="665">
        <f t="shared" si="1"/>
        <v>100</v>
      </c>
      <c r="V9" s="664" t="s">
        <v>14</v>
      </c>
      <c r="W9" s="665">
        <f t="shared" si="2"/>
        <v>100</v>
      </c>
      <c r="X9" s="666"/>
      <c r="Y9" s="330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9"/>
      <c r="M10" s="2490"/>
      <c r="N10" s="2490"/>
      <c r="O10" s="2541"/>
      <c r="P10" s="3364"/>
      <c r="Q10" s="530" t="str">
        <f t="shared" si="6"/>
        <v>土地使用年限（年）</v>
      </c>
      <c r="R10" s="664" t="s">
        <v>14</v>
      </c>
      <c r="S10" s="665">
        <f t="shared" si="0"/>
        <v>106</v>
      </c>
      <c r="T10" s="664" t="s">
        <v>14</v>
      </c>
      <c r="U10" s="665">
        <f t="shared" si="1"/>
        <v>106</v>
      </c>
      <c r="V10" s="664" t="s">
        <v>14</v>
      </c>
      <c r="W10" s="665">
        <f t="shared" si="2"/>
        <v>106</v>
      </c>
      <c r="X10" s="666"/>
      <c r="Y10" s="3302"/>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4"/>
      <c r="Q11" s="530" t="str">
        <f t="shared" si="6"/>
        <v>容积率</v>
      </c>
      <c r="R11" s="664" t="s">
        <v>14</v>
      </c>
      <c r="S11" s="665" t="e">
        <f t="shared" si="0"/>
        <v>#N/A</v>
      </c>
      <c r="T11" s="664" t="s">
        <v>14</v>
      </c>
      <c r="U11" s="665" t="e">
        <f t="shared" si="1"/>
        <v>#N/A</v>
      </c>
      <c r="V11" s="664" t="s">
        <v>14</v>
      </c>
      <c r="W11" s="665" t="e">
        <f t="shared" si="2"/>
        <v>#N/A</v>
      </c>
      <c r="X11" s="666"/>
      <c r="Y11" s="330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64"/>
      <c r="Q12" s="530">
        <f t="shared" si="6"/>
        <v>111</v>
      </c>
      <c r="R12" s="664" t="s">
        <v>14</v>
      </c>
      <c r="S12" s="665">
        <f t="shared" si="0"/>
        <v>100</v>
      </c>
      <c r="T12" s="664" t="s">
        <v>14</v>
      </c>
      <c r="U12" s="665">
        <f t="shared" si="1"/>
        <v>100</v>
      </c>
      <c r="V12" s="664" t="s">
        <v>14</v>
      </c>
      <c r="W12" s="665">
        <f t="shared" si="2"/>
        <v>100</v>
      </c>
      <c r="X12" s="666"/>
      <c r="Y12" s="330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4"/>
      <c r="Q13" s="530">
        <f t="shared" si="6"/>
        <v>111</v>
      </c>
      <c r="R13" s="664" t="s">
        <v>14</v>
      </c>
      <c r="S13" s="665">
        <f t="shared" si="0"/>
        <v>100</v>
      </c>
      <c r="T13" s="664" t="s">
        <v>14</v>
      </c>
      <c r="U13" s="665">
        <f t="shared" si="1"/>
        <v>100</v>
      </c>
      <c r="V13" s="664" t="s">
        <v>14</v>
      </c>
      <c r="W13" s="665">
        <f t="shared" si="2"/>
        <v>100</v>
      </c>
      <c r="X13" s="666"/>
      <c r="Y13" s="330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4"/>
      <c r="Q14" s="530">
        <f t="shared" si="6"/>
        <v>111</v>
      </c>
      <c r="R14" s="664" t="s">
        <v>14</v>
      </c>
      <c r="S14" s="665">
        <f t="shared" si="0"/>
        <v>100</v>
      </c>
      <c r="T14" s="664" t="s">
        <v>14</v>
      </c>
      <c r="U14" s="665">
        <f t="shared" si="1"/>
        <v>100</v>
      </c>
      <c r="V14" s="664" t="s">
        <v>14</v>
      </c>
      <c r="W14" s="665">
        <f t="shared" si="2"/>
        <v>100</v>
      </c>
      <c r="X14" s="666"/>
      <c r="Y14" s="3302"/>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65" t="s">
        <v>1691</v>
      </c>
      <c r="Q15" s="1263" t="str">
        <f t="shared" si="6"/>
        <v>产业集聚程度</v>
      </c>
      <c r="R15" s="667" t="s">
        <v>14</v>
      </c>
      <c r="S15" s="668">
        <f t="shared" si="0"/>
        <v>100</v>
      </c>
      <c r="T15" s="667" t="s">
        <v>14</v>
      </c>
      <c r="U15" s="668">
        <f t="shared" si="1"/>
        <v>100</v>
      </c>
      <c r="V15" s="667" t="s">
        <v>14</v>
      </c>
      <c r="W15" s="668">
        <f t="shared" si="2"/>
        <v>100</v>
      </c>
      <c r="X15" s="1265"/>
      <c r="Y15" s="336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66"/>
      <c r="Q16" s="1263"/>
      <c r="R16" s="667"/>
      <c r="S16" s="668"/>
      <c r="T16" s="667"/>
      <c r="U16" s="668"/>
      <c r="V16" s="667"/>
      <c r="W16" s="668"/>
      <c r="X16" s="1265"/>
      <c r="Y16" s="336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66"/>
      <c r="Q17" s="1263" t="str">
        <f>B17</f>
        <v>交通便捷度</v>
      </c>
      <c r="R17" s="667" t="s">
        <v>14</v>
      </c>
      <c r="S17" s="668">
        <f>F17</f>
        <v>100</v>
      </c>
      <c r="T17" s="667" t="s">
        <v>14</v>
      </c>
      <c r="U17" s="668">
        <f>H17</f>
        <v>100</v>
      </c>
      <c r="V17" s="667" t="s">
        <v>14</v>
      </c>
      <c r="W17" s="668">
        <f>J17</f>
        <v>100</v>
      </c>
      <c r="X17" s="1265"/>
      <c r="Y17" s="336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66"/>
      <c r="Q18" s="1263"/>
      <c r="R18" s="667"/>
      <c r="S18" s="668"/>
      <c r="T18" s="667"/>
      <c r="U18" s="668"/>
      <c r="V18" s="667"/>
      <c r="W18" s="668"/>
      <c r="X18" s="1265"/>
      <c r="Y18" s="336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66"/>
      <c r="Q19" s="1263" t="str">
        <f t="shared" ref="Q19:Q33" si="8">B19</f>
        <v>区域土地利用方向</v>
      </c>
      <c r="R19" s="667" t="s">
        <v>14</v>
      </c>
      <c r="S19" s="668">
        <f>F19</f>
        <v>100</v>
      </c>
      <c r="T19" s="667" t="s">
        <v>14</v>
      </c>
      <c r="U19" s="668">
        <f>H19</f>
        <v>100</v>
      </c>
      <c r="V19" s="667" t="s">
        <v>14</v>
      </c>
      <c r="W19" s="668">
        <f>J19</f>
        <v>100</v>
      </c>
      <c r="X19" s="1265"/>
      <c r="Y19" s="336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66"/>
      <c r="Q20" s="1263"/>
      <c r="R20" s="667"/>
      <c r="S20" s="668"/>
      <c r="T20" s="667"/>
      <c r="U20" s="668"/>
      <c r="V20" s="667"/>
      <c r="W20" s="668"/>
      <c r="X20" s="1265"/>
      <c r="Y20" s="336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66"/>
      <c r="Q21" s="1263" t="str">
        <f t="shared" si="8"/>
        <v>环境状况</v>
      </c>
      <c r="R21" s="667" t="s">
        <v>14</v>
      </c>
      <c r="S21" s="668">
        <f>F21</f>
        <v>100</v>
      </c>
      <c r="T21" s="667" t="s">
        <v>14</v>
      </c>
      <c r="U21" s="668">
        <f>H21</f>
        <v>100</v>
      </c>
      <c r="V21" s="667" t="s">
        <v>14</v>
      </c>
      <c r="W21" s="668">
        <f>J21</f>
        <v>100</v>
      </c>
      <c r="X21" s="1265"/>
      <c r="Y21" s="336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66"/>
      <c r="Q22" s="1263"/>
      <c r="R22" s="667"/>
      <c r="S22" s="668"/>
      <c r="T22" s="667"/>
      <c r="U22" s="668"/>
      <c r="V22" s="667"/>
      <c r="W22" s="668"/>
      <c r="X22" s="1265"/>
      <c r="Y22" s="336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66"/>
      <c r="Q23" s="530" t="str">
        <f t="shared" si="8"/>
        <v>公共配套设施</v>
      </c>
      <c r="R23" s="664" t="s">
        <v>14</v>
      </c>
      <c r="S23" s="665">
        <f>F23</f>
        <v>100</v>
      </c>
      <c r="T23" s="664" t="s">
        <v>14</v>
      </c>
      <c r="U23" s="665">
        <f>H23</f>
        <v>100</v>
      </c>
      <c r="V23" s="664" t="s">
        <v>14</v>
      </c>
      <c r="W23" s="665">
        <f>J23</f>
        <v>100</v>
      </c>
      <c r="X23" s="666"/>
      <c r="Y23" s="3366"/>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8"/>
      <c r="M24" s="2439"/>
      <c r="N24" s="2439"/>
      <c r="O24" s="2540"/>
      <c r="P24" s="3366"/>
      <c r="Q24" s="530"/>
      <c r="R24" s="664"/>
      <c r="S24" s="665"/>
      <c r="T24" s="664"/>
      <c r="U24" s="665"/>
      <c r="V24" s="664"/>
      <c r="W24" s="665"/>
      <c r="X24" s="666"/>
      <c r="Y24" s="336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66"/>
      <c r="Q25" s="530" t="str">
        <f t="shared" ref="Q25" si="9">B25</f>
        <v>基础设施水平</v>
      </c>
      <c r="R25" s="664" t="s">
        <v>14</v>
      </c>
      <c r="S25" s="665">
        <f>F25</f>
        <v>100</v>
      </c>
      <c r="T25" s="664" t="s">
        <v>14</v>
      </c>
      <c r="U25" s="665">
        <f>H25</f>
        <v>100</v>
      </c>
      <c r="V25" s="664" t="s">
        <v>14</v>
      </c>
      <c r="W25" s="665">
        <f>J25</f>
        <v>100</v>
      </c>
      <c r="X25" s="666"/>
      <c r="Y25" s="3366"/>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66"/>
      <c r="Q26" s="530"/>
      <c r="R26" s="664"/>
      <c r="S26" s="665"/>
      <c r="T26" s="664"/>
      <c r="U26" s="665"/>
      <c r="V26" s="664"/>
      <c r="W26" s="665"/>
      <c r="X26" s="666"/>
      <c r="Y26" s="336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6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6"/>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66"/>
      <c r="Q28" s="1263" t="str">
        <f t="shared" si="8"/>
        <v>毗邻道路的类型与等级</v>
      </c>
      <c r="R28" s="667" t="s">
        <v>14</v>
      </c>
      <c r="S28" s="668">
        <f t="shared" si="10"/>
        <v>100</v>
      </c>
      <c r="T28" s="667" t="s">
        <v>14</v>
      </c>
      <c r="U28" s="668">
        <f t="shared" si="11"/>
        <v>100</v>
      </c>
      <c r="V28" s="667" t="s">
        <v>14</v>
      </c>
      <c r="W28" s="668">
        <f t="shared" si="12"/>
        <v>100</v>
      </c>
      <c r="X28" s="1265"/>
      <c r="Y28" s="336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66"/>
      <c r="Q29" s="1263"/>
      <c r="R29" s="667"/>
      <c r="S29" s="668"/>
      <c r="T29" s="667"/>
      <c r="U29" s="668"/>
      <c r="V29" s="667"/>
      <c r="W29" s="668"/>
      <c r="X29" s="1265"/>
      <c r="Y29" s="336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66"/>
      <c r="Q30" s="1263" t="str">
        <f t="shared" si="8"/>
        <v>土地级别</v>
      </c>
      <c r="R30" s="667" t="s">
        <v>14</v>
      </c>
      <c r="S30" s="668">
        <f t="shared" si="10"/>
        <v>100</v>
      </c>
      <c r="T30" s="667" t="s">
        <v>14</v>
      </c>
      <c r="U30" s="668">
        <f t="shared" si="11"/>
        <v>100</v>
      </c>
      <c r="V30" s="667" t="s">
        <v>14</v>
      </c>
      <c r="W30" s="668">
        <f t="shared" si="12"/>
        <v>100</v>
      </c>
      <c r="X30" s="1265"/>
      <c r="Y30" s="336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66"/>
      <c r="Q31" s="1263">
        <f t="shared" si="8"/>
        <v>111</v>
      </c>
      <c r="R31" s="667" t="s">
        <v>14</v>
      </c>
      <c r="S31" s="668">
        <f t="shared" si="10"/>
        <v>100</v>
      </c>
      <c r="T31" s="667" t="s">
        <v>14</v>
      </c>
      <c r="U31" s="668">
        <f t="shared" si="11"/>
        <v>100</v>
      </c>
      <c r="V31" s="667" t="s">
        <v>14</v>
      </c>
      <c r="W31" s="668">
        <f t="shared" si="12"/>
        <v>100</v>
      </c>
      <c r="X31" s="1265"/>
      <c r="Y31" s="3366"/>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15" t="s">
        <v>1696</v>
      </c>
      <c r="Q32" s="1263">
        <f t="shared" si="8"/>
        <v>111</v>
      </c>
      <c r="R32" s="667" t="s">
        <v>14</v>
      </c>
      <c r="S32" s="668">
        <f t="shared" si="10"/>
        <v>100</v>
      </c>
      <c r="T32" s="667" t="s">
        <v>14</v>
      </c>
      <c r="U32" s="668">
        <f t="shared" si="11"/>
        <v>100</v>
      </c>
      <c r="V32" s="667" t="s">
        <v>14</v>
      </c>
      <c r="W32" s="668">
        <f t="shared" si="12"/>
        <v>100</v>
      </c>
      <c r="X32" s="1265"/>
      <c r="Y32" s="3370"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0"/>
      <c r="Q33" s="1263">
        <f t="shared" si="8"/>
        <v>111</v>
      </c>
      <c r="R33" s="669" t="s">
        <v>14</v>
      </c>
      <c r="S33" s="670">
        <f t="shared" si="10"/>
        <v>100</v>
      </c>
      <c r="T33" s="669" t="s">
        <v>14</v>
      </c>
      <c r="U33" s="670">
        <f t="shared" si="11"/>
        <v>100</v>
      </c>
      <c r="V33" s="669" t="s">
        <v>14</v>
      </c>
      <c r="W33" s="670">
        <f t="shared" si="12"/>
        <v>100</v>
      </c>
      <c r="X33" s="671"/>
      <c r="Y33" s="337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0"/>
      <c r="Q34" s="1263" t="str">
        <f>B34</f>
        <v>宗地面积</v>
      </c>
      <c r="R34" s="667" t="s">
        <v>14</v>
      </c>
      <c r="S34" s="668" t="e">
        <f t="shared" si="10"/>
        <v>#N/A</v>
      </c>
      <c r="T34" s="667" t="s">
        <v>14</v>
      </c>
      <c r="U34" s="668" t="e">
        <f t="shared" si="11"/>
        <v>#N/A</v>
      </c>
      <c r="V34" s="667" t="s">
        <v>14</v>
      </c>
      <c r="W34" s="668" t="e">
        <f t="shared" si="12"/>
        <v>#N/A</v>
      </c>
      <c r="X34" s="1265"/>
      <c r="Y34" s="337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0"/>
      <c r="Q35" s="1263" t="str">
        <f t="shared" ref="Q35:Q40" si="14">B35</f>
        <v>宗地形状</v>
      </c>
      <c r="R35" s="667" t="s">
        <v>14</v>
      </c>
      <c r="S35" s="668">
        <f t="shared" si="10"/>
        <v>100</v>
      </c>
      <c r="T35" s="667" t="s">
        <v>14</v>
      </c>
      <c r="U35" s="668">
        <f t="shared" si="11"/>
        <v>100</v>
      </c>
      <c r="V35" s="667" t="s">
        <v>14</v>
      </c>
      <c r="W35" s="668">
        <f t="shared" si="12"/>
        <v>100</v>
      </c>
      <c r="X35" s="1265"/>
      <c r="Y35" s="3370"/>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0"/>
      <c r="Q36" s="1263" t="str">
        <f t="shared" si="14"/>
        <v>宗地开发程度</v>
      </c>
      <c r="R36" s="664" t="s">
        <v>14</v>
      </c>
      <c r="S36" s="665">
        <f t="shared" si="10"/>
        <v>100</v>
      </c>
      <c r="T36" s="664" t="s">
        <v>14</v>
      </c>
      <c r="U36" s="665">
        <f t="shared" si="11"/>
        <v>100</v>
      </c>
      <c r="V36" s="664" t="s">
        <v>14</v>
      </c>
      <c r="W36" s="665">
        <f t="shared" si="12"/>
        <v>100</v>
      </c>
      <c r="X36" s="666"/>
      <c r="Y36" s="337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0" t="s">
        <v>1696</v>
      </c>
      <c r="Q37" s="1263" t="str">
        <f t="shared" si="14"/>
        <v>工程地质条件</v>
      </c>
      <c r="R37" s="667" t="s">
        <v>14</v>
      </c>
      <c r="S37" s="668">
        <f t="shared" si="10"/>
        <v>100</v>
      </c>
      <c r="T37" s="667" t="s">
        <v>14</v>
      </c>
      <c r="U37" s="668">
        <f t="shared" si="11"/>
        <v>100</v>
      </c>
      <c r="V37" s="667" t="s">
        <v>14</v>
      </c>
      <c r="W37" s="668">
        <f t="shared" si="12"/>
        <v>100</v>
      </c>
      <c r="X37" s="1265"/>
      <c r="Y37" s="337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0"/>
      <c r="Q38" s="1263">
        <f t="shared" si="14"/>
        <v>111</v>
      </c>
      <c r="R38" s="667" t="s">
        <v>14</v>
      </c>
      <c r="S38" s="668">
        <f t="shared" si="10"/>
        <v>100</v>
      </c>
      <c r="T38" s="667" t="s">
        <v>14</v>
      </c>
      <c r="U38" s="668">
        <f t="shared" si="11"/>
        <v>100</v>
      </c>
      <c r="V38" s="667" t="s">
        <v>14</v>
      </c>
      <c r="W38" s="668">
        <f t="shared" si="12"/>
        <v>100</v>
      </c>
      <c r="X38" s="1265"/>
      <c r="Y38" s="337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0"/>
      <c r="Q39" s="1263">
        <f t="shared" si="14"/>
        <v>111</v>
      </c>
      <c r="R39" s="667" t="s">
        <v>14</v>
      </c>
      <c r="S39" s="668">
        <f t="shared" si="10"/>
        <v>100</v>
      </c>
      <c r="T39" s="667" t="s">
        <v>14</v>
      </c>
      <c r="U39" s="668">
        <f t="shared" si="11"/>
        <v>100</v>
      </c>
      <c r="V39" s="667" t="s">
        <v>14</v>
      </c>
      <c r="W39" s="668">
        <f t="shared" si="12"/>
        <v>100</v>
      </c>
      <c r="X39" s="1265"/>
      <c r="Y39" s="3370"/>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0"/>
      <c r="Q40" s="1263">
        <f t="shared" si="14"/>
        <v>111</v>
      </c>
      <c r="R40" s="669" t="s">
        <v>14</v>
      </c>
      <c r="S40" s="670">
        <f t="shared" si="10"/>
        <v>100</v>
      </c>
      <c r="T40" s="669" t="s">
        <v>14</v>
      </c>
      <c r="U40" s="670">
        <f t="shared" si="11"/>
        <v>100</v>
      </c>
      <c r="V40" s="669" t="s">
        <v>14</v>
      </c>
      <c r="W40" s="670">
        <f t="shared" si="12"/>
        <v>100</v>
      </c>
      <c r="X40" s="671"/>
      <c r="Y40" s="3370"/>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64" t="str">
        <f>A41</f>
        <v>成交单价</v>
      </c>
      <c r="Q41" s="3364"/>
      <c r="R41" s="3359">
        <f>E41</f>
        <v>0</v>
      </c>
      <c r="S41" s="3359"/>
      <c r="T41" s="3359">
        <f>G41</f>
        <v>0</v>
      </c>
      <c r="U41" s="3359"/>
      <c r="V41" s="3359">
        <f>I41</f>
        <v>0</v>
      </c>
      <c r="W41" s="3359"/>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64" t="str">
        <f>A42</f>
        <v>比较价值（元/平方米）</v>
      </c>
      <c r="Q42" s="3364"/>
      <c r="R42" s="3417" t="e">
        <f>ROUND(PRODUCT(R41,AA7:AA40),0)</f>
        <v>#DIV/0!</v>
      </c>
      <c r="S42" s="3417"/>
      <c r="T42" s="3417" t="e">
        <f>ROUND(PRODUCT(T41,AB7:AB40),0)</f>
        <v>#DIV/0!</v>
      </c>
      <c r="U42" s="3417"/>
      <c r="V42" s="3417" t="e">
        <f>ROUND(PRODUCT(V41,AC7:AC40),0)</f>
        <v>#DIV/0!</v>
      </c>
      <c r="W42" s="341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61" t="str">
        <f>A43</f>
        <v>估价对象XX用房的比较价值（楼面单价，元/平方米）</v>
      </c>
      <c r="Q43" s="3362"/>
      <c r="R43" s="3418" t="e">
        <f>ROUND(IF(D42="简单平均",AVERAGE(R42:W42),R42*F42+T42*H42+V42*J42),0)</f>
        <v>#DIV/0!</v>
      </c>
      <c r="S43" s="3418"/>
      <c r="T43" s="3418"/>
      <c r="U43" s="3418"/>
      <c r="V43" s="3418"/>
      <c r="W43" s="341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47" t="s">
        <v>1887</v>
      </c>
      <c r="H50" s="3419"/>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258.36</v>
      </c>
      <c r="F51" s="611" t="e">
        <f t="shared" ref="F51:F60" si="15">ROUND(B51*E51/10000,0)</f>
        <v>#DIV/0!</v>
      </c>
      <c r="G51" s="3346"/>
      <c r="H51" s="336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7" t="s">
        <v>2084</v>
      </c>
      <c r="D1" s="3428"/>
      <c r="E1" s="3428"/>
      <c r="F1" s="3428"/>
      <c r="G1" s="3428"/>
      <c r="H1" s="3428"/>
      <c r="I1" s="3428"/>
      <c r="J1" s="3428"/>
      <c r="K1" s="3428"/>
      <c r="L1" s="3428"/>
      <c r="M1" s="3428"/>
      <c r="N1" s="3428"/>
      <c r="O1" s="3428"/>
      <c r="P1" s="3428"/>
      <c r="Q1" s="3428"/>
      <c r="R1" s="3428"/>
      <c r="S1" s="342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4" t="s">
        <v>27</v>
      </c>
      <c r="D22" s="3425"/>
      <c r="E22" s="3425"/>
      <c r="F22" s="3425"/>
      <c r="G22" s="3425"/>
      <c r="H22" s="3425"/>
      <c r="I22" s="3425"/>
      <c r="J22" s="3425"/>
      <c r="K22" s="3425"/>
      <c r="L22" s="3425"/>
      <c r="M22" s="3425"/>
      <c r="N22" s="3425"/>
      <c r="O22" s="3425"/>
      <c r="P22" s="3425"/>
      <c r="Q22" s="342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839</v>
      </c>
      <c r="C2" s="1983" t="s">
        <v>2074</v>
      </c>
      <c r="D2" s="1983" t="s">
        <v>2075</v>
      </c>
      <c r="E2" s="2397">
        <f ca="1">SUMIF(E6:E13,"&lt;&gt;#ref!",E6:E13)</f>
        <v>258.36</v>
      </c>
      <c r="F2" s="2544"/>
      <c r="G2" s="2544"/>
      <c r="H2" s="2544"/>
      <c r="I2" s="2544"/>
      <c r="J2" s="2544"/>
      <c r="K2" s="2544"/>
      <c r="L2" s="2544"/>
      <c r="M2" s="2544"/>
      <c r="N2" s="2544"/>
      <c r="O2" s="2544"/>
      <c r="P2" s="2544"/>
    </row>
    <row r="3" spans="1:16" ht="15.75">
      <c r="A3" s="1983" t="s">
        <v>2076</v>
      </c>
      <c r="B3" s="2387">
        <f ca="1">ROUND(B2*10000/E2,0)</f>
        <v>32474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839</v>
      </c>
      <c r="C6" s="1983" t="s">
        <v>2074</v>
      </c>
      <c r="D6" s="2544"/>
      <c r="E6" s="2397">
        <f ca="1">SUMIF(INDIRECT("'"&amp;A6&amp;"'"&amp;"!C:C"),"建筑面积",INDIRECT("'"&amp;A6&amp;"'"&amp;"!D:D"))</f>
        <v>258.36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36" sqref="I3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3396</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1166.3375000000001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45144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8433388</v>
      </c>
      <c r="D5" s="203" t="s">
        <v>1469</v>
      </c>
      <c r="E5" s="204" t="s">
        <v>1470</v>
      </c>
      <c r="F5" s="204" t="s">
        <v>1471</v>
      </c>
      <c r="G5" s="205"/>
    </row>
    <row r="6" spans="1:8" s="206" customFormat="1" ht="13.5" customHeight="1">
      <c r="A6" s="732" t="s">
        <v>1472</v>
      </c>
      <c r="B6" s="207" t="s">
        <v>1473</v>
      </c>
      <c r="C6" s="208">
        <f>ROUND(基准地价修正!C33*基准地价修正!D33,0)</f>
        <v>8392050</v>
      </c>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41338</v>
      </c>
      <c r="D8" s="214"/>
      <c r="E8" s="212"/>
      <c r="F8" s="213"/>
      <c r="G8" s="1714" t="s">
        <v>3419</v>
      </c>
    </row>
    <row r="9" spans="1:8" s="206" customFormat="1" ht="13.5" customHeight="1">
      <c r="A9" s="733" t="s">
        <v>355</v>
      </c>
      <c r="B9" s="216" t="s">
        <v>1478</v>
      </c>
      <c r="C9" s="217">
        <f ca="1">ROUND(D9*E9,0)</f>
        <v>41338</v>
      </c>
      <c r="D9" s="795">
        <f ca="1">IF(B1="",'数据-汇总表'!E5,IF(INDIRECT("'数据-取费表'!c"&amp;$G$1)="住宅",INDIRECT("'数据-取费表'!k"&amp;$G$1),0))</f>
        <v>258.36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258.36</v>
      </c>
      <c r="E19" s="203">
        <f>'数据-取费表'!B31</f>
        <v>0</v>
      </c>
      <c r="F19" s="223"/>
      <c r="G19" s="1714" t="s">
        <v>3420</v>
      </c>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574501</v>
      </c>
      <c r="D22" s="227">
        <f ca="1">C26</f>
        <v>0</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574501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f ca="1">C28</f>
        <v>1686678</v>
      </c>
      <c r="D27" s="227">
        <f ca="1">C29</f>
        <v>0</v>
      </c>
      <c r="E27" s="228" t="s">
        <v>1514</v>
      </c>
      <c r="F27" s="238">
        <f ca="1">IF(B1="",'数据-取费表'!Q16,INDIRECT("'数据-取费表'!q"&amp;$G$1))</f>
        <v>0.2</v>
      </c>
      <c r="G27" s="239" t="s">
        <v>1515</v>
      </c>
    </row>
    <row r="28" spans="1:7" s="206" customFormat="1" ht="13.5" customHeight="1">
      <c r="A28" s="734" t="s">
        <v>346</v>
      </c>
      <c r="B28" s="240" t="s">
        <v>1516</v>
      </c>
      <c r="C28" s="241">
        <f ca="1">ROUND((C5+C19+C20)*F27,0)</f>
        <v>1686678</v>
      </c>
      <c r="D28" s="227"/>
      <c r="E28" s="228"/>
      <c r="F28" s="238"/>
      <c r="G28" s="239"/>
    </row>
    <row r="29" spans="1:7" s="206" customFormat="1" ht="13.5" customHeight="1">
      <c r="A29" s="734" t="s">
        <v>347</v>
      </c>
      <c r="B29" s="240" t="s">
        <v>1517</v>
      </c>
      <c r="C29" s="230">
        <f ca="1">ROUND(C21*F27,4)</f>
        <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f ca="1">ROUND((C5+C19+C20+C22+C27)/(1-C21-D22-D27-C30),0)</f>
        <v>10694567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1033440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1033440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258.36</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34620</v>
      </c>
      <c r="D41" s="227">
        <f ca="1">C44</f>
        <v>0</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34620</v>
      </c>
      <c r="D42" s="230"/>
      <c r="E42" s="230"/>
      <c r="F42" s="231"/>
      <c r="G42" s="3326" t="s">
        <v>1591</v>
      </c>
    </row>
    <row r="43" spans="1:7" ht="13.5" customHeight="1">
      <c r="A43" s="734" t="s">
        <v>347</v>
      </c>
      <c r="B43" s="207" t="s">
        <v>1545</v>
      </c>
      <c r="C43" s="230">
        <f ca="1">ROUND(IF('数据-取费表'!B22&lt;=1,C39*F22*'数据-取费表'!B20/2,C39*(POWER((1+F22),'数据-取费表'!B20/2)-1)),0)</f>
        <v>0</v>
      </c>
      <c r="D43" s="230"/>
      <c r="E43" s="230"/>
      <c r="F43" s="231"/>
      <c r="G43" s="3327"/>
    </row>
    <row r="44" spans="1:7" ht="13.5" customHeight="1">
      <c r="A44" s="734" t="s">
        <v>348</v>
      </c>
      <c r="B44" s="207" t="s">
        <v>1546</v>
      </c>
      <c r="C44" s="230">
        <f ca="1">ROUND(IF('数据-取费表'!B22&lt;=1,C40*F22*'数据-取费表'!B20/2,C40*(POWER((1+F22),'数据-取费表'!B20/2)-1)),4)</f>
        <v>0</v>
      </c>
      <c r="D44" s="230"/>
      <c r="E44" s="230"/>
      <c r="F44" s="231"/>
      <c r="G44" s="3328"/>
    </row>
    <row r="45" spans="1:7" s="206" customFormat="1" ht="13.5" customHeight="1">
      <c r="A45" s="247" t="s">
        <v>1547</v>
      </c>
      <c r="B45" s="236" t="s">
        <v>1513</v>
      </c>
      <c r="C45" s="237">
        <f ca="1">C46</f>
        <v>206688</v>
      </c>
      <c r="D45" s="227">
        <f ca="1">C47</f>
        <v>0</v>
      </c>
      <c r="E45" s="228" t="s">
        <v>1539</v>
      </c>
      <c r="F45" s="238">
        <f ca="1">F27</f>
        <v>0.2</v>
      </c>
      <c r="G45" s="239" t="s">
        <v>1548</v>
      </c>
    </row>
    <row r="46" spans="1:7" s="206" customFormat="1" ht="13.5" customHeight="1">
      <c r="A46" s="734" t="s">
        <v>346</v>
      </c>
      <c r="B46" s="240" t="s">
        <v>1549</v>
      </c>
      <c r="C46" s="241">
        <f ca="1">ROUND((C33+C39)*F27,0)</f>
        <v>206688</v>
      </c>
      <c r="D46" s="255"/>
      <c r="E46" s="228"/>
      <c r="F46" s="238"/>
      <c r="G46" s="239"/>
    </row>
    <row r="47" spans="1:7" s="206" customFormat="1" ht="13.5" customHeight="1">
      <c r="A47" s="734" t="s">
        <v>347</v>
      </c>
      <c r="B47" s="240" t="s">
        <v>1550</v>
      </c>
      <c r="C47" s="230">
        <f ca="1">ROUND(C40*F27,4)</f>
        <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f ca="1">ROUND((C33+C39+C41+C45)/(1-C40-D41-D45-C48),0)</f>
        <v>1274748</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968808</v>
      </c>
      <c r="D51" s="224"/>
      <c r="E51" s="224"/>
      <c r="F51" s="256"/>
      <c r="G51" s="226" t="s">
        <v>1560</v>
      </c>
    </row>
    <row r="52" spans="1:7" s="200" customFormat="1" ht="16.5" thickBot="1">
      <c r="A52" s="257" t="s">
        <v>1561</v>
      </c>
      <c r="B52" s="258"/>
      <c r="C52" s="259">
        <f ca="1">C31+C51</f>
        <v>11663375</v>
      </c>
      <c r="D52" s="258"/>
      <c r="E52" s="258"/>
      <c r="F52" s="258"/>
      <c r="G52" s="260"/>
    </row>
    <row r="55" spans="1:7" ht="15">
      <c r="B55" s="262" t="s">
        <v>1562</v>
      </c>
      <c r="C55" s="263"/>
    </row>
    <row r="56" spans="1:7">
      <c r="B56" s="265" t="s">
        <v>802</v>
      </c>
      <c r="C56" s="267">
        <f ca="1">1-C57</f>
        <v>0.91700000000000004</v>
      </c>
    </row>
    <row r="57" spans="1:7">
      <c r="B57" s="265" t="s">
        <v>803</v>
      </c>
      <c r="C57" s="266">
        <f ca="1">ROUND(C51/C52,3)</f>
        <v>8.3000000000000004E-2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258.36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839</v>
      </c>
      <c r="C2" s="1845" t="s">
        <v>1935</v>
      </c>
      <c r="D2" s="162" t="s">
        <v>1936</v>
      </c>
      <c r="E2" s="3120" t="s">
        <v>3396</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Ⅱ—14</v>
      </c>
      <c r="J2" s="1841"/>
      <c r="K2" s="1056"/>
      <c r="L2" s="1846" t="s">
        <v>1939</v>
      </c>
      <c r="M2" s="811">
        <f>SUMPRODUCT((区片价!B10:B29=I2)*(区片价!C3:G3=E2)*(区片价!C10:G29))</f>
        <v>27170</v>
      </c>
      <c r="N2" s="813">
        <f>SUMPRODUCT((因素修正幅度!B10:B29=I2)*(因素修正幅度!C3:G3=E2)*(因素修正幅度!C10:G29))</f>
        <v>0.1</v>
      </c>
      <c r="O2" s="1056"/>
      <c r="P2" s="1056"/>
      <c r="Q2" s="1056"/>
      <c r="R2" s="1129">
        <v>1</v>
      </c>
      <c r="S2" s="3063">
        <f>ROUND(SUMPRODUCT((B106:B110=R2)*(C105:N105=G2)*(C106:N110)),4)</f>
        <v>1.5206</v>
      </c>
      <c r="T2" s="3063">
        <f t="shared" ref="T2:T16" si="0">ROUND($C$5*$C$22*$C$23*$C$24*S2*$C$28,0)</f>
        <v>50915</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32474</v>
      </c>
      <c r="C3" s="1845" t="s">
        <v>1941</v>
      </c>
      <c r="D3" s="162" t="s">
        <v>1942</v>
      </c>
      <c r="E3" s="3118" t="s">
        <v>3403</v>
      </c>
      <c r="F3" s="1847" t="s">
        <v>3404</v>
      </c>
      <c r="G3" s="708">
        <f>IF(F3="宗地容积率",'数据-汇总表'!I4,IF(F3="估价对象容积率",'数据-汇总表'!I6,'数据-汇总表'!I7))</f>
        <v>2.96</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40421</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37"/>
      <c r="B4" s="3438"/>
      <c r="C4" s="3438"/>
      <c r="D4" s="3439"/>
      <c r="E4" s="3439"/>
      <c r="F4" s="3439"/>
      <c r="G4" s="3439"/>
      <c r="H4" s="3439"/>
      <c r="I4" s="3439"/>
      <c r="J4" s="3440"/>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34927</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31381</v>
      </c>
      <c r="D5" s="1252">
        <f>ROUND(C6*C17+C20,0)</f>
        <v>27170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31605</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27170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30122</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3239</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二级</v>
      </c>
      <c r="Y7" s="1131" t="s">
        <v>1956</v>
      </c>
      <c r="Z7" s="1132">
        <f>G3</f>
        <v>2.96</v>
      </c>
      <c r="AA7" s="1133"/>
      <c r="AB7" s="1133"/>
      <c r="AC7" s="1134"/>
      <c r="AD7" s="1135"/>
      <c r="AE7" s="1135"/>
      <c r="AF7" s="1135"/>
      <c r="AG7" s="1135"/>
      <c r="AH7" s="1135"/>
      <c r="AI7" s="1135"/>
      <c r="AJ7" s="1136"/>
    </row>
    <row r="8" spans="1:36" ht="25.5">
      <c r="A8" s="3009"/>
      <c r="B8" s="162" t="s">
        <v>1957</v>
      </c>
      <c r="C8" s="1869" t="s">
        <v>3405</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34" t="s">
        <v>1960</v>
      </c>
      <c r="X8" s="343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36"/>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3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v>1</v>
      </c>
      <c r="D12" s="3015" t="s">
        <v>3242</v>
      </c>
      <c r="E12" s="3016" t="s">
        <v>3243</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3244</v>
      </c>
      <c r="B13" s="1877" t="s">
        <v>1982</v>
      </c>
      <c r="C13" s="711">
        <f>ROUND(C16*D16*E16*F16*G16*H16*I16*J16,4)</f>
        <v>1.155</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3407</v>
      </c>
      <c r="D15" s="1886" t="s">
        <v>3406</v>
      </c>
      <c r="E15" s="1887" t="s">
        <v>3408</v>
      </c>
      <c r="F15" s="1470" t="s">
        <v>3246</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v>
      </c>
      <c r="D16" s="3024">
        <v>1.05</v>
      </c>
      <c r="E16" s="3024">
        <v>1.1000000000000001</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f>ROUND(G18/I18,2)</f>
        <v>0</v>
      </c>
      <c r="F17" s="3028" t="s">
        <v>3252</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3250</v>
      </c>
      <c r="E18" s="2356"/>
      <c r="F18" s="3030" t="s">
        <v>3253</v>
      </c>
      <c r="G18" s="3034">
        <f>ROUND(1-(1/(POWER(1+G24,E18))),4)</f>
        <v>0</v>
      </c>
      <c r="H18" s="3030" t="s">
        <v>3255</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3251</v>
      </c>
      <c r="E19" s="3043"/>
      <c r="F19" s="3044" t="s">
        <v>3254</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41" t="s">
        <v>3256</v>
      </c>
      <c r="B20" s="159" t="s">
        <v>1994</v>
      </c>
      <c r="C20" s="3031">
        <f>ROUND(IF(F21="与级别开发程度一致",0,(G21-E21)/C21),0)</f>
        <v>0</v>
      </c>
      <c r="D20" s="3046" t="s">
        <v>1998</v>
      </c>
      <c r="E20" s="3047"/>
      <c r="F20" s="3447" t="s">
        <v>1995</v>
      </c>
      <c r="G20" s="3448"/>
      <c r="H20" s="3032" t="s">
        <v>3412</v>
      </c>
      <c r="I20" s="3032" t="s">
        <v>3413</v>
      </c>
      <c r="J20" s="3033" t="s">
        <v>3414</v>
      </c>
      <c r="K20" s="1888" t="s">
        <v>3414</v>
      </c>
      <c r="L20" s="1888" t="s">
        <v>3415</v>
      </c>
      <c r="M20" s="1888" t="s">
        <v>3416</v>
      </c>
      <c r="N20" s="1888" t="s">
        <v>3417</v>
      </c>
      <c r="O20" s="1889" t="s">
        <v>3418</v>
      </c>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42"/>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375</v>
      </c>
      <c r="F21" s="1993" t="s">
        <v>3409</v>
      </c>
      <c r="G21" s="1994">
        <f>SUM(H21:O21)</f>
        <v>365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20</v>
      </c>
      <c r="L21" s="2002">
        <f>SUMPRODUCT((七通一平=L20)*(修正!B1:M1=G2)*(修正!B8:M16))</f>
        <v>45</v>
      </c>
      <c r="M21" s="2002">
        <f>SUMPRODUCT((七通一平=M20)*(修正!B1:M1=G2)*(修正!B8:M16))</f>
        <v>60</v>
      </c>
      <c r="N21" s="2002">
        <f>SUMPRODUCT((七通一平=N20)*(修正!B1:M1=G2)*(修正!B8:M16))</f>
        <v>50</v>
      </c>
      <c r="O21" s="2004">
        <f>SUMPRODUCT((七通一平=O20)*(修正!B1:M1=G2)*(修正!B8:M16))</f>
        <v>20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1.0752999999999999</v>
      </c>
      <c r="D23" s="1895" t="s">
        <v>2002</v>
      </c>
      <c r="E23" s="717">
        <v>44197</v>
      </c>
      <c r="F23" s="1895" t="s">
        <v>2003</v>
      </c>
      <c r="G23" s="718">
        <f>'数据-取费表'!B2</f>
        <v>45546</v>
      </c>
      <c r="H23" s="3048" t="s">
        <v>3258</v>
      </c>
      <c r="I23" s="3049" t="str">
        <f>IF(H23="季度增幅（自定义）",SUMIF(N25:N28,E2,O25:O28),"")</f>
        <v/>
      </c>
      <c r="J23" s="3141" t="s">
        <v>3257</v>
      </c>
      <c r="K23" s="1061"/>
      <c r="L23" s="1896" t="s">
        <v>2004</v>
      </c>
      <c r="M23" s="1241">
        <f>ROUND(SUMIF(地价!B2:G2,E2,地价!B16:G16),0)</f>
        <v>687</v>
      </c>
      <c r="N23" s="1897" t="s">
        <v>2005</v>
      </c>
      <c r="O23" s="719">
        <f>ROUNDDOWN(DATEDIF(E23,G23,"M")/3,0)</f>
        <v>14</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0.94099999999999995</v>
      </c>
      <c r="D24" s="1901" t="s">
        <v>2007</v>
      </c>
      <c r="E24" s="1248">
        <f>存贷款利率!E26/100</f>
        <v>4.3499999999999997E-2</v>
      </c>
      <c r="F24" s="1901" t="s">
        <v>1999</v>
      </c>
      <c r="G24" s="724">
        <f>SUMIF(M30:Q30,E2,M33:Q33)</f>
        <v>0.05</v>
      </c>
      <c r="H24" s="1901" t="s">
        <v>2008</v>
      </c>
      <c r="I24" s="725">
        <f>SUMIF('数据-取费表'!C6:C15,E2,'数据-取费表'!F6:F15)/COUNTIF('数据-取费表'!C6:C15,E2)</f>
        <v>49.36</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3337</v>
      </c>
      <c r="C25" s="461">
        <f>IF(B25="容积率修正",IF(G3&lt;10,D26,J26),C27)</f>
        <v>0.97009999999999996</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3259</v>
      </c>
      <c r="D26" s="1263">
        <f>IF(E26=G26,F26,IF(G3&lt;10,ROUND(F26+(H26-F26)*(G3-E26)/(G26-E26),4),"——"))</f>
        <v>0.97009999999999996</v>
      </c>
      <c r="E26" s="708">
        <f>ROUNDDOWN(G3,1)</f>
        <v>2.9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0.97350000000000003</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11" t="s">
        <v>3260</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1.0545</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839</v>
      </c>
      <c r="D30" s="1924"/>
      <c r="E30" s="1841"/>
      <c r="F30" s="1925"/>
      <c r="G30" s="1841"/>
      <c r="H30" s="1841"/>
      <c r="I30" s="1841"/>
      <c r="J30" s="1926"/>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32482</v>
      </c>
      <c r="D33" s="1939">
        <f>'数据-汇总表'!F19</f>
        <v>258.36</v>
      </c>
      <c r="E33" s="727">
        <f>ROUND(C33*D33/10000,0)</f>
        <v>839</v>
      </c>
      <c r="F33" s="3050" t="s">
        <v>3262</v>
      </c>
      <c r="G33" s="1940"/>
      <c r="H33" s="1940"/>
      <c r="I33" s="1940"/>
      <c r="J33" s="1941"/>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8121</v>
      </c>
      <c r="D34" s="1944"/>
      <c r="E34" s="727">
        <f>ROUND(IF(B25="楼层修正",SUM(V2:V16)*M40,C34*D34/10000),0)</f>
        <v>0</v>
      </c>
      <c r="F34" s="1945" t="s">
        <v>2032</v>
      </c>
      <c r="G34" s="1946"/>
      <c r="H34" s="1946"/>
      <c r="I34" s="1946"/>
      <c r="J34" s="1947"/>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3267</v>
      </c>
      <c r="L36" s="3142">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45"/>
      <c r="B37" s="1954" t="s">
        <v>2036</v>
      </c>
      <c r="C37" s="167">
        <f>ROUND(D5*C22*C23*C24*C28*F37,0)</f>
        <v>20293</v>
      </c>
      <c r="D37" s="1939"/>
      <c r="E37" s="163">
        <f>ROUND(C37*D37/10000,0)</f>
        <v>0</v>
      </c>
      <c r="F37" s="163">
        <f>SUMIF(修正!A57:A68,G2,修正!B57:B68)</f>
        <v>0.7</v>
      </c>
      <c r="G37" s="163">
        <f>ROUND(IF(E2="工业",C37*$M$42,C37*$M$41),0)</f>
        <v>5073</v>
      </c>
      <c r="H37" s="163">
        <f>D37</f>
        <v>0</v>
      </c>
      <c r="I37" s="163">
        <f>ROUND(G37*H37/10000,0)</f>
        <v>0</v>
      </c>
      <c r="J37" s="2754"/>
      <c r="K37" s="3061" t="s">
        <v>3268</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46"/>
      <c r="B38" s="1883" t="s">
        <v>2037</v>
      </c>
      <c r="C38" s="167">
        <f>ROUND(D5*C22*C23*C24*C28*F38,0)</f>
        <v>11596</v>
      </c>
      <c r="D38" s="1939"/>
      <c r="E38" s="163">
        <f t="shared" ref="E38:E42" si="4">ROUND(C38*D38/10000,0)</f>
        <v>0</v>
      </c>
      <c r="F38" s="163">
        <f>SUMIF(修正!A57:A68,G2,修正!C57:C68)</f>
        <v>0.4</v>
      </c>
      <c r="G38" s="163">
        <f>ROUND(IF(E2="工业",C38*$M$42,C38*$M$41),0)</f>
        <v>2899</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46"/>
      <c r="B39" s="1883" t="s">
        <v>3261</v>
      </c>
      <c r="C39" s="167">
        <f>ROUND(D5*C22*C23*C24*C28*F39,0)</f>
        <v>8697</v>
      </c>
      <c r="D39" s="1939"/>
      <c r="E39" s="163">
        <f t="shared" si="4"/>
        <v>0</v>
      </c>
      <c r="F39" s="163">
        <f>SUMIF(修正!A57:A68,G2,修正!D57:D68)</f>
        <v>0.3</v>
      </c>
      <c r="G39" s="163">
        <f>ROUND(IF(E2="工业",C39*$M$42,C39*$M$41),0)</f>
        <v>2174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8697</v>
      </c>
      <c r="D40" s="1939"/>
      <c r="E40" s="163">
        <f t="shared" si="4"/>
        <v>0</v>
      </c>
      <c r="F40" s="167">
        <f>SUMIF(修正!A57:A68,G2,修正!E57:E68)</f>
        <v>0.3</v>
      </c>
      <c r="G40" s="163">
        <f>ROUND(IF(E2="工业",C40*$M$42,C40*$M$41),0)</f>
        <v>2174</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0.3</v>
      </c>
      <c r="G41" s="163">
        <f>ROUND(IF(E2="工业",C41*$M$42,C41*$M$41),0)</f>
        <v>0</v>
      </c>
      <c r="H41" s="163">
        <f t="shared" si="5"/>
        <v>0</v>
      </c>
      <c r="I41" s="163">
        <f t="shared" si="6"/>
        <v>0</v>
      </c>
      <c r="J41" s="939"/>
      <c r="L41" s="3062" t="s">
        <v>3269</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0.2</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3271</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3271</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1.0545</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3410</v>
      </c>
      <c r="D72" s="1002">
        <f t="shared" ref="D72:D80" si="17">SUMIF($J$71:$N$71,C72,J72:N72)</f>
        <v>0.01</v>
      </c>
      <c r="E72" s="702">
        <f>ROUND(SUM(D72:D80),4)</f>
        <v>5.45E-2</v>
      </c>
      <c r="F72" s="1675">
        <f>IF(E2="住宅",SUMIF(L1:L12,G2,N1:N12),"——")</f>
        <v>0.1</v>
      </c>
      <c r="G72" s="1000">
        <v>0.01</v>
      </c>
      <c r="H72" s="1003">
        <f t="shared" ref="H72:H80" si="18">IFERROR(ROUNDDOWN($F$72*I72/2,4),"——")</f>
        <v>0.01</v>
      </c>
      <c r="I72" s="3068">
        <v>0.2</v>
      </c>
      <c r="J72" s="1001">
        <f t="shared" ref="J72:J80" si="19">K72+$G72</f>
        <v>0.02</v>
      </c>
      <c r="K72" s="1001">
        <f t="shared" ref="K72:K80" si="20">$L72+$G72</f>
        <v>0.01</v>
      </c>
      <c r="L72" s="1001">
        <v>0</v>
      </c>
      <c r="M72" s="1001">
        <f t="shared" ref="M72:N80" si="21">L72-$G72</f>
        <v>-0.01</v>
      </c>
      <c r="N72" s="1001">
        <f t="shared" si="21"/>
        <v>-0.02</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t="s">
        <v>3410</v>
      </c>
      <c r="D73" s="1002">
        <f t="shared" si="17"/>
        <v>1.2999999999999999E-2</v>
      </c>
      <c r="E73" s="705"/>
      <c r="F73" s="1675"/>
      <c r="G73" s="1000">
        <v>1.2999999999999999E-2</v>
      </c>
      <c r="H73" s="1003">
        <f t="shared" si="18"/>
        <v>1.2999999999999999E-2</v>
      </c>
      <c r="I73" s="3068">
        <v>0.26</v>
      </c>
      <c r="J73" s="1001">
        <f t="shared" si="19"/>
        <v>2.5999999999999999E-2</v>
      </c>
      <c r="K73" s="1001">
        <f t="shared" si="20"/>
        <v>1.2999999999999999E-2</v>
      </c>
      <c r="L73" s="1001">
        <v>0</v>
      </c>
      <c r="M73" s="1001">
        <f t="shared" si="21"/>
        <v>-1.2999999999999999E-2</v>
      </c>
      <c r="N73" s="1001">
        <f t="shared" si="21"/>
        <v>-2.5999999999999999E-2</v>
      </c>
      <c r="AA73" s="1057"/>
      <c r="AB73" s="1057"/>
      <c r="AC73" s="1057"/>
      <c r="AD73" s="1057"/>
      <c r="AE73" s="1057"/>
      <c r="AF73" s="1057"/>
      <c r="AG73" s="1057"/>
      <c r="AH73" s="1057"/>
      <c r="AI73" s="1057"/>
      <c r="AJ73" s="1057"/>
      <c r="AK73" s="1057"/>
    </row>
    <row r="74" spans="1:37" s="1843" customFormat="1" ht="36">
      <c r="A74" s="3070" t="s">
        <v>3271</v>
      </c>
      <c r="B74" s="1262">
        <f>估价对象房地状况!C19</f>
        <v>0</v>
      </c>
      <c r="C74" s="1886" t="s">
        <v>3410</v>
      </c>
      <c r="D74" s="1002">
        <f t="shared" si="17"/>
        <v>5.0000000000000001E-3</v>
      </c>
      <c r="E74" s="705"/>
      <c r="F74" s="1675"/>
      <c r="G74" s="1000">
        <v>5.0000000000000001E-3</v>
      </c>
      <c r="H74" s="1003">
        <f t="shared" si="18"/>
        <v>5.0000000000000001E-3</v>
      </c>
      <c r="I74" s="3068">
        <v>0.1</v>
      </c>
      <c r="J74" s="1001">
        <f t="shared" si="19"/>
        <v>0.01</v>
      </c>
      <c r="K74" s="1001">
        <f t="shared" si="20"/>
        <v>5.0000000000000001E-3</v>
      </c>
      <c r="L74" s="1001">
        <v>0</v>
      </c>
      <c r="M74" s="1001">
        <f t="shared" si="21"/>
        <v>-5.0000000000000001E-3</v>
      </c>
      <c r="N74" s="1001">
        <f t="shared" si="21"/>
        <v>-0.01</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t="s">
        <v>3410</v>
      </c>
      <c r="D75" s="1002">
        <f t="shared" si="17"/>
        <v>2.5000000000000001E-3</v>
      </c>
      <c r="E75" s="705"/>
      <c r="F75" s="1675"/>
      <c r="G75" s="1000">
        <v>2.5000000000000001E-3</v>
      </c>
      <c r="H75" s="1003">
        <f t="shared" si="18"/>
        <v>2.5000000000000001E-3</v>
      </c>
      <c r="I75" s="3068">
        <v>0.05</v>
      </c>
      <c r="J75" s="1001">
        <f t="shared" si="19"/>
        <v>5.0000000000000001E-3</v>
      </c>
      <c r="K75" s="1001">
        <f t="shared" si="20"/>
        <v>2.5000000000000001E-3</v>
      </c>
      <c r="L75" s="1001">
        <v>0</v>
      </c>
      <c r="M75" s="1001">
        <f t="shared" si="21"/>
        <v>-2.5000000000000001E-3</v>
      </c>
      <c r="N75" s="1001">
        <f t="shared" si="21"/>
        <v>-5.0000000000000001E-3</v>
      </c>
      <c r="O75" s="1056"/>
      <c r="P75" s="1056"/>
      <c r="Q75" s="1843"/>
      <c r="Z75" s="1844"/>
      <c r="AA75" s="1894"/>
      <c r="AG75" s="1058"/>
      <c r="AK75" s="1894"/>
    </row>
    <row r="76" spans="1:37" ht="25.5">
      <c r="A76" s="1969" t="s">
        <v>2059</v>
      </c>
      <c r="B76" s="1240" t="str">
        <f>估价对象房地状况!C21</f>
        <v>估价对象所在区域公共配套设施齐备情况</v>
      </c>
      <c r="C76" s="1886" t="s">
        <v>3410</v>
      </c>
      <c r="D76" s="1002">
        <f t="shared" si="17"/>
        <v>4.0000000000000001E-3</v>
      </c>
      <c r="E76" s="705"/>
      <c r="F76" s="1675"/>
      <c r="G76" s="1000">
        <v>4.0000000000000001E-3</v>
      </c>
      <c r="H76" s="1003">
        <f t="shared" si="18"/>
        <v>4.0000000000000001E-3</v>
      </c>
      <c r="I76" s="3068">
        <v>0.08</v>
      </c>
      <c r="J76" s="1001">
        <f t="shared" si="19"/>
        <v>8.0000000000000002E-3</v>
      </c>
      <c r="K76" s="1001">
        <f t="shared" si="20"/>
        <v>4.0000000000000001E-3</v>
      </c>
      <c r="L76" s="1001">
        <v>0</v>
      </c>
      <c r="M76" s="1001">
        <f t="shared" si="21"/>
        <v>-4.0000000000000001E-3</v>
      </c>
      <c r="N76" s="1001">
        <f t="shared" si="21"/>
        <v>-8.0000000000000002E-3</v>
      </c>
      <c r="O76" s="1056"/>
      <c r="P76" s="1056"/>
      <c r="Z76" s="1844"/>
      <c r="AA76" s="1894"/>
      <c r="AG76" s="1058"/>
      <c r="AK76" s="1894"/>
    </row>
    <row r="77" spans="1:37" ht="25.5">
      <c r="A77" s="1969" t="s">
        <v>2060</v>
      </c>
      <c r="B77" s="1240" t="str">
        <f>估价对象房地状况!C22</f>
        <v>估价对象所在区域基础设施水平</v>
      </c>
      <c r="C77" s="1886" t="s">
        <v>3411</v>
      </c>
      <c r="D77" s="1002">
        <f t="shared" si="17"/>
        <v>8.9999999999999993E-3</v>
      </c>
      <c r="E77" s="705"/>
      <c r="F77" s="1675"/>
      <c r="G77" s="1000">
        <v>4.4999999999999997E-3</v>
      </c>
      <c r="H77" s="1003">
        <f t="shared" si="18"/>
        <v>4.4999999999999997E-3</v>
      </c>
      <c r="I77" s="3068">
        <v>0.09</v>
      </c>
      <c r="J77" s="1001">
        <f t="shared" si="19"/>
        <v>8.9999999999999993E-3</v>
      </c>
      <c r="K77" s="1001">
        <f t="shared" si="20"/>
        <v>4.4999999999999997E-3</v>
      </c>
      <c r="L77" s="1001">
        <v>0</v>
      </c>
      <c r="M77" s="1001">
        <f t="shared" si="21"/>
        <v>-4.4999999999999997E-3</v>
      </c>
      <c r="N77" s="1001">
        <f t="shared" si="21"/>
        <v>-8.9999999999999993E-3</v>
      </c>
      <c r="O77" s="1056"/>
      <c r="P77" s="1056"/>
      <c r="Z77" s="1844"/>
      <c r="AA77" s="1894"/>
      <c r="AG77" s="1058"/>
      <c r="AK77" s="1894"/>
    </row>
    <row r="78" spans="1:37" ht="24">
      <c r="A78" s="1969" t="s">
        <v>2057</v>
      </c>
      <c r="B78" s="1974" t="s">
        <v>2058</v>
      </c>
      <c r="C78" s="1886" t="s">
        <v>3410</v>
      </c>
      <c r="D78" s="1002">
        <f t="shared" si="17"/>
        <v>2.5000000000000001E-3</v>
      </c>
      <c r="E78" s="705"/>
      <c r="F78" s="1675"/>
      <c r="G78" s="1000">
        <v>2.5000000000000001E-3</v>
      </c>
      <c r="H78" s="1003">
        <f t="shared" si="18"/>
        <v>2.5000000000000001E-3</v>
      </c>
      <c r="I78" s="3068">
        <v>0.05</v>
      </c>
      <c r="J78" s="1001">
        <f t="shared" si="19"/>
        <v>5.0000000000000001E-3</v>
      </c>
      <c r="K78" s="1001">
        <f t="shared" si="20"/>
        <v>2.5000000000000001E-3</v>
      </c>
      <c r="L78" s="1001">
        <v>0</v>
      </c>
      <c r="M78" s="1001">
        <f t="shared" si="21"/>
        <v>-2.5000000000000001E-3</v>
      </c>
      <c r="N78" s="1001">
        <f t="shared" si="21"/>
        <v>-5.0000000000000001E-3</v>
      </c>
      <c r="O78" s="1843"/>
      <c r="P78" s="1843"/>
      <c r="Z78" s="1844"/>
      <c r="AA78" s="1894"/>
      <c r="AG78" s="1058"/>
      <c r="AK78" s="1894"/>
    </row>
    <row r="79" spans="1:37" ht="25.5">
      <c r="A79" s="1969" t="s">
        <v>2061</v>
      </c>
      <c r="B79" s="1972" t="str">
        <f>估价对象房地状况!C20</f>
        <v>区域自然环境：；人文环境；综合评价环境状况一般</v>
      </c>
      <c r="C79" s="1886" t="s">
        <v>3410</v>
      </c>
      <c r="D79" s="1002">
        <f t="shared" si="17"/>
        <v>6.0000000000000001E-3</v>
      </c>
      <c r="E79" s="705"/>
      <c r="F79" s="1675"/>
      <c r="G79" s="1000">
        <v>6.0000000000000001E-3</v>
      </c>
      <c r="H79" s="1003">
        <f t="shared" si="18"/>
        <v>6.0000000000000001E-3</v>
      </c>
      <c r="I79" s="3068">
        <v>0.12</v>
      </c>
      <c r="J79" s="1001">
        <f t="shared" si="19"/>
        <v>1.2E-2</v>
      </c>
      <c r="K79" s="1001">
        <f t="shared" si="20"/>
        <v>6.0000000000000001E-3</v>
      </c>
      <c r="L79" s="1001">
        <v>0</v>
      </c>
      <c r="M79" s="1001">
        <f t="shared" si="21"/>
        <v>-6.0000000000000001E-3</v>
      </c>
      <c r="N79" s="1001">
        <f t="shared" si="21"/>
        <v>-1.2E-2</v>
      </c>
      <c r="Z79" s="1844"/>
      <c r="AA79" s="1894"/>
      <c r="AG79" s="1058"/>
      <c r="AK79" s="1894"/>
    </row>
    <row r="80" spans="1:37" ht="24.75" thickBot="1">
      <c r="A80" s="1976" t="s">
        <v>2068</v>
      </c>
      <c r="B80" s="1980"/>
      <c r="C80" s="1886" t="s">
        <v>3410</v>
      </c>
      <c r="D80" s="1002">
        <f t="shared" si="17"/>
        <v>2.5000000000000001E-3</v>
      </c>
      <c r="E80" s="706"/>
      <c r="F80" s="1675"/>
      <c r="G80" s="1000">
        <v>2.5000000000000001E-3</v>
      </c>
      <c r="H80" s="1003">
        <f t="shared" si="18"/>
        <v>2.5000000000000001E-3</v>
      </c>
      <c r="I80" s="3069">
        <v>0.05</v>
      </c>
      <c r="J80" s="1001">
        <f t="shared" si="19"/>
        <v>5.0000000000000001E-3</v>
      </c>
      <c r="K80" s="1001">
        <f t="shared" si="20"/>
        <v>2.5000000000000001E-3</v>
      </c>
      <c r="L80" s="1001">
        <v>0</v>
      </c>
      <c r="M80" s="1001">
        <f t="shared" si="21"/>
        <v>-2.5000000000000001E-3</v>
      </c>
      <c r="N80" s="1001">
        <f t="shared" si="21"/>
        <v>-5.0000000000000001E-3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3272</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49" t="s">
        <v>3291</v>
      </c>
      <c r="K92" s="2149" t="s">
        <v>3292</v>
      </c>
      <c r="L92" s="2149" t="s">
        <v>3293</v>
      </c>
      <c r="M92" s="2149" t="s">
        <v>3294</v>
      </c>
      <c r="N92" s="2149" t="s">
        <v>3295</v>
      </c>
    </row>
    <row r="93" spans="1:37" ht="24">
      <c r="A93" s="3070" t="s">
        <v>3274</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3275</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3271</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3276</v>
      </c>
      <c r="B96" s="3086" t="s">
        <v>3287</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3277</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3278</v>
      </c>
      <c r="B98" s="3087" t="s">
        <v>3288</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3279</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3280</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3281</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43" t="s">
        <v>3296</v>
      </c>
      <c r="B103" s="3443"/>
      <c r="C103" s="3443"/>
      <c r="D103" s="3443"/>
      <c r="E103" s="3443"/>
      <c r="F103" s="3443"/>
      <c r="G103" s="3443"/>
      <c r="H103" s="3443"/>
      <c r="I103" s="3443"/>
      <c r="J103" s="3443"/>
      <c r="K103" s="1667"/>
      <c r="L103" s="1667"/>
      <c r="M103" s="1667"/>
      <c r="N103" s="1667"/>
    </row>
    <row r="104" spans="1:14">
      <c r="A104" s="3444" t="s">
        <v>3297</v>
      </c>
      <c r="B104" s="3444" t="s">
        <v>3298</v>
      </c>
      <c r="C104" s="3090" t="s">
        <v>3299</v>
      </c>
      <c r="D104" s="3091"/>
      <c r="E104" s="3091"/>
      <c r="F104" s="3091"/>
      <c r="G104" s="3091"/>
      <c r="H104" s="3091"/>
      <c r="I104" s="3091"/>
      <c r="J104" s="3092"/>
      <c r="K104" s="3093"/>
      <c r="L104" s="3093"/>
      <c r="M104" s="3093"/>
      <c r="N104" s="3093"/>
    </row>
    <row r="105" spans="1:14">
      <c r="A105" s="3444"/>
      <c r="B105" s="3444"/>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30"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1"/>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3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33" t="s">
        <v>3313</v>
      </c>
      <c r="B113" s="3433"/>
      <c r="C113" s="3433"/>
      <c r="D113" s="3433"/>
      <c r="E113" s="3433"/>
      <c r="F113" s="3433"/>
      <c r="G113" s="3433"/>
      <c r="H113" s="3433"/>
      <c r="I113" s="3433"/>
      <c r="J113" s="343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3314</v>
      </c>
      <c r="B116" s="3114">
        <f>G3</f>
        <v>2.96</v>
      </c>
      <c r="C116" s="3099" t="s">
        <v>3315</v>
      </c>
      <c r="D116" s="3100">
        <f>SUMPRODUCT((A118:A122=F116)*(B117:M117=H116)*B118:M122)</f>
        <v>0.91080000000000005</v>
      </c>
      <c r="E116" s="162" t="s">
        <v>3316</v>
      </c>
      <c r="F116" s="3101" t="str">
        <f>E2</f>
        <v>住宅</v>
      </c>
      <c r="G116" s="162" t="s">
        <v>3317</v>
      </c>
      <c r="H116" s="3101" t="str">
        <f>G2</f>
        <v>二级</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0.96419999999999995</v>
      </c>
      <c r="C118" s="3089">
        <f>B118</f>
        <v>0.96419999999999995</v>
      </c>
      <c r="D118" s="3089">
        <f>ROUND(0.949-0.014*B116,4)</f>
        <v>0.90759999999999996</v>
      </c>
      <c r="E118" s="3089">
        <f>D118</f>
        <v>0.90759999999999996</v>
      </c>
      <c r="F118" s="3089">
        <f>E118</f>
        <v>0.90759999999999996</v>
      </c>
      <c r="G118" s="3089">
        <f>F118</f>
        <v>0.90759999999999996</v>
      </c>
      <c r="H118" s="3089">
        <f>G118</f>
        <v>0.90759999999999996</v>
      </c>
      <c r="I118" s="3089">
        <f>ROUND(0.8486-0.018*B116,4)</f>
        <v>0.79530000000000001</v>
      </c>
      <c r="J118" s="3089">
        <f t="shared" ref="J118:M122" si="35">I118</f>
        <v>0.79530000000000001</v>
      </c>
      <c r="K118" s="3089">
        <f t="shared" si="35"/>
        <v>0.79530000000000001</v>
      </c>
      <c r="L118" s="3089">
        <f t="shared" si="35"/>
        <v>0.79530000000000001</v>
      </c>
      <c r="M118" s="3109">
        <f t="shared" si="35"/>
        <v>0.79530000000000001</v>
      </c>
      <c r="N118" s="3097"/>
    </row>
    <row r="119" spans="1:14">
      <c r="A119" s="3057" t="s">
        <v>3331</v>
      </c>
      <c r="B119" s="3089">
        <f>ROUND(0.993-0.0112*B116,4)</f>
        <v>0.95979999999999999</v>
      </c>
      <c r="C119" s="3089">
        <f>B119</f>
        <v>0.95979999999999999</v>
      </c>
      <c r="D119" s="3089">
        <f>ROUND(0.9415-0.0142*B116,4)</f>
        <v>0.89949999999999997</v>
      </c>
      <c r="E119" s="3089">
        <f t="shared" ref="E119:H120" si="36">D119</f>
        <v>0.89949999999999997</v>
      </c>
      <c r="F119" s="3089">
        <f t="shared" si="36"/>
        <v>0.89949999999999997</v>
      </c>
      <c r="G119" s="3089">
        <f t="shared" si="36"/>
        <v>0.89949999999999997</v>
      </c>
      <c r="H119" s="3089">
        <f t="shared" si="36"/>
        <v>0.89949999999999997</v>
      </c>
      <c r="I119" s="3089">
        <f>ROUND(0.838-0.0182*B116,4)</f>
        <v>0.78410000000000002</v>
      </c>
      <c r="J119" s="3089">
        <f t="shared" si="35"/>
        <v>0.78410000000000002</v>
      </c>
      <c r="K119" s="3089">
        <f t="shared" si="35"/>
        <v>0.78410000000000002</v>
      </c>
      <c r="L119" s="3089">
        <f t="shared" si="35"/>
        <v>0.78410000000000002</v>
      </c>
      <c r="M119" s="3109">
        <f t="shared" si="35"/>
        <v>0.78410000000000002</v>
      </c>
      <c r="N119" s="3097"/>
    </row>
    <row r="120" spans="1:14">
      <c r="A120" s="3057" t="s">
        <v>3332</v>
      </c>
      <c r="B120" s="3089">
        <f>ROUND(0.9448-0.0115*B116,4)</f>
        <v>0.91080000000000005</v>
      </c>
      <c r="C120" s="3089">
        <f>B120</f>
        <v>0.91080000000000005</v>
      </c>
      <c r="D120" s="3089">
        <f>ROUND(0.937-0.0145*B116,4)</f>
        <v>0.89410000000000001</v>
      </c>
      <c r="E120" s="3089">
        <f t="shared" si="36"/>
        <v>0.89410000000000001</v>
      </c>
      <c r="F120" s="3089">
        <f t="shared" si="36"/>
        <v>0.89410000000000001</v>
      </c>
      <c r="G120" s="3089">
        <f t="shared" si="36"/>
        <v>0.89410000000000001</v>
      </c>
      <c r="H120" s="3089">
        <f t="shared" si="36"/>
        <v>0.89410000000000001</v>
      </c>
      <c r="I120" s="3089">
        <f>ROUND(0.7965-0.0185*B116,4)</f>
        <v>0.74170000000000003</v>
      </c>
      <c r="J120" s="3089">
        <f t="shared" si="35"/>
        <v>0.74170000000000003</v>
      </c>
      <c r="K120" s="3089">
        <f t="shared" si="35"/>
        <v>0.74170000000000003</v>
      </c>
      <c r="L120" s="3089">
        <f t="shared" si="35"/>
        <v>0.74170000000000003</v>
      </c>
      <c r="M120" s="3109">
        <f t="shared" si="35"/>
        <v>0.74170000000000003</v>
      </c>
      <c r="N120" s="3097"/>
    </row>
    <row r="121" spans="1:14" ht="13.5" thickBot="1">
      <c r="A121" s="3110" t="s">
        <v>3333</v>
      </c>
      <c r="B121" s="3111">
        <f>ROUND(0.7836-0.012*B116,4)</f>
        <v>0.74809999999999999</v>
      </c>
      <c r="C121" s="3111">
        <f>B121</f>
        <v>0.74809999999999999</v>
      </c>
      <c r="D121" s="3111">
        <f>ROUND(0.753-0.015*B116,4)</f>
        <v>0.70860000000000001</v>
      </c>
      <c r="E121" s="3111">
        <f>D121</f>
        <v>0.70860000000000001</v>
      </c>
      <c r="F121" s="3111">
        <f>E121</f>
        <v>0.70860000000000001</v>
      </c>
      <c r="G121" s="3111">
        <f>ROUND(0.6612-0.018*B116,4)</f>
        <v>0.6079</v>
      </c>
      <c r="H121" s="3111">
        <f>G121</f>
        <v>0.6079</v>
      </c>
      <c r="I121" s="3111">
        <f>ROUND(0.5905-0.019*B116,4)</f>
        <v>0.5343</v>
      </c>
      <c r="J121" s="3111">
        <f t="shared" si="35"/>
        <v>0.5343</v>
      </c>
      <c r="K121" s="3111">
        <f t="shared" si="35"/>
        <v>0.5343</v>
      </c>
      <c r="L121" s="3111">
        <f t="shared" si="35"/>
        <v>0.5343</v>
      </c>
      <c r="M121" s="3112">
        <f t="shared" si="35"/>
        <v>0.5343</v>
      </c>
      <c r="N121" s="3097"/>
    </row>
    <row r="122" spans="1:14">
      <c r="A122" s="3113" t="s">
        <v>2614</v>
      </c>
      <c r="B122" s="3089">
        <f>ROUND(0.9404-0.0106*B116,4)</f>
        <v>0.90900000000000003</v>
      </c>
      <c r="C122" s="3089">
        <f>B122</f>
        <v>0.90900000000000003</v>
      </c>
      <c r="D122" s="3089">
        <f>ROUND(0.8955-0.0135*B116,4)</f>
        <v>0.85550000000000004</v>
      </c>
      <c r="E122" s="3089">
        <f t="shared" ref="E122:H122" si="37">D122</f>
        <v>0.85550000000000004</v>
      </c>
      <c r="F122" s="3089">
        <f t="shared" si="37"/>
        <v>0.85550000000000004</v>
      </c>
      <c r="G122" s="3089">
        <f t="shared" si="37"/>
        <v>0.85550000000000004</v>
      </c>
      <c r="H122" s="3089">
        <f t="shared" si="37"/>
        <v>0.85550000000000004</v>
      </c>
      <c r="I122" s="3089">
        <f>ROUND(0.7632-0.0166*B116,4)</f>
        <v>0.71409999999999996</v>
      </c>
      <c r="J122" s="3089">
        <f t="shared" si="35"/>
        <v>0.71409999999999996</v>
      </c>
      <c r="K122" s="3089">
        <f t="shared" si="35"/>
        <v>0.71409999999999996</v>
      </c>
      <c r="L122" s="3089">
        <f t="shared" si="35"/>
        <v>0.71409999999999996</v>
      </c>
      <c r="M122" s="3109">
        <f t="shared" si="35"/>
        <v>0.71409999999999996</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8A66E-89AA-40B3-8774-B78F95CC4A52}">
  <dimension ref="B4:R36"/>
  <sheetViews>
    <sheetView workbookViewId="0">
      <selection activeCell="E45" sqref="E45"/>
    </sheetView>
  </sheetViews>
  <sheetFormatPr defaultRowHeight="13.5"/>
  <sheetData>
    <row r="4" spans="2:7">
      <c r="B4">
        <v>172.34</v>
      </c>
      <c r="C4">
        <v>1500</v>
      </c>
      <c r="D4">
        <f>ROUND(C4*10000/B4,0)</f>
        <v>87037</v>
      </c>
      <c r="E4" s="1405" t="s">
        <v>3421</v>
      </c>
      <c r="G4" s="1405" t="s">
        <v>3423</v>
      </c>
    </row>
    <row r="5" spans="2:7">
      <c r="B5">
        <v>181</v>
      </c>
      <c r="C5">
        <v>1760</v>
      </c>
      <c r="D5">
        <f t="shared" ref="D5:D6" si="0">ROUND(C5*10000/B5,0)</f>
        <v>97238</v>
      </c>
      <c r="F5" s="1405" t="s">
        <v>3422</v>
      </c>
      <c r="G5">
        <v>2024.8</v>
      </c>
    </row>
    <row r="6" spans="2:7">
      <c r="B6">
        <v>175</v>
      </c>
      <c r="C6">
        <v>1650</v>
      </c>
      <c r="D6">
        <f t="shared" si="0"/>
        <v>94286</v>
      </c>
      <c r="G6">
        <v>2024.5</v>
      </c>
    </row>
    <row r="36" spans="16:18">
      <c r="P36">
        <v>225</v>
      </c>
      <c r="Q36">
        <v>2480</v>
      </c>
      <c r="R36">
        <f>Q36/P36</f>
        <v>11.022222222222222</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E5ED6-FE89-4A11-9001-8298521BA528}">
  <dimension ref="K4:Q8"/>
  <sheetViews>
    <sheetView workbookViewId="0">
      <selection activeCell="Q20" sqref="Q20"/>
    </sheetView>
  </sheetViews>
  <sheetFormatPr defaultRowHeight="13.5"/>
  <cols>
    <col min="12" max="12" width="12.75" customWidth="1"/>
  </cols>
  <sheetData>
    <row r="4" spans="11:17">
      <c r="N4" s="1405" t="s">
        <v>3435</v>
      </c>
      <c r="O4" s="1405" t="s">
        <v>3436</v>
      </c>
    </row>
    <row r="5" spans="11:17">
      <c r="K5" s="1405" t="s">
        <v>3442</v>
      </c>
      <c r="L5" s="1405" t="s">
        <v>3438</v>
      </c>
      <c r="M5">
        <v>257.95999999999998</v>
      </c>
      <c r="N5">
        <v>118998</v>
      </c>
      <c r="O5" s="1405" t="s">
        <v>3432</v>
      </c>
      <c r="P5" s="1405" t="s">
        <v>3434</v>
      </c>
      <c r="Q5" s="3480" t="s">
        <v>3433</v>
      </c>
    </row>
    <row r="6" spans="11:17">
      <c r="K6" s="1405" t="s">
        <v>3442</v>
      </c>
      <c r="L6" s="1405" t="s">
        <v>3439</v>
      </c>
      <c r="M6">
        <v>191.08</v>
      </c>
      <c r="N6">
        <v>91488</v>
      </c>
      <c r="O6">
        <f>ROUND(17071457.2/M6,0)</f>
        <v>89342</v>
      </c>
      <c r="P6" s="1405" t="s">
        <v>3434</v>
      </c>
      <c r="Q6" s="3480" t="s">
        <v>3437</v>
      </c>
    </row>
    <row r="7" spans="11:17">
      <c r="K7" s="1405" t="s">
        <v>3442</v>
      </c>
      <c r="L7" s="1405" t="s">
        <v>3440</v>
      </c>
      <c r="M7">
        <v>183.15</v>
      </c>
      <c r="N7">
        <f>ROUND(13542172.33/M7,0)</f>
        <v>73940</v>
      </c>
      <c r="O7">
        <f>18524520.63/M7</f>
        <v>101143.98378378377</v>
      </c>
      <c r="P7" s="1405" t="s">
        <v>3434</v>
      </c>
      <c r="Q7" s="3480" t="s">
        <v>3437</v>
      </c>
    </row>
    <row r="8" spans="11:17">
      <c r="K8" s="1405" t="s">
        <v>3443</v>
      </c>
      <c r="L8" s="1405" t="s">
        <v>3441</v>
      </c>
      <c r="M8">
        <v>123.9</v>
      </c>
      <c r="N8">
        <f>ROUND(13810000/M8,0)</f>
        <v>111461</v>
      </c>
      <c r="O8">
        <f>12110000/M8</f>
        <v>97740.112994350275</v>
      </c>
      <c r="P8" s="1405" t="s">
        <v>3434</v>
      </c>
      <c r="Q8" s="3480" t="s">
        <v>3437</v>
      </c>
    </row>
  </sheetData>
  <phoneticPr fontId="134" type="noConversion"/>
  <hyperlinks>
    <hyperlink ref="Q5" r:id="rId1" display="https://sf-item.taobao.com/sf_item/781597597310.htm?spm=a213w.7398504.paiList.3.39cb2455i6MXZ6&amp;track_id=4f8abd77-d94c-42b2-8558-ac7620a87c6b" xr:uid="{F4994F4C-761D-43E3-95B1-590F4777CD30}"/>
    <hyperlink ref="Q6" r:id="rId2" display="https://paimai.jd.com/307328096" xr:uid="{481D205F-EEC7-426C-AB0E-993AF09C9006}"/>
    <hyperlink ref="Q7" r:id="rId3" display="https://paimai.jd.com/299275632" xr:uid="{23D63D64-6FD6-44D1-8BDC-E3353739C02C}"/>
    <hyperlink ref="Q8" r:id="rId4" display="https://paimai.jd.com/296172926" xr:uid="{8FC54A30-F661-419F-8E9D-AC86C7EA4BD7}"/>
  </hyperlinks>
  <pageMargins left="0.7" right="0.7" top="0.75" bottom="0.75" header="0.3" footer="0.3"/>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56" t="s">
        <v>2609</v>
      </c>
      <c r="B20" s="3449" t="s">
        <v>2630</v>
      </c>
      <c r="C20" s="2842" t="s">
        <v>2441</v>
      </c>
      <c r="D20" s="2843"/>
      <c r="E20" s="2844">
        <v>1</v>
      </c>
      <c r="F20" s="2845" t="s">
        <v>2442</v>
      </c>
      <c r="G20" s="2845"/>
    </row>
    <row r="21" spans="1:13" ht="19.5" customHeight="1">
      <c r="A21" s="3457"/>
      <c r="B21" s="3450"/>
      <c r="C21" s="2846" t="s">
        <v>2443</v>
      </c>
      <c r="D21" s="2847"/>
      <c r="E21" s="2848">
        <v>1</v>
      </c>
      <c r="F21" s="2845" t="s">
        <v>2444</v>
      </c>
      <c r="G21" s="2845"/>
    </row>
    <row r="22" spans="1:13" ht="19.5" customHeight="1">
      <c r="A22" s="3457"/>
      <c r="B22" s="3450"/>
      <c r="C22" s="2846" t="s">
        <v>2445</v>
      </c>
      <c r="D22" s="2847"/>
      <c r="E22" s="2848">
        <v>0.9</v>
      </c>
      <c r="F22" s="2845" t="s">
        <v>2446</v>
      </c>
      <c r="G22" s="2845"/>
    </row>
    <row r="23" spans="1:13" ht="19.5" customHeight="1">
      <c r="A23" s="3457"/>
      <c r="B23" s="3450"/>
      <c r="C23" s="2846" t="s">
        <v>2447</v>
      </c>
      <c r="D23" s="2847"/>
      <c r="E23" s="2848">
        <v>0.9</v>
      </c>
      <c r="F23" s="2845" t="s">
        <v>2448</v>
      </c>
      <c r="G23" s="2845"/>
    </row>
    <row r="24" spans="1:13" ht="19.5" customHeight="1">
      <c r="A24" s="3457"/>
      <c r="B24" s="3450"/>
      <c r="C24" s="2846" t="s">
        <v>2449</v>
      </c>
      <c r="D24" s="2847"/>
      <c r="E24" s="2848">
        <v>0.8</v>
      </c>
      <c r="F24" s="2845" t="s">
        <v>2450</v>
      </c>
      <c r="G24" s="2845"/>
    </row>
    <row r="25" spans="1:13" ht="19.5" customHeight="1" thickBot="1">
      <c r="A25" s="3458"/>
      <c r="B25" s="3451"/>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52" t="s">
        <v>2633</v>
      </c>
      <c r="B27" s="3449" t="s">
        <v>2614</v>
      </c>
      <c r="C27" s="2842" t="s">
        <v>2454</v>
      </c>
      <c r="D27" s="2843"/>
      <c r="E27" s="2844">
        <v>1</v>
      </c>
      <c r="F27" s="2845" t="s">
        <v>2455</v>
      </c>
      <c r="G27" s="2845"/>
    </row>
    <row r="28" spans="1:13" ht="19.5" customHeight="1">
      <c r="A28" s="3453"/>
      <c r="B28" s="3450"/>
      <c r="C28" s="2846" t="s">
        <v>2456</v>
      </c>
      <c r="D28" s="2847"/>
      <c r="E28" s="2848">
        <v>1</v>
      </c>
      <c r="F28" s="2845" t="s">
        <v>2457</v>
      </c>
      <c r="G28" s="2845"/>
    </row>
    <row r="29" spans="1:13" ht="19.5" customHeight="1">
      <c r="A29" s="3453"/>
      <c r="B29" s="3450"/>
      <c r="C29" s="2846" t="s">
        <v>2458</v>
      </c>
      <c r="D29" s="2847"/>
      <c r="E29" s="2848">
        <v>0.8</v>
      </c>
      <c r="F29" s="2845" t="s">
        <v>2459</v>
      </c>
      <c r="G29" s="2845"/>
    </row>
    <row r="30" spans="1:13" ht="19.5" customHeight="1">
      <c r="A30" s="3453"/>
      <c r="B30" s="3450"/>
      <c r="C30" s="2846" t="s">
        <v>2460</v>
      </c>
      <c r="D30" s="2847"/>
      <c r="E30" s="2848">
        <v>0.8</v>
      </c>
      <c r="F30" s="2845" t="s">
        <v>2461</v>
      </c>
      <c r="G30" s="2845"/>
    </row>
    <row r="31" spans="1:13" ht="19.5" customHeight="1">
      <c r="A31" s="3453"/>
      <c r="B31" s="3450"/>
      <c r="C31" s="2846" t="s">
        <v>2462</v>
      </c>
      <c r="D31" s="2847"/>
      <c r="E31" s="2848">
        <v>0.8</v>
      </c>
      <c r="F31" s="2845" t="s">
        <v>2463</v>
      </c>
      <c r="G31" s="2845"/>
    </row>
    <row r="32" spans="1:13" ht="19.5" customHeight="1">
      <c r="A32" s="3453"/>
      <c r="B32" s="3450"/>
      <c r="C32" s="2846" t="s">
        <v>2464</v>
      </c>
      <c r="D32" s="2847"/>
      <c r="E32" s="2848">
        <v>0.7</v>
      </c>
      <c r="F32" s="2845" t="s">
        <v>2465</v>
      </c>
      <c r="G32" s="2845"/>
    </row>
    <row r="33" spans="1:7" ht="19.5" customHeight="1">
      <c r="A33" s="3453"/>
      <c r="B33" s="3450"/>
      <c r="C33" s="2846" t="s">
        <v>2466</v>
      </c>
      <c r="D33" s="2847"/>
      <c r="E33" s="2848">
        <v>0.8</v>
      </c>
      <c r="F33" s="2845" t="s">
        <v>2467</v>
      </c>
      <c r="G33" s="2845"/>
    </row>
    <row r="34" spans="1:7" ht="19.5" customHeight="1">
      <c r="A34" s="3453"/>
      <c r="B34" s="3450"/>
      <c r="C34" s="2846" t="s">
        <v>2468</v>
      </c>
      <c r="D34" s="2847"/>
      <c r="E34" s="2848">
        <v>0.6</v>
      </c>
      <c r="F34" s="2845" t="s">
        <v>2469</v>
      </c>
      <c r="G34" s="2845"/>
    </row>
    <row r="35" spans="1:7" ht="19.5" customHeight="1">
      <c r="A35" s="3453"/>
      <c r="B35" s="3450"/>
      <c r="C35" s="2846" t="s">
        <v>2470</v>
      </c>
      <c r="D35" s="2847"/>
      <c r="E35" s="2848">
        <v>0.2</v>
      </c>
      <c r="F35" s="2845" t="s">
        <v>2471</v>
      </c>
      <c r="G35" s="2845"/>
    </row>
    <row r="36" spans="1:7" ht="19.5" customHeight="1">
      <c r="A36" s="3453"/>
      <c r="B36" s="3450"/>
      <c r="C36" s="2846" t="s">
        <v>2472</v>
      </c>
      <c r="D36" s="2847"/>
      <c r="E36" s="2848">
        <v>0.2</v>
      </c>
      <c r="F36" s="2845" t="s">
        <v>2473</v>
      </c>
      <c r="G36" s="2845"/>
    </row>
    <row r="37" spans="1:7" ht="19.5" customHeight="1">
      <c r="A37" s="3453"/>
      <c r="B37" s="3455" t="s">
        <v>2634</v>
      </c>
      <c r="C37" s="2846" t="s">
        <v>2474</v>
      </c>
      <c r="D37" s="2847"/>
      <c r="E37" s="2848">
        <v>0.6</v>
      </c>
      <c r="F37" s="2845" t="s">
        <v>2475</v>
      </c>
      <c r="G37" s="2845"/>
    </row>
    <row r="38" spans="1:7" ht="19.5" customHeight="1">
      <c r="A38" s="3453"/>
      <c r="B38" s="3450"/>
      <c r="C38" s="2846" t="s">
        <v>2476</v>
      </c>
      <c r="D38" s="2847"/>
      <c r="E38" s="2848">
        <v>0.6</v>
      </c>
      <c r="F38" s="2845" t="s">
        <v>2477</v>
      </c>
      <c r="G38" s="2845"/>
    </row>
    <row r="39" spans="1:7" ht="19.5" customHeight="1" thickBot="1">
      <c r="A39" s="3454"/>
      <c r="B39" s="3451"/>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56" t="s">
        <v>2612</v>
      </c>
      <c r="B41" s="3449" t="s">
        <v>2636</v>
      </c>
      <c r="C41" s="2842" t="s">
        <v>2481</v>
      </c>
      <c r="D41" s="2843"/>
      <c r="E41" s="2844">
        <v>1</v>
      </c>
      <c r="F41" s="2845" t="s">
        <v>2482</v>
      </c>
      <c r="G41" s="2845"/>
    </row>
    <row r="42" spans="1:7" ht="19.5" customHeight="1">
      <c r="A42" s="3457"/>
      <c r="B42" s="3450"/>
      <c r="C42" s="2846" t="s">
        <v>2483</v>
      </c>
      <c r="D42" s="2847"/>
      <c r="E42" s="2848">
        <v>1</v>
      </c>
      <c r="F42" s="2845" t="s">
        <v>2484</v>
      </c>
      <c r="G42" s="2845"/>
    </row>
    <row r="43" spans="1:7" ht="19.5" customHeight="1">
      <c r="A43" s="3457"/>
      <c r="B43" s="3459"/>
      <c r="C43" s="2846" t="s">
        <v>2485</v>
      </c>
      <c r="D43" s="2847"/>
      <c r="E43" s="2848">
        <v>1.5</v>
      </c>
      <c r="F43" s="2845" t="s">
        <v>2486</v>
      </c>
      <c r="G43" s="2845"/>
    </row>
    <row r="44" spans="1:7" ht="19.5" customHeight="1">
      <c r="A44" s="3457"/>
      <c r="B44" s="2857" t="s">
        <v>2637</v>
      </c>
      <c r="C44" s="2846" t="s">
        <v>2638</v>
      </c>
      <c r="D44" s="2847"/>
      <c r="E44" s="2848">
        <v>2</v>
      </c>
      <c r="F44" s="2845" t="s">
        <v>2487</v>
      </c>
      <c r="G44" s="2845"/>
    </row>
    <row r="45" spans="1:7" ht="19.5" customHeight="1">
      <c r="A45" s="3457"/>
      <c r="B45" s="3455" t="s">
        <v>2639</v>
      </c>
      <c r="C45" s="2846" t="s">
        <v>2488</v>
      </c>
      <c r="D45" s="2847"/>
      <c r="E45" s="2848">
        <v>1</v>
      </c>
      <c r="F45" s="2845" t="s">
        <v>2489</v>
      </c>
      <c r="G45" s="2845"/>
    </row>
    <row r="46" spans="1:7" ht="19.5" customHeight="1">
      <c r="A46" s="3457"/>
      <c r="B46" s="3450"/>
      <c r="C46" s="2846" t="s">
        <v>2490</v>
      </c>
      <c r="D46" s="2847"/>
      <c r="E46" s="2848">
        <v>1</v>
      </c>
      <c r="F46" s="2845" t="s">
        <v>2491</v>
      </c>
      <c r="G46" s="2845"/>
    </row>
    <row r="47" spans="1:7" ht="19.5" customHeight="1">
      <c r="A47" s="3457"/>
      <c r="B47" s="3450"/>
      <c r="C47" s="2846" t="s">
        <v>2492</v>
      </c>
      <c r="D47" s="2847"/>
      <c r="E47" s="2848">
        <v>1</v>
      </c>
      <c r="F47" s="2845" t="s">
        <v>2493</v>
      </c>
      <c r="G47" s="2845"/>
    </row>
    <row r="48" spans="1:7" ht="19.5" customHeight="1">
      <c r="A48" s="3457"/>
      <c r="B48" s="3450"/>
      <c r="C48" s="2846" t="s">
        <v>2494</v>
      </c>
      <c r="D48" s="2847"/>
      <c r="E48" s="2848">
        <v>1</v>
      </c>
      <c r="F48" s="2845" t="s">
        <v>2495</v>
      </c>
      <c r="G48" s="2845"/>
    </row>
    <row r="49" spans="1:7" ht="19.5" customHeight="1">
      <c r="A49" s="3457"/>
      <c r="B49" s="3450"/>
      <c r="C49" s="2846" t="s">
        <v>2496</v>
      </c>
      <c r="D49" s="2847"/>
      <c r="E49" s="2848">
        <v>1</v>
      </c>
      <c r="F49" s="2845" t="s">
        <v>2497</v>
      </c>
      <c r="G49" s="2845"/>
    </row>
    <row r="50" spans="1:7" ht="19.5" customHeight="1">
      <c r="A50" s="3457"/>
      <c r="B50" s="3450"/>
      <c r="C50" s="2846" t="s">
        <v>2498</v>
      </c>
      <c r="D50" s="2847"/>
      <c r="E50" s="2848">
        <v>1</v>
      </c>
      <c r="F50" s="2845" t="s">
        <v>2499</v>
      </c>
      <c r="G50" s="2845"/>
    </row>
    <row r="51" spans="1:7" ht="19.5" customHeight="1" thickBot="1">
      <c r="A51" s="3458"/>
      <c r="B51" s="3451"/>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455" t="s">
        <v>2653</v>
      </c>
      <c r="C73" s="2831" t="s">
        <v>2654</v>
      </c>
      <c r="D73" s="2831" t="s">
        <v>2655</v>
      </c>
      <c r="E73" s="2857">
        <v>0.2</v>
      </c>
      <c r="F73" s="2857">
        <v>25</v>
      </c>
    </row>
    <row r="74" spans="1:7" ht="24">
      <c r="A74" s="2857">
        <v>2</v>
      </c>
      <c r="B74" s="3450"/>
      <c r="C74" s="2831" t="s">
        <v>2656</v>
      </c>
      <c r="D74" s="2831" t="s">
        <v>2657</v>
      </c>
      <c r="E74" s="2857">
        <v>0.2</v>
      </c>
      <c r="F74" s="2857">
        <v>25</v>
      </c>
    </row>
    <row r="75" spans="1:7" ht="24">
      <c r="A75" s="2857">
        <v>3</v>
      </c>
      <c r="B75" s="3450"/>
      <c r="C75" s="2831" t="s">
        <v>2658</v>
      </c>
      <c r="D75" s="2831" t="s">
        <v>2659</v>
      </c>
      <c r="E75" s="2857">
        <v>0.2</v>
      </c>
      <c r="F75" s="2857">
        <v>25</v>
      </c>
    </row>
    <row r="76" spans="1:7" ht="13.5">
      <c r="A76" s="2857">
        <v>4</v>
      </c>
      <c r="B76" s="3450"/>
      <c r="C76" s="2831" t="s">
        <v>2660</v>
      </c>
      <c r="D76" s="2831" t="s">
        <v>2661</v>
      </c>
      <c r="E76" s="2857">
        <v>0.15</v>
      </c>
      <c r="F76" s="2857">
        <v>20</v>
      </c>
    </row>
    <row r="77" spans="1:7" ht="24">
      <c r="A77" s="2857">
        <v>5</v>
      </c>
      <c r="B77" s="3450"/>
      <c r="C77" s="2831" t="s">
        <v>2662</v>
      </c>
      <c r="D77" s="2831" t="s">
        <v>2663</v>
      </c>
      <c r="E77" s="2857">
        <v>0.15</v>
      </c>
      <c r="F77" s="2857">
        <v>20</v>
      </c>
    </row>
    <row r="78" spans="1:7" ht="24">
      <c r="A78" s="2857">
        <v>6</v>
      </c>
      <c r="B78" s="3450"/>
      <c r="C78" s="2831" t="s">
        <v>2664</v>
      </c>
      <c r="D78" s="2831" t="s">
        <v>2665</v>
      </c>
      <c r="E78" s="2857">
        <v>0.15</v>
      </c>
      <c r="F78" s="2857">
        <v>20</v>
      </c>
    </row>
    <row r="79" spans="1:7" ht="24">
      <c r="A79" s="2857">
        <v>7</v>
      </c>
      <c r="B79" s="3450"/>
      <c r="C79" s="2831" t="s">
        <v>2666</v>
      </c>
      <c r="D79" s="2831" t="s">
        <v>2667</v>
      </c>
      <c r="E79" s="2857">
        <v>0.15</v>
      </c>
      <c r="F79" s="2857">
        <v>20</v>
      </c>
    </row>
    <row r="80" spans="1:7" ht="24">
      <c r="A80" s="2857">
        <v>8</v>
      </c>
      <c r="B80" s="3450"/>
      <c r="C80" s="2831" t="s">
        <v>2668</v>
      </c>
      <c r="D80" s="2831" t="s">
        <v>2669</v>
      </c>
      <c r="E80" s="2857">
        <v>0.1</v>
      </c>
      <c r="F80" s="2857">
        <v>15</v>
      </c>
    </row>
    <row r="81" spans="1:6" ht="24">
      <c r="A81" s="2857">
        <v>9</v>
      </c>
      <c r="B81" s="3450"/>
      <c r="C81" s="2831" t="s">
        <v>2670</v>
      </c>
      <c r="D81" s="2831" t="s">
        <v>2671</v>
      </c>
      <c r="E81" s="2857">
        <v>0.1</v>
      </c>
      <c r="F81" s="2857">
        <v>15</v>
      </c>
    </row>
    <row r="82" spans="1:6" ht="24">
      <c r="A82" s="2857">
        <v>10</v>
      </c>
      <c r="B82" s="3450"/>
      <c r="C82" s="2831" t="s">
        <v>2672</v>
      </c>
      <c r="D82" s="2831" t="s">
        <v>2673</v>
      </c>
      <c r="E82" s="2857">
        <v>0.1</v>
      </c>
      <c r="F82" s="2857">
        <v>15</v>
      </c>
    </row>
    <row r="83" spans="1:6" ht="24">
      <c r="A83" s="2857">
        <v>11</v>
      </c>
      <c r="B83" s="3450"/>
      <c r="C83" s="2831" t="s">
        <v>2674</v>
      </c>
      <c r="D83" s="2831" t="s">
        <v>2675</v>
      </c>
      <c r="E83" s="2857">
        <v>0.1</v>
      </c>
      <c r="F83" s="2857">
        <v>15</v>
      </c>
    </row>
    <row r="84" spans="1:6" ht="24">
      <c r="A84" s="2857">
        <v>12</v>
      </c>
      <c r="B84" s="3450"/>
      <c r="C84" s="2831" t="s">
        <v>2676</v>
      </c>
      <c r="D84" s="2831" t="s">
        <v>2677</v>
      </c>
      <c r="E84" s="2857">
        <v>0.1</v>
      </c>
      <c r="F84" s="2857">
        <v>15</v>
      </c>
    </row>
    <row r="85" spans="1:6" ht="13.5">
      <c r="A85" s="2857">
        <v>13</v>
      </c>
      <c r="B85" s="3450"/>
      <c r="C85" s="2831" t="s">
        <v>2678</v>
      </c>
      <c r="D85" s="2831" t="s">
        <v>2679</v>
      </c>
      <c r="E85" s="2857">
        <v>0.1</v>
      </c>
      <c r="F85" s="2857">
        <v>15</v>
      </c>
    </row>
    <row r="86" spans="1:6" ht="13.5">
      <c r="A86" s="2857">
        <v>14</v>
      </c>
      <c r="B86" s="3450"/>
      <c r="C86" s="2831" t="s">
        <v>2680</v>
      </c>
      <c r="D86" s="2831" t="s">
        <v>2681</v>
      </c>
      <c r="E86" s="2857">
        <v>0.1</v>
      </c>
      <c r="F86" s="2857">
        <v>15</v>
      </c>
    </row>
    <row r="87" spans="1:6" ht="13.5">
      <c r="A87" s="2857">
        <v>15</v>
      </c>
      <c r="B87" s="3450"/>
      <c r="C87" s="2831" t="s">
        <v>2682</v>
      </c>
      <c r="D87" s="2831" t="s">
        <v>2683</v>
      </c>
      <c r="E87" s="2857">
        <v>0.1</v>
      </c>
      <c r="F87" s="2857">
        <v>15</v>
      </c>
    </row>
    <row r="88" spans="1:6" ht="24">
      <c r="A88" s="2857">
        <v>16</v>
      </c>
      <c r="B88" s="3450"/>
      <c r="C88" s="2831" t="s">
        <v>2684</v>
      </c>
      <c r="D88" s="2831" t="s">
        <v>2685</v>
      </c>
      <c r="E88" s="2857">
        <v>0.1</v>
      </c>
      <c r="F88" s="2857">
        <v>15</v>
      </c>
    </row>
    <row r="89" spans="1:6" ht="24">
      <c r="A89" s="2857">
        <v>17</v>
      </c>
      <c r="B89" s="3459"/>
      <c r="C89" s="2831" t="s">
        <v>2686</v>
      </c>
      <c r="D89" s="2831" t="s">
        <v>2687</v>
      </c>
      <c r="E89" s="2857">
        <v>0.1</v>
      </c>
      <c r="F89" s="2857">
        <v>15</v>
      </c>
    </row>
    <row r="90" spans="1:6" ht="13.5">
      <c r="A90" s="2857">
        <v>18</v>
      </c>
      <c r="B90" s="3455" t="s">
        <v>2688</v>
      </c>
      <c r="C90" s="2831" t="s">
        <v>2689</v>
      </c>
      <c r="D90" s="2831" t="s">
        <v>2690</v>
      </c>
      <c r="E90" s="2857">
        <v>0.2</v>
      </c>
      <c r="F90" s="2857">
        <v>25</v>
      </c>
    </row>
    <row r="91" spans="1:6" ht="24">
      <c r="A91" s="2857">
        <v>19</v>
      </c>
      <c r="B91" s="3450"/>
      <c r="C91" s="2831" t="s">
        <v>2691</v>
      </c>
      <c r="D91" s="2831" t="s">
        <v>2692</v>
      </c>
      <c r="E91" s="2857">
        <v>0.2</v>
      </c>
      <c r="F91" s="2857">
        <v>25</v>
      </c>
    </row>
    <row r="92" spans="1:6" ht="13.5">
      <c r="A92" s="2857">
        <v>20</v>
      </c>
      <c r="B92" s="3450"/>
      <c r="C92" s="2831" t="s">
        <v>2693</v>
      </c>
      <c r="D92" s="2831" t="s">
        <v>2694</v>
      </c>
      <c r="E92" s="2857">
        <v>0.15</v>
      </c>
      <c r="F92" s="2857">
        <v>20</v>
      </c>
    </row>
    <row r="93" spans="1:6" ht="13.5">
      <c r="A93" s="2857">
        <v>21</v>
      </c>
      <c r="B93" s="3450"/>
      <c r="C93" s="2831" t="s">
        <v>2695</v>
      </c>
      <c r="D93" s="2831" t="s">
        <v>2696</v>
      </c>
      <c r="E93" s="2857">
        <v>0.15</v>
      </c>
      <c r="F93" s="2857">
        <v>20</v>
      </c>
    </row>
    <row r="94" spans="1:6" ht="13.5">
      <c r="A94" s="2857">
        <v>22</v>
      </c>
      <c r="B94" s="3450"/>
      <c r="C94" s="2831" t="s">
        <v>2697</v>
      </c>
      <c r="D94" s="2831" t="s">
        <v>2698</v>
      </c>
      <c r="E94" s="2857">
        <v>0.15</v>
      </c>
      <c r="F94" s="2857">
        <v>20</v>
      </c>
    </row>
    <row r="95" spans="1:6" ht="36">
      <c r="A95" s="2857">
        <v>23</v>
      </c>
      <c r="B95" s="3450"/>
      <c r="C95" s="2831" t="s">
        <v>2699</v>
      </c>
      <c r="D95" s="2831" t="s">
        <v>2700</v>
      </c>
      <c r="E95" s="2857">
        <v>0.15</v>
      </c>
      <c r="F95" s="2857">
        <v>20</v>
      </c>
    </row>
    <row r="96" spans="1:6" ht="13.5">
      <c r="A96" s="2857">
        <v>24</v>
      </c>
      <c r="B96" s="3450"/>
      <c r="C96" s="2831" t="s">
        <v>2701</v>
      </c>
      <c r="D96" s="2831" t="s">
        <v>2702</v>
      </c>
      <c r="E96" s="2857">
        <v>0.1</v>
      </c>
      <c r="F96" s="2857">
        <v>15</v>
      </c>
    </row>
    <row r="97" spans="1:6" ht="13.5">
      <c r="A97" s="2857">
        <v>25</v>
      </c>
      <c r="B97" s="3450"/>
      <c r="C97" s="2831" t="s">
        <v>2703</v>
      </c>
      <c r="D97" s="2831" t="s">
        <v>2704</v>
      </c>
      <c r="E97" s="2857">
        <v>0.1</v>
      </c>
      <c r="F97" s="2857">
        <v>15</v>
      </c>
    </row>
    <row r="98" spans="1:6" ht="24">
      <c r="A98" s="2857">
        <v>26</v>
      </c>
      <c r="B98" s="3450"/>
      <c r="C98" s="2831" t="s">
        <v>2705</v>
      </c>
      <c r="D98" s="2831" t="s">
        <v>2706</v>
      </c>
      <c r="E98" s="2857">
        <v>0.1</v>
      </c>
      <c r="F98" s="2857">
        <v>15</v>
      </c>
    </row>
    <row r="99" spans="1:6" ht="24">
      <c r="A99" s="2857">
        <v>27</v>
      </c>
      <c r="B99" s="3450"/>
      <c r="C99" s="2831" t="s">
        <v>2707</v>
      </c>
      <c r="D99" s="2831" t="s">
        <v>2708</v>
      </c>
      <c r="E99" s="2857">
        <v>0.1</v>
      </c>
      <c r="F99" s="2857">
        <v>15</v>
      </c>
    </row>
    <row r="100" spans="1:6" ht="13.5">
      <c r="A100" s="2857">
        <v>28</v>
      </c>
      <c r="B100" s="3450"/>
      <c r="C100" s="2831" t="s">
        <v>2709</v>
      </c>
      <c r="D100" s="2831" t="s">
        <v>2710</v>
      </c>
      <c r="E100" s="2857">
        <v>0.1</v>
      </c>
      <c r="F100" s="2857">
        <v>15</v>
      </c>
    </row>
    <row r="101" spans="1:6" ht="13.5">
      <c r="A101" s="2857">
        <v>29</v>
      </c>
      <c r="B101" s="3450"/>
      <c r="C101" s="2831" t="s">
        <v>2711</v>
      </c>
      <c r="D101" s="2831" t="s">
        <v>2712</v>
      </c>
      <c r="E101" s="2857">
        <v>0.1</v>
      </c>
      <c r="F101" s="2857">
        <v>15</v>
      </c>
    </row>
    <row r="102" spans="1:6" ht="13.5">
      <c r="A102" s="2857">
        <v>30</v>
      </c>
      <c r="B102" s="3450"/>
      <c r="C102" s="2831" t="s">
        <v>2713</v>
      </c>
      <c r="D102" s="2831" t="s">
        <v>2714</v>
      </c>
      <c r="E102" s="2857">
        <v>0.1</v>
      </c>
      <c r="F102" s="2857">
        <v>15</v>
      </c>
    </row>
    <row r="103" spans="1:6" ht="24">
      <c r="A103" s="2857">
        <v>31</v>
      </c>
      <c r="B103" s="3450"/>
      <c r="C103" s="2831" t="s">
        <v>2715</v>
      </c>
      <c r="D103" s="2831" t="s">
        <v>2716</v>
      </c>
      <c r="E103" s="2857">
        <v>0.1</v>
      </c>
      <c r="F103" s="2857">
        <v>15</v>
      </c>
    </row>
    <row r="104" spans="1:6" ht="24">
      <c r="A104" s="2857">
        <v>32</v>
      </c>
      <c r="B104" s="3450"/>
      <c r="C104" s="2831" t="s">
        <v>2717</v>
      </c>
      <c r="D104" s="2831" t="s">
        <v>2718</v>
      </c>
      <c r="E104" s="2857">
        <v>0.1</v>
      </c>
      <c r="F104" s="2857">
        <v>15</v>
      </c>
    </row>
    <row r="105" spans="1:6" ht="24">
      <c r="A105" s="2857">
        <v>33</v>
      </c>
      <c r="B105" s="3450"/>
      <c r="C105" s="2831" t="s">
        <v>2719</v>
      </c>
      <c r="D105" s="2831" t="s">
        <v>2720</v>
      </c>
      <c r="E105" s="2857">
        <v>0.1</v>
      </c>
      <c r="F105" s="2857">
        <v>15</v>
      </c>
    </row>
    <row r="106" spans="1:6" ht="24">
      <c r="A106" s="2857">
        <v>34</v>
      </c>
      <c r="B106" s="3459"/>
      <c r="C106" s="2831" t="s">
        <v>2721</v>
      </c>
      <c r="D106" s="2831" t="s">
        <v>2722</v>
      </c>
      <c r="E106" s="2857">
        <v>0.1</v>
      </c>
      <c r="F106" s="2857">
        <v>15</v>
      </c>
    </row>
    <row r="107" spans="1:6" ht="24">
      <c r="A107" s="2857">
        <v>35</v>
      </c>
      <c r="B107" s="3455" t="s">
        <v>2723</v>
      </c>
      <c r="C107" s="2857" t="s">
        <v>2724</v>
      </c>
      <c r="D107" s="2831" t="s">
        <v>2725</v>
      </c>
      <c r="E107" s="2857">
        <v>0.15</v>
      </c>
      <c r="F107" s="2857">
        <v>20</v>
      </c>
    </row>
    <row r="108" spans="1:6" ht="13.5">
      <c r="A108" s="2857">
        <v>36</v>
      </c>
      <c r="B108" s="3450"/>
      <c r="C108" s="2857" t="s">
        <v>2726</v>
      </c>
      <c r="D108" s="2831" t="s">
        <v>2727</v>
      </c>
      <c r="E108" s="2857">
        <v>0.15</v>
      </c>
      <c r="F108" s="2857">
        <v>20</v>
      </c>
    </row>
    <row r="109" spans="1:6" ht="13.5">
      <c r="A109" s="2857">
        <v>37</v>
      </c>
      <c r="B109" s="3450"/>
      <c r="C109" s="2857" t="s">
        <v>2728</v>
      </c>
      <c r="D109" s="2831" t="s">
        <v>2729</v>
      </c>
      <c r="E109" s="2857">
        <v>0.15</v>
      </c>
      <c r="F109" s="2857">
        <v>20</v>
      </c>
    </row>
    <row r="110" spans="1:6" ht="13.5">
      <c r="A110" s="2857">
        <v>38</v>
      </c>
      <c r="B110" s="3450"/>
      <c r="C110" s="2857" t="s">
        <v>2730</v>
      </c>
      <c r="D110" s="2831" t="s">
        <v>2731</v>
      </c>
      <c r="E110" s="2857">
        <v>0.1</v>
      </c>
      <c r="F110" s="2857">
        <v>15</v>
      </c>
    </row>
    <row r="111" spans="1:6" ht="24">
      <c r="A111" s="2857">
        <v>39</v>
      </c>
      <c r="B111" s="3450"/>
      <c r="C111" s="2857" t="s">
        <v>2732</v>
      </c>
      <c r="D111" s="2831" t="s">
        <v>2733</v>
      </c>
      <c r="E111" s="2857">
        <v>0.1</v>
      </c>
      <c r="F111" s="2857">
        <v>15</v>
      </c>
    </row>
    <row r="112" spans="1:6" ht="24">
      <c r="A112" s="2857">
        <v>40</v>
      </c>
      <c r="B112" s="3459"/>
      <c r="C112" s="2857" t="s">
        <v>2734</v>
      </c>
      <c r="D112" s="2831" t="s">
        <v>2735</v>
      </c>
      <c r="E112" s="2857">
        <v>0.1</v>
      </c>
      <c r="F112" s="2857">
        <v>15</v>
      </c>
    </row>
    <row r="113" spans="1:6" ht="13.5">
      <c r="A113" s="2857">
        <v>41</v>
      </c>
      <c r="B113" s="3460" t="s">
        <v>2736</v>
      </c>
      <c r="C113" s="2857" t="s">
        <v>2737</v>
      </c>
      <c r="D113" s="2831" t="s">
        <v>2738</v>
      </c>
      <c r="E113" s="2857">
        <v>0.1</v>
      </c>
      <c r="F113" s="2857">
        <v>15</v>
      </c>
    </row>
    <row r="114" spans="1:6" ht="13.5">
      <c r="A114" s="2857">
        <v>42</v>
      </c>
      <c r="B114" s="3460"/>
      <c r="C114" s="2857" t="s">
        <v>2739</v>
      </c>
      <c r="D114" s="2831" t="s">
        <v>2740</v>
      </c>
      <c r="E114" s="2857">
        <v>0.1</v>
      </c>
      <c r="F114" s="2857">
        <v>15</v>
      </c>
    </row>
    <row r="115" spans="1:6" ht="24">
      <c r="A115" s="2857">
        <v>43</v>
      </c>
      <c r="B115" s="3460"/>
      <c r="C115" s="2857" t="s">
        <v>2741</v>
      </c>
      <c r="D115" s="2831" t="s">
        <v>2742</v>
      </c>
      <c r="E115" s="2857">
        <v>0.1</v>
      </c>
      <c r="F115" s="2857">
        <v>15</v>
      </c>
    </row>
    <row r="116" spans="1:6" ht="13.5">
      <c r="A116" s="2857">
        <v>44</v>
      </c>
      <c r="B116" s="3455" t="s">
        <v>2743</v>
      </c>
      <c r="C116" s="2857" t="s">
        <v>2744</v>
      </c>
      <c r="D116" s="2831" t="s">
        <v>2745</v>
      </c>
      <c r="E116" s="2857">
        <v>0.1</v>
      </c>
      <c r="F116" s="2857">
        <v>15</v>
      </c>
    </row>
    <row r="117" spans="1:6" ht="24">
      <c r="A117" s="2857">
        <v>45</v>
      </c>
      <c r="B117" s="3459"/>
      <c r="C117" s="2831" t="s">
        <v>2746</v>
      </c>
      <c r="D117" s="2831" t="s">
        <v>2747</v>
      </c>
      <c r="E117" s="2857">
        <v>0.1</v>
      </c>
      <c r="F117" s="2857">
        <v>15</v>
      </c>
    </row>
    <row r="118" spans="1:6" ht="24">
      <c r="A118" s="2857">
        <v>46</v>
      </c>
      <c r="B118" s="3455" t="s">
        <v>2748</v>
      </c>
      <c r="C118" s="2857" t="s">
        <v>2749</v>
      </c>
      <c r="D118" s="2831" t="s">
        <v>2750</v>
      </c>
      <c r="E118" s="2857">
        <v>0.1</v>
      </c>
      <c r="F118" s="2857">
        <v>15</v>
      </c>
    </row>
    <row r="119" spans="1:6" ht="24">
      <c r="A119" s="2857">
        <v>47</v>
      </c>
      <c r="B119" s="3459"/>
      <c r="C119" s="2857" t="s">
        <v>2751</v>
      </c>
      <c r="D119" s="2831" t="s">
        <v>2752</v>
      </c>
      <c r="E119" s="2857">
        <v>0.1</v>
      </c>
      <c r="F119" s="2857">
        <v>15</v>
      </c>
    </row>
    <row r="120" spans="1:6" ht="13.5">
      <c r="A120" s="2857">
        <v>48</v>
      </c>
      <c r="B120" s="3455" t="s">
        <v>2753</v>
      </c>
      <c r="C120" s="2857" t="s">
        <v>2754</v>
      </c>
      <c r="D120" s="2831" t="s">
        <v>2755</v>
      </c>
      <c r="E120" s="2857">
        <v>0.1</v>
      </c>
      <c r="F120" s="2857">
        <v>15</v>
      </c>
    </row>
    <row r="121" spans="1:6" ht="13.5">
      <c r="A121" s="2857">
        <v>49</v>
      </c>
      <c r="B121" s="3459"/>
      <c r="C121" s="2857" t="s">
        <v>2756</v>
      </c>
      <c r="D121" s="2831" t="s">
        <v>2757</v>
      </c>
      <c r="E121" s="2857">
        <v>0.1</v>
      </c>
      <c r="F121" s="2857">
        <v>15</v>
      </c>
    </row>
    <row r="122" spans="1:6" ht="24">
      <c r="A122" s="2857">
        <v>50</v>
      </c>
      <c r="B122" s="3460" t="s">
        <v>2758</v>
      </c>
      <c r="C122" s="2857" t="s">
        <v>2759</v>
      </c>
      <c r="D122" s="2831" t="s">
        <v>2760</v>
      </c>
      <c r="E122" s="2857">
        <v>0.1</v>
      </c>
      <c r="F122" s="2857">
        <v>15</v>
      </c>
    </row>
    <row r="123" spans="1:6" ht="24">
      <c r="A123" s="2857">
        <v>51</v>
      </c>
      <c r="B123" s="3460"/>
      <c r="C123" s="2857" t="s">
        <v>2761</v>
      </c>
      <c r="D123" s="2831" t="s">
        <v>2762</v>
      </c>
      <c r="E123" s="2857">
        <v>0.1</v>
      </c>
      <c r="F123" s="2857">
        <v>15</v>
      </c>
    </row>
    <row r="124" spans="1:6" ht="24">
      <c r="A124" s="2857">
        <v>52</v>
      </c>
      <c r="B124" s="3460" t="s">
        <v>2763</v>
      </c>
      <c r="C124" s="2857" t="s">
        <v>2764</v>
      </c>
      <c r="D124" s="2831" t="s">
        <v>2765</v>
      </c>
      <c r="E124" s="2857">
        <v>0.1</v>
      </c>
      <c r="F124" s="2857">
        <v>15</v>
      </c>
    </row>
    <row r="125" spans="1:6" ht="24">
      <c r="A125" s="2857">
        <v>53</v>
      </c>
      <c r="B125" s="3460"/>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460" t="s">
        <v>2771</v>
      </c>
      <c r="C127" s="2857" t="s">
        <v>2772</v>
      </c>
      <c r="D127" s="2831" t="s">
        <v>2773</v>
      </c>
      <c r="E127" s="2857">
        <v>0.1</v>
      </c>
      <c r="F127" s="2857">
        <v>15</v>
      </c>
    </row>
    <row r="128" spans="1:6" ht="13.5">
      <c r="A128" s="2857">
        <v>56</v>
      </c>
      <c r="B128" s="3460"/>
      <c r="C128" s="2857" t="s">
        <v>2774</v>
      </c>
      <c r="D128" s="2831" t="s">
        <v>2775</v>
      </c>
      <c r="E128" s="2857">
        <v>0.1</v>
      </c>
      <c r="F128" s="2857">
        <v>15</v>
      </c>
    </row>
    <row r="129" spans="1:6" ht="24">
      <c r="A129" s="2857">
        <v>57</v>
      </c>
      <c r="B129" s="3460"/>
      <c r="C129" s="2857" t="s">
        <v>2776</v>
      </c>
      <c r="D129" s="2831" t="s">
        <v>2777</v>
      </c>
      <c r="E129" s="2857">
        <v>0.1</v>
      </c>
      <c r="F129" s="2857">
        <v>15</v>
      </c>
    </row>
    <row r="130" spans="1:6" ht="24">
      <c r="A130" s="2857">
        <v>58</v>
      </c>
      <c r="B130" s="3460" t="s">
        <v>2778</v>
      </c>
      <c r="C130" s="2857" t="s">
        <v>2779</v>
      </c>
      <c r="D130" s="2831" t="s">
        <v>2780</v>
      </c>
      <c r="E130" s="2857">
        <v>0.1</v>
      </c>
      <c r="F130" s="2857">
        <v>15</v>
      </c>
    </row>
    <row r="131" spans="1:6" ht="13.5">
      <c r="A131" s="2857">
        <v>59</v>
      </c>
      <c r="B131" s="3460"/>
      <c r="C131" s="2857" t="s">
        <v>2781</v>
      </c>
      <c r="D131" s="2831" t="s">
        <v>2782</v>
      </c>
      <c r="E131" s="2857">
        <v>0.1</v>
      </c>
      <c r="F131" s="2857">
        <v>15</v>
      </c>
    </row>
    <row r="132" spans="1:6" ht="13.5">
      <c r="A132" s="2857">
        <v>60</v>
      </c>
      <c r="B132" s="3455" t="s">
        <v>2783</v>
      </c>
      <c r="C132" s="2857" t="s">
        <v>2784</v>
      </c>
      <c r="D132" s="2831" t="s">
        <v>2785</v>
      </c>
      <c r="E132" s="2857">
        <v>0.1</v>
      </c>
      <c r="F132" s="2857">
        <v>15</v>
      </c>
    </row>
    <row r="133" spans="1:6" ht="13.5">
      <c r="A133" s="2857">
        <v>61</v>
      </c>
      <c r="B133" s="3459"/>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460" t="s">
        <v>2791</v>
      </c>
      <c r="C135" s="2857" t="s">
        <v>2792</v>
      </c>
      <c r="D135" s="2831" t="s">
        <v>2793</v>
      </c>
      <c r="E135" s="2857">
        <v>0.1</v>
      </c>
      <c r="F135" s="2857">
        <v>15</v>
      </c>
    </row>
    <row r="136" spans="1:6" ht="13.5">
      <c r="A136" s="2857">
        <v>64</v>
      </c>
      <c r="B136" s="3460"/>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估价结果一览表（市场价值不需“结果表-1”）</v>
      </c>
      <c r="B3" s="3150"/>
      <c r="C3" s="3150"/>
      <c r="D3" s="3150"/>
      <c r="E3" s="3150"/>
    </row>
    <row r="4" spans="1:5" ht="19.5" thickBot="1">
      <c r="A4" s="1391"/>
      <c r="B4" s="3148" t="s">
        <v>917</v>
      </c>
      <c r="C4" s="3148"/>
      <c r="D4" s="3148"/>
      <c r="E4" s="1391"/>
    </row>
    <row r="5" spans="1:5" ht="16.5" thickTop="1">
      <c r="B5" s="3146" t="s">
        <v>909</v>
      </c>
      <c r="C5" s="1392" t="s">
        <v>910</v>
      </c>
      <c r="D5" s="797" t="e">
        <f ca="1">结果表!H101</f>
        <v>#REF!</v>
      </c>
    </row>
    <row r="6" spans="1:5" ht="15.75">
      <c r="B6" s="3146"/>
      <c r="C6" s="1392" t="s">
        <v>911</v>
      </c>
      <c r="D6" s="797" t="e">
        <f ca="1">NUMBERSTRING(INT(D5*10000),2)&amp;"元整"</f>
        <v>#REF!</v>
      </c>
    </row>
    <row r="7" spans="1:5" ht="15.75">
      <c r="B7" s="3151"/>
      <c r="C7" s="1393" t="s">
        <v>912</v>
      </c>
      <c r="D7" s="798" t="e">
        <f ca="1">结果表!H102</f>
        <v>#REF!</v>
      </c>
    </row>
    <row r="8" spans="1:5" ht="15.75">
      <c r="B8" s="3152" t="str">
        <f>结果表!E103</f>
        <v>2.估价师知悉的法定优先受偿款</v>
      </c>
      <c r="C8" s="1394" t="s">
        <v>913</v>
      </c>
      <c r="D8" s="798">
        <f>结果表!H103</f>
        <v>0</v>
      </c>
    </row>
    <row r="9" spans="1:5" ht="15.75">
      <c r="B9" s="315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5" t="str">
        <f>结果表!E107</f>
        <v>3.房地产抵押价值</v>
      </c>
      <c r="C13" s="1397" t="s">
        <v>910</v>
      </c>
      <c r="D13" s="800" t="e">
        <f ca="1">结果表!H107</f>
        <v>#REF!</v>
      </c>
    </row>
    <row r="14" spans="1:5" ht="15.75">
      <c r="B14" s="3146"/>
      <c r="C14" s="1392" t="s">
        <v>911</v>
      </c>
      <c r="D14" s="797" t="e">
        <f ca="1">NUMBERSTRING(INT(D13*10000),2)&amp;"元整"</f>
        <v>#REF!</v>
      </c>
    </row>
    <row r="15" spans="1:5" ht="15">
      <c r="B15" s="3151"/>
      <c r="C15" s="1393" t="s">
        <v>921</v>
      </c>
      <c r="D15" s="806" t="e">
        <f ca="1">结果表!H108</f>
        <v>#REF!</v>
      </c>
    </row>
    <row r="16" spans="1:5" ht="15">
      <c r="B16" s="3152" t="str">
        <f>结果表!E109</f>
        <v>——</v>
      </c>
      <c r="C16" s="1397" t="s">
        <v>922</v>
      </c>
      <c r="D16" s="1398" t="str">
        <f>结果表!H109</f>
        <v>——</v>
      </c>
    </row>
    <row r="17" spans="1:5" ht="15.75">
      <c r="B17" s="3153"/>
      <c r="C17" s="1392" t="s">
        <v>923</v>
      </c>
      <c r="D17" s="797" t="e">
        <f>NUMBERSTRING(INT(D16*10000),2)&amp;"元整"</f>
        <v>#VALUE!</v>
      </c>
    </row>
    <row r="18" spans="1:5" ht="15">
      <c r="B18" s="3154"/>
      <c r="C18" s="1393" t="s">
        <v>912</v>
      </c>
      <c r="D18" s="806" t="str">
        <f>结果表!H110</f>
        <v>——</v>
      </c>
    </row>
    <row r="19" spans="1:5" ht="15.75">
      <c r="B19" s="3145" t="str">
        <f>结果表!E111</f>
        <v>——</v>
      </c>
      <c r="C19" s="1397" t="s">
        <v>910</v>
      </c>
      <c r="D19" s="798" t="str">
        <f>结果表!H111</f>
        <v>——</v>
      </c>
    </row>
    <row r="20" spans="1:5" ht="15.75">
      <c r="B20" s="3146"/>
      <c r="C20" s="1392" t="s">
        <v>923</v>
      </c>
      <c r="D20" s="797" t="e">
        <f>NUMBERSTRING(INT(D19*10000),2)&amp;"元整"</f>
        <v>#VALUE!</v>
      </c>
    </row>
    <row r="21" spans="1:5" ht="15.75" thickBot="1">
      <c r="B21" s="314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1.0286999999999999</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0.97430000000000005</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25459</v>
      </c>
      <c r="C2" s="2" t="s">
        <v>106</v>
      </c>
      <c r="D2" s="191"/>
      <c r="E2" s="191"/>
      <c r="F2" s="191"/>
      <c r="G2" s="191"/>
    </row>
    <row r="3" spans="1:7" s="192" customFormat="1" ht="18" customHeight="1" thickBot="1">
      <c r="A3" s="195" t="s">
        <v>58</v>
      </c>
      <c r="B3" s="196">
        <f ca="1">ROUND(B2*10000/'数据-汇总表'!E3,0)</f>
        <v>985408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258.36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258.36</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1362</v>
      </c>
      <c r="D22" s="227">
        <f ca="1">C26</f>
        <v>0</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1362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f>C28</f>
        <v>4000</v>
      </c>
      <c r="D27" s="227">
        <f>C29</f>
        <v>0</v>
      </c>
      <c r="E27" s="228" t="s">
        <v>99</v>
      </c>
      <c r="F27" s="238">
        <f>'数据-取费表'!Q16</f>
        <v>0.2</v>
      </c>
      <c r="G27" s="239" t="s">
        <v>431</v>
      </c>
    </row>
    <row r="28" spans="1:7" s="206" customFormat="1" ht="13.5" customHeight="1">
      <c r="A28" s="734" t="s">
        <v>349</v>
      </c>
      <c r="B28" s="240" t="s">
        <v>424</v>
      </c>
      <c r="C28" s="241">
        <f>ROUND((C5+C19+C20)*F27*'数据-取费表'!B21/'数据-取费表'!B20,0)</f>
        <v>4000</v>
      </c>
      <c r="D28" s="227"/>
      <c r="E28" s="228"/>
      <c r="F28" s="238"/>
      <c r="G28" s="239"/>
    </row>
    <row r="29" spans="1:7" s="206" customFormat="1" ht="13.5" customHeight="1">
      <c r="A29" s="734" t="s">
        <v>347</v>
      </c>
      <c r="B29" s="240" t="s">
        <v>425</v>
      </c>
      <c r="C29" s="230">
        <f>ROUND(C21*F27*'数据-取费表'!B21/'数据-取费表'!B20,4)</f>
        <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f ca="1">ROUND((C5+C19+C20+C22+C27)/(1-C21-D22-D27-C30/(1+'数据-取费表'!B42)),0)</f>
        <v>25362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103</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258.36</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3</v>
      </c>
      <c r="D41" s="227">
        <f ca="1">C44</f>
        <v>0</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26" t="s">
        <v>94</v>
      </c>
    </row>
    <row r="43" spans="1:7" ht="13.5" customHeight="1">
      <c r="A43" s="734" t="s">
        <v>347</v>
      </c>
      <c r="B43" s="207" t="s">
        <v>426</v>
      </c>
      <c r="C43" s="230">
        <f ca="1">ROUND(IF('数据-取费表'!B22&lt;=1,C39*F22*'数据-取费表'!B21/2,C39*(POWER((1+F22),'数据-取费表'!B21/2)-1)),0)</f>
        <v>0</v>
      </c>
      <c r="D43" s="230"/>
      <c r="E43" s="230"/>
      <c r="F43" s="231"/>
      <c r="G43" s="3327"/>
    </row>
    <row r="44" spans="1:7" ht="13.5" customHeight="1">
      <c r="A44" s="734" t="s">
        <v>348</v>
      </c>
      <c r="B44" s="207" t="s">
        <v>428</v>
      </c>
      <c r="C44" s="230">
        <f ca="1">ROUND(IF('数据-取费表'!B22&lt;=1,C40*F22*'数据-取费表'!B21/2,C40*(POWER((1+F22),'数据-取费表'!B21/2)-1)),4)</f>
        <v>0</v>
      </c>
      <c r="D44" s="230"/>
      <c r="E44" s="230"/>
      <c r="F44" s="231"/>
      <c r="G44" s="3328"/>
    </row>
    <row r="45" spans="1:7" s="206" customFormat="1" ht="13.5" customHeight="1">
      <c r="A45" s="731" t="s">
        <v>341</v>
      </c>
      <c r="B45" s="236" t="s">
        <v>85</v>
      </c>
      <c r="C45" s="237">
        <f>C46</f>
        <v>21</v>
      </c>
      <c r="D45" s="227">
        <f>C47</f>
        <v>0</v>
      </c>
      <c r="E45" s="228" t="s">
        <v>102</v>
      </c>
      <c r="F45" s="238"/>
      <c r="G45" s="239" t="s">
        <v>434</v>
      </c>
    </row>
    <row r="46" spans="1:7" s="206" customFormat="1" ht="13.5" customHeight="1">
      <c r="A46" s="734" t="s">
        <v>349</v>
      </c>
      <c r="B46" s="240" t="s">
        <v>427</v>
      </c>
      <c r="C46" s="241">
        <f>ROUND((C33+C39)*F27,0)</f>
        <v>21</v>
      </c>
      <c r="D46" s="255"/>
      <c r="E46" s="228"/>
      <c r="F46" s="238"/>
      <c r="G46" s="239"/>
    </row>
    <row r="47" spans="1:7" s="206" customFormat="1" ht="13.5" customHeight="1">
      <c r="A47" s="734" t="s">
        <v>347</v>
      </c>
      <c r="B47" s="240" t="s">
        <v>429</v>
      </c>
      <c r="C47" s="230">
        <f>ROUND(C40*F27,4)</f>
        <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f ca="1">ROUND((C33+C39+C41+C45)/(1-C40-D41-D45-C48/(1+'数据-取费表'!B42)),0)</f>
        <v>127</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97</v>
      </c>
      <c r="D51" s="224"/>
      <c r="E51" s="224"/>
      <c r="F51" s="256"/>
      <c r="G51" s="226" t="s">
        <v>37</v>
      </c>
    </row>
    <row r="52" spans="1:7" s="200" customFormat="1" ht="16.5" thickBot="1">
      <c r="A52" s="257" t="s">
        <v>38</v>
      </c>
      <c r="B52" s="258"/>
      <c r="C52" s="259">
        <f ca="1">C31+C51</f>
        <v>25459</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63" t="s">
        <v>2841</v>
      </c>
      <c r="B1" s="3463"/>
      <c r="C1" s="3463"/>
      <c r="D1" s="3463"/>
      <c r="E1" s="3463"/>
      <c r="F1" s="3463"/>
      <c r="G1" s="3464"/>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61"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462"/>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65" t="s">
        <v>3183</v>
      </c>
      <c r="B1" s="3465"/>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66" t="s">
        <v>3234</v>
      </c>
      <c r="B1" s="3466"/>
      <c r="C1" s="3466"/>
      <c r="D1" s="3466"/>
      <c r="E1" s="3466"/>
      <c r="F1" s="3467"/>
    </row>
    <row r="2" spans="1:6" ht="14.25">
      <c r="A2" s="3002" t="s">
        <v>3235</v>
      </c>
    </row>
    <row r="3" spans="1:6" ht="14.25">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7">
        <f>基准地价修正!G23</f>
        <v>45546</v>
      </c>
      <c r="B1" s="2929" t="s">
        <v>3373</v>
      </c>
      <c r="C1" s="2930"/>
      <c r="D1" s="2930"/>
      <c r="E1" s="2930"/>
      <c r="F1" s="2930"/>
      <c r="G1" s="2930"/>
      <c r="H1" s="2930"/>
      <c r="I1" s="2930"/>
      <c r="J1" s="2896"/>
      <c r="K1" s="2930" t="s">
        <v>454</v>
      </c>
      <c r="L1" s="2930"/>
      <c r="M1" s="2930"/>
      <c r="N1" s="2930"/>
      <c r="O1" s="2930"/>
      <c r="P1" s="2930"/>
      <c r="Q1" s="2896"/>
      <c r="R1" s="3468" t="s">
        <v>456</v>
      </c>
      <c r="S1" s="3469"/>
      <c r="T1" s="3469"/>
      <c r="U1" s="3469"/>
      <c r="V1" s="3469"/>
      <c r="W1" s="3469"/>
      <c r="X1" s="2896"/>
      <c r="Y1" s="3468" t="s">
        <v>457</v>
      </c>
      <c r="Z1" s="3469"/>
      <c r="AA1" s="3469"/>
      <c r="AB1" s="3469"/>
      <c r="AC1" s="3469"/>
      <c r="AD1" s="3469"/>
    </row>
    <row r="2" spans="1:30" s="2009" customFormat="1" ht="14.25" thickBot="1">
      <c r="B2" s="2881"/>
      <c r="C2" s="2882"/>
      <c r="D2" s="2010" t="s">
        <v>2812</v>
      </c>
      <c r="E2" s="2011" t="s">
        <v>2813</v>
      </c>
      <c r="F2" s="2011" t="s">
        <v>2814</v>
      </c>
      <c r="G2" s="2011" t="s">
        <v>2815</v>
      </c>
      <c r="H2" s="2011" t="s">
        <v>2816</v>
      </c>
      <c r="I2" s="2011" t="s">
        <v>2633</v>
      </c>
      <c r="J2" s="2883"/>
      <c r="K2" s="2010" t="s">
        <v>2812</v>
      </c>
      <c r="L2" s="2011" t="s">
        <v>2813</v>
      </c>
      <c r="M2" s="2011" t="s">
        <v>2814</v>
      </c>
      <c r="N2" s="2011" t="s">
        <v>2815</v>
      </c>
      <c r="O2" s="2011" t="s">
        <v>2817</v>
      </c>
      <c r="P2" s="2011" t="s">
        <v>2633</v>
      </c>
      <c r="Q2" s="2883"/>
      <c r="R2" s="2010" t="s">
        <v>2812</v>
      </c>
      <c r="S2" s="2011" t="s">
        <v>2813</v>
      </c>
      <c r="T2" s="2011" t="s">
        <v>2814</v>
      </c>
      <c r="U2" s="2011" t="s">
        <v>2818</v>
      </c>
      <c r="V2" s="2011" t="s">
        <v>2819</v>
      </c>
      <c r="W2" s="2011" t="s">
        <v>2633</v>
      </c>
      <c r="X2" s="2883"/>
      <c r="Y2" s="2010" t="s">
        <v>2812</v>
      </c>
      <c r="Z2" s="2011" t="s">
        <v>2813</v>
      </c>
      <c r="AA2" s="2011" t="s">
        <v>2814</v>
      </c>
      <c r="AB2" s="2011" t="s">
        <v>2820</v>
      </c>
      <c r="AC2" s="2011" t="s">
        <v>2819</v>
      </c>
      <c r="AD2" s="2011" t="s">
        <v>2633</v>
      </c>
    </row>
    <row r="3" spans="1:30" s="2886" customFormat="1" ht="12.75">
      <c r="A3" s="2884" t="s">
        <v>2821</v>
      </c>
      <c r="B3" s="2885"/>
      <c r="D3" s="2886">
        <f>ROUND(AVERAGEIF(D4:D21,"&lt;&gt;0"),2)</f>
        <v>0.59</v>
      </c>
      <c r="E3" s="2886">
        <f t="shared" ref="E3:H3" si="0">ROUND(AVERAGEIF(E4:E21,"&lt;&gt;0"),2)</f>
        <v>0.36</v>
      </c>
      <c r="F3" s="2886">
        <f t="shared" si="0"/>
        <v>0.06</v>
      </c>
      <c r="G3" s="2886">
        <f t="shared" si="0"/>
        <v>0.6</v>
      </c>
      <c r="H3" s="2886">
        <f t="shared" si="0"/>
        <v>0.6</v>
      </c>
      <c r="I3" s="2886">
        <f>F3</f>
        <v>0.06</v>
      </c>
      <c r="J3" s="2887"/>
      <c r="K3" s="2888">
        <f>ROUND(AVERAGEIF(K4:K21,"&lt;&gt;0"),4)</f>
        <v>5.8999999999999999E-3</v>
      </c>
      <c r="L3" s="2889">
        <f t="shared" ref="L3:O3" si="1">ROUND(AVERAGEIF(L4:L21,"&lt;&gt;0"),4)</f>
        <v>3.5999999999999999E-3</v>
      </c>
      <c r="M3" s="2889">
        <f t="shared" si="1"/>
        <v>5.9999999999999995E-4</v>
      </c>
      <c r="N3" s="2889">
        <f t="shared" si="1"/>
        <v>6.0000000000000001E-3</v>
      </c>
      <c r="O3" s="2889">
        <f t="shared" si="1"/>
        <v>6.0000000000000001E-3</v>
      </c>
      <c r="P3" s="2889">
        <f>M3</f>
        <v>5.9999999999999995E-4</v>
      </c>
      <c r="Q3" s="2887"/>
      <c r="R3" s="2890">
        <f>ROUND(SUMPRODUCT(PRODUCT(1+K4:K21)),4)</f>
        <v>1.0852999999999999</v>
      </c>
      <c r="S3" s="2891">
        <f t="shared" ref="S3:V3" si="2">ROUND(SUMPRODUCT(PRODUCT(1+L4:L21)),4)</f>
        <v>1.0513999999999999</v>
      </c>
      <c r="T3" s="2891">
        <f t="shared" si="2"/>
        <v>1.0083</v>
      </c>
      <c r="U3" s="2891">
        <f t="shared" si="2"/>
        <v>1.0871999999999999</v>
      </c>
      <c r="V3" s="2891">
        <f t="shared" si="2"/>
        <v>1.0880000000000001</v>
      </c>
      <c r="W3" s="2890">
        <f>T3</f>
        <v>1.0083</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3384</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3385</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1.0748</v>
      </c>
      <c r="S6" s="2913">
        <f>ROUND(IF(项目基本情况!$B$8="出让",SUMPRODUCT(PRODUCT(1+L6:$L$21)),SUMPRODUCT(PRODUCT(1+L6:$L$20))),4)</f>
        <v>1.0498000000000001</v>
      </c>
      <c r="T6" s="2913">
        <f>ROUND(IF(项目基本情况!$B$8="出让",SUMPRODUCT(PRODUCT(1+M6:$M$21)),SUMPRODUCT(PRODUCT(1+M6:$M$20))),4)</f>
        <v>1.0107999999999999</v>
      </c>
      <c r="U6" s="2913">
        <f>ROUND(IF(项目基本情况!$B$8="出让",SUMPRODUCT(PRODUCT(1+N6:$N$21)),SUMPRODUCT(PRODUCT(1+N6:$N$20))),4)</f>
        <v>1.0752999999999999</v>
      </c>
      <c r="V6" s="2913">
        <f>ROUND(IF(项目基本情况!$B$8="出让",SUMPRODUCT(PRODUCT(1+O6:$O$21)),SUMPRODUCT(PRODUCT(1+O6:$O$20))),4)</f>
        <v>1.0841000000000001</v>
      </c>
      <c r="W6" s="2913">
        <f>T6</f>
        <v>1.0107999999999999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0</v>
      </c>
      <c r="E7" s="2006">
        <v>0</v>
      </c>
      <c r="F7" s="2006">
        <v>0</v>
      </c>
      <c r="G7" s="2006">
        <v>0</v>
      </c>
      <c r="H7" s="2006">
        <v>0</v>
      </c>
      <c r="I7" s="2007">
        <f t="shared" ref="I7" si="26">F7</f>
        <v>0</v>
      </c>
      <c r="J7" s="2906"/>
      <c r="K7" s="2042">
        <f t="shared" ref="K7" si="27">D7/100</f>
        <v>0</v>
      </c>
      <c r="L7" s="2027">
        <f t="shared" ref="L7" si="28">E7/100</f>
        <v>0</v>
      </c>
      <c r="M7" s="2027">
        <f t="shared" ref="M7" si="29">F7/100</f>
        <v>0</v>
      </c>
      <c r="N7" s="2027">
        <f t="shared" ref="N7" si="30">G7/100</f>
        <v>0</v>
      </c>
      <c r="O7" s="2027">
        <f t="shared" ref="O7" si="31">H7/100</f>
        <v>0</v>
      </c>
      <c r="P7" s="2027">
        <f>M7</f>
        <v>0</v>
      </c>
      <c r="Q7" s="2906"/>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6"/>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2.75">
      <c r="A8" s="2905" t="s">
        <v>3386</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3381</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3377</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3376</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3372</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3371</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3370</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3366</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3357</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2822</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2823</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2824</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2825</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2826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3368</v>
      </c>
    </row>
    <row r="24" spans="1:30">
      <c r="I24" s="1405" t="s">
        <v>2827</v>
      </c>
    </row>
    <row r="26" spans="1:30" s="2008" customFormat="1" ht="12.75">
      <c r="B26" s="2929" t="s">
        <v>3374</v>
      </c>
      <c r="C26" s="2930"/>
      <c r="D26" s="2930"/>
      <c r="E26" s="2930"/>
      <c r="F26" s="2930"/>
      <c r="G26" s="2930"/>
      <c r="H26" s="2930"/>
      <c r="I26" s="2930"/>
      <c r="J26" s="2896"/>
      <c r="K26" s="2930" t="s">
        <v>2828</v>
      </c>
      <c r="L26" s="2930"/>
      <c r="M26" s="2930"/>
      <c r="N26" s="2930"/>
      <c r="O26" s="2930"/>
      <c r="P26" s="2930"/>
      <c r="Q26" s="2896"/>
      <c r="R26" s="3468" t="s">
        <v>2829</v>
      </c>
      <c r="S26" s="3469"/>
      <c r="T26" s="3469"/>
      <c r="U26" s="3469"/>
      <c r="V26" s="3469"/>
      <c r="W26" s="3469"/>
      <c r="X26" s="2896"/>
      <c r="Y26" s="3468" t="s">
        <v>2830</v>
      </c>
      <c r="Z26" s="3469"/>
      <c r="AA26" s="3469"/>
      <c r="AB26" s="3469"/>
      <c r="AC26" s="3469"/>
      <c r="AD26" s="3469"/>
    </row>
    <row r="27" spans="1:30" s="2009" customFormat="1" ht="14.25" thickBot="1">
      <c r="B27" s="2881"/>
      <c r="C27" s="2882"/>
      <c r="D27" s="2010" t="s">
        <v>2831</v>
      </c>
      <c r="E27" s="2011" t="s">
        <v>2832</v>
      </c>
      <c r="F27" s="2011" t="s">
        <v>2833</v>
      </c>
      <c r="G27" s="2011" t="s">
        <v>2834</v>
      </c>
      <c r="H27" s="2011"/>
      <c r="I27" s="2011" t="s">
        <v>2835</v>
      </c>
      <c r="J27" s="2883"/>
      <c r="K27" s="2010" t="s">
        <v>2831</v>
      </c>
      <c r="L27" s="2011" t="s">
        <v>2832</v>
      </c>
      <c r="M27" s="2011" t="s">
        <v>2833</v>
      </c>
      <c r="N27" s="2011" t="s">
        <v>2834</v>
      </c>
      <c r="O27" s="2011"/>
      <c r="P27" s="2011" t="s">
        <v>2835</v>
      </c>
      <c r="Q27" s="2883"/>
      <c r="R27" s="2010" t="s">
        <v>2831</v>
      </c>
      <c r="S27" s="2011" t="s">
        <v>2832</v>
      </c>
      <c r="T27" s="2011" t="s">
        <v>2833</v>
      </c>
      <c r="U27" s="2011" t="s">
        <v>2834</v>
      </c>
      <c r="V27" s="2011"/>
      <c r="W27" s="2011" t="s">
        <v>2835</v>
      </c>
      <c r="X27" s="2883"/>
      <c r="Y27" s="2010" t="s">
        <v>2831</v>
      </c>
      <c r="Z27" s="2011" t="s">
        <v>2832</v>
      </c>
      <c r="AA27" s="2011" t="s">
        <v>2833</v>
      </c>
      <c r="AB27" s="2011" t="s">
        <v>2834</v>
      </c>
      <c r="AC27" s="2011"/>
      <c r="AD27" s="2011" t="s">
        <v>2835</v>
      </c>
    </row>
    <row r="28" spans="1:30" s="2886" customFormat="1" ht="12.75">
      <c r="A28" s="2884" t="s">
        <v>2836</v>
      </c>
      <c r="B28" s="2885"/>
      <c r="E28" s="2886">
        <f t="shared" ref="E28:G28" si="65">ROUND(AVERAGEIF(E29:E46,"&lt;&gt;0"),2)</f>
        <v>0.33</v>
      </c>
      <c r="F28" s="2886">
        <f t="shared" si="65"/>
        <v>0.24</v>
      </c>
      <c r="G28" s="2886">
        <f t="shared" si="65"/>
        <v>0.62</v>
      </c>
      <c r="I28" s="2886">
        <f>F28</f>
        <v>0.24</v>
      </c>
      <c r="J28" s="2887"/>
      <c r="K28" s="2888"/>
      <c r="L28" s="2889">
        <f t="shared" ref="L28:N28" si="66">ROUND(AVERAGEIF(L29:L46,"&lt;&gt;0"),4)</f>
        <v>3.3E-3</v>
      </c>
      <c r="M28" s="2889">
        <f t="shared" si="66"/>
        <v>2.3999999999999998E-3</v>
      </c>
      <c r="N28" s="2889">
        <f t="shared" si="66"/>
        <v>6.1999999999999998E-3</v>
      </c>
      <c r="O28" s="2889"/>
      <c r="P28" s="2889">
        <f>M28</f>
        <v>2.3999999999999998E-3</v>
      </c>
      <c r="Q28" s="2887"/>
      <c r="R28" s="2890"/>
      <c r="S28" s="2891">
        <f>ROUND(SUMPRODUCT(PRODUCT(1+L29:L46)),4)</f>
        <v>1.0468999999999999</v>
      </c>
      <c r="T28" s="2891">
        <f t="shared" ref="T28:U28" si="67">ROUND(SUMPRODUCT(PRODUCT(1+M29:M46)),4)</f>
        <v>1.0347</v>
      </c>
      <c r="U28" s="2891">
        <f t="shared" si="67"/>
        <v>1.0895999999999999</v>
      </c>
      <c r="V28" s="2891"/>
      <c r="W28" s="2890">
        <f>T28</f>
        <v>1.0347</v>
      </c>
      <c r="X28" s="2887"/>
      <c r="Y28" s="2892"/>
      <c r="Z28" s="2893">
        <f t="shared" ref="Z28:AB28" si="68">ROUND(AVERAGEIF(Z29:Z46,"&lt;&gt;0"),4)</f>
        <v>4.1999999999999997E-3</v>
      </c>
      <c r="AA28" s="2894">
        <f t="shared" si="68"/>
        <v>3.3999999999999998E-3</v>
      </c>
      <c r="AB28" s="2892">
        <f t="shared" si="68"/>
        <v>8.6E-3</v>
      </c>
      <c r="AC28" s="2895"/>
      <c r="AD28" s="2892">
        <f>AA28</f>
        <v>3.3999999999999998E-3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3384</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3387</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1.0432999999999999</v>
      </c>
      <c r="T31" s="2913">
        <f>ROUND(IF(项目基本情况!$B$8="出让",SUMPRODUCT(PRODUCT(1+M31:M$46)),SUMPRODUCT(PRODUCT(1+M31:M$45))),4)</f>
        <v>1.0298</v>
      </c>
      <c r="U31" s="2913">
        <f>ROUND(IF(项目基本情况!$B$8="出让",SUMPRODUCT(PRODUCT(1+N31:N$46)),SUMPRODUCT(PRODUCT(1+N31:N$45))),4)</f>
        <v>1.079</v>
      </c>
      <c r="V31" s="2913"/>
      <c r="W31" s="2913">
        <f>T31</f>
        <v>1.0298</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3379</v>
      </c>
      <c r="B32" s="2030">
        <v>2024</v>
      </c>
      <c r="C32" s="2041">
        <v>3</v>
      </c>
      <c r="D32" s="2006"/>
      <c r="E32" s="2006">
        <v>0</v>
      </c>
      <c r="F32" s="2006">
        <v>0</v>
      </c>
      <c r="G32" s="2006">
        <v>0</v>
      </c>
      <c r="H32" s="2006"/>
      <c r="I32" s="2007">
        <f t="shared" ref="I32" si="83">F32</f>
        <v>0</v>
      </c>
      <c r="J32" s="2906"/>
      <c r="K32" s="2042"/>
      <c r="L32" s="2027">
        <f t="shared" ref="L32" si="84">E32/100</f>
        <v>0</v>
      </c>
      <c r="M32" s="2027">
        <f t="shared" ref="M32" si="85">F32/100</f>
        <v>0</v>
      </c>
      <c r="N32" s="2027">
        <f t="shared" ref="N32" si="86">G32/100</f>
        <v>0</v>
      </c>
      <c r="O32" s="2027"/>
      <c r="P32" s="2027">
        <f>M32</f>
        <v>0</v>
      </c>
      <c r="Q32" s="2906"/>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6"/>
      <c r="Y32" s="2027"/>
      <c r="Z32" s="2902">
        <f t="shared" ref="Z32:AB33" si="87">IF(E32=0,0,ROUND(AVERAGE(E32:E45)/100,4))</f>
        <v>0</v>
      </c>
      <c r="AA32" s="2902">
        <f t="shared" si="87"/>
        <v>0</v>
      </c>
      <c r="AB32" s="2902">
        <f t="shared" si="87"/>
        <v>0</v>
      </c>
      <c r="AC32" s="2904"/>
      <c r="AD32" s="2027">
        <f>IF(I32=0,0,ROUND(AVERAGE(I32:I45)/100,4))</f>
        <v>0</v>
      </c>
    </row>
    <row r="33" spans="1:30" s="2044" customFormat="1" ht="12.75">
      <c r="A33" s="2905" t="s">
        <v>3388</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3380</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3378</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3376</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3375</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3371</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3370</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3367</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3357</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2837</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2838</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2839</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2840</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2826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3369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3" t="s">
        <v>452</v>
      </c>
      <c r="C1" s="3473"/>
      <c r="D1" s="3473"/>
      <c r="E1" s="3473"/>
      <c r="F1" s="3473"/>
      <c r="G1" s="3469" t="s">
        <v>453</v>
      </c>
      <c r="H1" s="3469"/>
      <c r="I1" s="3469"/>
      <c r="J1" s="3469"/>
      <c r="K1" s="3469"/>
      <c r="L1" s="3469"/>
      <c r="N1" s="3469" t="s">
        <v>454</v>
      </c>
      <c r="O1" s="3469"/>
      <c r="P1" s="3469"/>
      <c r="Q1" s="3469"/>
      <c r="S1" s="3469" t="s">
        <v>455</v>
      </c>
      <c r="T1" s="3469"/>
      <c r="U1" s="3469"/>
      <c r="V1" s="3469"/>
      <c r="X1" s="3468" t="s">
        <v>456</v>
      </c>
      <c r="Y1" s="3469"/>
      <c r="Z1" s="3469"/>
      <c r="AA1" s="3469"/>
      <c r="AB1" s="3469"/>
      <c r="AD1" s="3468" t="s">
        <v>457</v>
      </c>
      <c r="AE1" s="3469"/>
      <c r="AF1" s="3469"/>
      <c r="AG1" s="3469"/>
      <c r="AH1" s="346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7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7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7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7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7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45546</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5" t="str">
        <f>IF(项目基本情况!B9="房地产市场价值","估价结果一览表","结果表-2")</f>
        <v>估价结果一览表</v>
      </c>
      <c r="B1" s="3155"/>
      <c r="C1" s="3155"/>
      <c r="D1" s="3155"/>
      <c r="E1" s="3155"/>
      <c r="F1" s="3155"/>
      <c r="G1" s="3155"/>
      <c r="H1" s="3155"/>
      <c r="I1" s="3155"/>
    </row>
    <row r="2" spans="1:9" ht="30" customHeight="1" thickTop="1">
      <c r="A2" s="3156" t="s">
        <v>928</v>
      </c>
      <c r="B2" s="3156" t="s">
        <v>929</v>
      </c>
      <c r="C2" s="3156" t="s">
        <v>930</v>
      </c>
      <c r="D2" s="3156" t="str">
        <f>结果表!D116</f>
        <v>出让国有建设用地使用权价值</v>
      </c>
      <c r="E2" s="3156"/>
      <c r="F2" s="3156" t="str">
        <f>结果表!F116</f>
        <v>在建建筑物价值</v>
      </c>
      <c r="G2" s="3156"/>
      <c r="H2" s="3156" t="str">
        <f>IF(项目基本情况!B9="房地产市场价值","房地产市场价值","房地产价值")</f>
        <v>房地产市场价值</v>
      </c>
      <c r="I2" s="3156"/>
    </row>
    <row r="3" spans="1:9" ht="15">
      <c r="A3" s="3157"/>
      <c r="B3" s="3157"/>
      <c r="C3" s="3157"/>
      <c r="D3" s="801" t="s">
        <v>925</v>
      </c>
      <c r="E3" s="801" t="s">
        <v>931</v>
      </c>
      <c r="F3" s="801" t="s">
        <v>925</v>
      </c>
      <c r="G3" s="801" t="s">
        <v>926</v>
      </c>
      <c r="H3" s="801" t="s">
        <v>925</v>
      </c>
      <c r="I3" s="801" t="s">
        <v>926</v>
      </c>
    </row>
    <row r="4" spans="1:9" ht="15">
      <c r="A4" s="1403" t="str">
        <f>项目基本情况!S2</f>
        <v>北京市房地产</v>
      </c>
      <c r="B4" s="801">
        <f>项目基本情况!C17</f>
        <v>258.36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7" t="s">
        <v>927</v>
      </c>
      <c r="B5" s="3157"/>
      <c r="C5" s="3157"/>
      <c r="D5" s="3157" t="e">
        <f ca="1">结果表!D119</f>
        <v>#REF!</v>
      </c>
      <c r="E5" s="3157"/>
      <c r="F5" s="3157" t="e">
        <f ca="1">结果表!F119</f>
        <v>#REF!</v>
      </c>
      <c r="G5" s="3157"/>
      <c r="H5" s="3157" t="e">
        <f ca="1">结果表!H119</f>
        <v>#REF!</v>
      </c>
      <c r="I5" s="3157"/>
    </row>
    <row r="6" spans="1:9" ht="15.75">
      <c r="A6" s="3158" t="str">
        <f>结果表!A120</f>
        <v/>
      </c>
      <c r="B6" s="3158"/>
      <c r="C6" s="3158"/>
      <c r="D6" s="3158">
        <f>结果表!D120</f>
        <v>0</v>
      </c>
      <c r="E6" s="3158"/>
      <c r="F6" s="3158"/>
      <c r="G6" s="3158"/>
      <c r="H6" s="3158"/>
      <c r="I6" s="3158"/>
    </row>
    <row r="7" spans="1:9" ht="15">
      <c r="A7" s="3157" t="s">
        <v>927</v>
      </c>
      <c r="B7" s="3157"/>
      <c r="C7" s="3157"/>
      <c r="D7" s="3159" t="str">
        <f>结果表!D121</f>
        <v>零元整</v>
      </c>
      <c r="E7" s="3160"/>
      <c r="F7" s="3160"/>
      <c r="G7" s="3160"/>
      <c r="H7" s="3160"/>
      <c r="I7" s="3161"/>
    </row>
    <row r="8" spans="1:9" ht="15.75">
      <c r="A8" s="3158" t="str">
        <f>结果表!A122</f>
        <v/>
      </c>
      <c r="B8" s="3158"/>
      <c r="C8" s="3158"/>
      <c r="D8" s="3158" t="e">
        <f ca="1">结果表!D122</f>
        <v>#REF!</v>
      </c>
      <c r="E8" s="3158"/>
      <c r="F8" s="3158"/>
      <c r="G8" s="3158"/>
      <c r="H8" s="3158"/>
      <c r="I8" s="3158"/>
    </row>
    <row r="9" spans="1:9" ht="15">
      <c r="A9" s="3157" t="s">
        <v>927</v>
      </c>
      <c r="B9" s="3157"/>
      <c r="C9" s="3157"/>
      <c r="D9" s="3157" t="e">
        <f ca="1">结果表!D123</f>
        <v>#REF!</v>
      </c>
      <c r="E9" s="3157"/>
      <c r="F9" s="3157"/>
      <c r="G9" s="3157"/>
      <c r="H9" s="3157"/>
      <c r="I9" s="3157"/>
    </row>
    <row r="10" spans="1:9" ht="15.75">
      <c r="A10" s="3158" t="str">
        <f>结果表!A124</f>
        <v/>
      </c>
      <c r="B10" s="3158"/>
      <c r="C10" s="3158"/>
      <c r="D10" s="3158" t="str">
        <f>结果表!D124</f>
        <v>——</v>
      </c>
      <c r="E10" s="3158"/>
      <c r="F10" s="3158"/>
      <c r="G10" s="3158"/>
      <c r="H10" s="3158"/>
      <c r="I10" s="3158"/>
    </row>
    <row r="11" spans="1:9" ht="15">
      <c r="A11" s="3157" t="s">
        <v>927</v>
      </c>
      <c r="B11" s="3157"/>
      <c r="C11" s="3157"/>
      <c r="D11" s="3157" t="e">
        <f>结果表!D125</f>
        <v>#VALUE!</v>
      </c>
      <c r="E11" s="3157"/>
      <c r="F11" s="3157"/>
      <c r="G11" s="3157"/>
      <c r="H11" s="3157"/>
      <c r="I11" s="3157"/>
    </row>
    <row r="12" spans="1:9" ht="15.75">
      <c r="A12" s="3158" t="str">
        <f>结果表!A126</f>
        <v/>
      </c>
      <c r="B12" s="3158"/>
      <c r="C12" s="3158"/>
      <c r="D12" s="3158" t="str">
        <f>结果表!D126</f>
        <v>——</v>
      </c>
      <c r="E12" s="3158"/>
      <c r="F12" s="3158"/>
      <c r="G12" s="3158"/>
      <c r="H12" s="3158"/>
      <c r="I12" s="3158"/>
    </row>
    <row r="13" spans="1:9" ht="15.75" thickBot="1">
      <c r="A13" s="3162" t="s">
        <v>927</v>
      </c>
      <c r="B13" s="3162"/>
      <c r="C13" s="3162"/>
      <c r="D13" s="3162" t="e">
        <f>结果表!D127</f>
        <v>#VALUE!</v>
      </c>
      <c r="E13" s="3162"/>
      <c r="F13" s="3162"/>
      <c r="G13" s="3162"/>
      <c r="H13" s="3162"/>
      <c r="I13" s="3162"/>
    </row>
    <row r="14" spans="1:9" ht="15" thickTop="1">
      <c r="A14" s="3163" t="s">
        <v>932</v>
      </c>
      <c r="B14" s="3163"/>
      <c r="C14" s="3163"/>
      <c r="D14" s="3163"/>
      <c r="E14" s="3163"/>
      <c r="F14" s="3163"/>
      <c r="G14" s="3163"/>
      <c r="H14" s="3163"/>
      <c r="I14" s="316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4" t="s">
        <v>949</v>
      </c>
      <c r="B1" s="3164"/>
      <c r="C1" s="3164"/>
      <c r="D1" s="3164"/>
    </row>
    <row r="2" spans="1:4" ht="18">
      <c r="A2" s="3165" t="s">
        <v>933</v>
      </c>
      <c r="B2" s="3165"/>
      <c r="C2" s="3165"/>
      <c r="D2" s="316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5" t="s">
        <v>939</v>
      </c>
      <c r="B6" s="3165"/>
      <c r="C6" s="3165"/>
      <c r="D6" s="316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66" t="s">
        <v>942</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8"/>
      <c r="C12" s="3168"/>
      <c r="D12" s="3168"/>
    </row>
    <row r="13" spans="1:4" ht="30" customHeight="1">
      <c r="A13" s="3167" t="str">
        <f>IF(项目基本情况!B8="抵押","3.抵押双方在办理抵押登记手续时，应使用本公司出具的正式《房地产评估报告》，特提醒报告使用者注意。","——")</f>
        <v>——</v>
      </c>
      <c r="B13" s="3168"/>
      <c r="C13" s="3168"/>
      <c r="D13" s="3168"/>
    </row>
    <row r="14" spans="1:4" ht="15.75" customHeight="1">
      <c r="A14" s="3167" t="str">
        <f>IF(项目基本情况!B8="抵押","4.本次评估估价师所知悉的法定优先受偿款情况说明如下：","——")</f>
        <v>——</v>
      </c>
      <c r="B14" s="3168"/>
      <c r="C14" s="3168"/>
      <c r="D14" s="3168"/>
    </row>
    <row r="15" spans="1:4" ht="42" customHeight="1">
      <c r="A15" s="3167" t="str">
        <f>IF(项目基本情况!B8="抵押","（1）"&amp;CONCATENATE(项目基本情况!L20,项目基本情况!L21,项目基本情况!L22),"——")</f>
        <v>——</v>
      </c>
      <c r="B15" s="3167"/>
      <c r="C15" s="3167"/>
      <c r="D15" s="3167"/>
    </row>
    <row r="16" spans="1:4" ht="30" customHeight="1">
      <c r="A16" s="3170" t="s">
        <v>943</v>
      </c>
      <c r="B16" s="3170"/>
      <c r="C16" s="3170"/>
      <c r="D16" s="3170"/>
    </row>
    <row r="17" spans="1:4" ht="144" customHeight="1">
      <c r="A17" s="3170" t="s">
        <v>944</v>
      </c>
      <c r="B17" s="3170"/>
      <c r="C17" s="3170"/>
      <c r="D17" s="3170"/>
    </row>
    <row r="18" spans="1:4" ht="15.75" customHeight="1">
      <c r="A18" s="3167" t="str">
        <f>IF(项目基本情况!B8="抵押",结果表!K120,"——")</f>
        <v>——</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7"/>
      <c r="C20" s="3167"/>
      <c r="D20" s="3167"/>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945</v>
      </c>
      <c r="B22" s="3172"/>
      <c r="C22" s="3172"/>
      <c r="D22" s="317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9">
        <v>42551</v>
      </c>
      <c r="D31" s="31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8" t="s">
        <v>956</v>
      </c>
      <c r="B15" s="3173" t="s">
        <v>109</v>
      </c>
      <c r="C15" s="3174"/>
    </row>
    <row r="16" spans="1:7" ht="13.5">
      <c r="A16" s="3179"/>
      <c r="B16" s="3173" t="s">
        <v>42</v>
      </c>
      <c r="C16" s="3174"/>
    </row>
    <row r="17" spans="1:3" ht="13.5">
      <c r="A17" s="3179"/>
      <c r="B17" s="3176" t="s">
        <v>957</v>
      </c>
      <c r="C17" s="1429" t="s">
        <v>956</v>
      </c>
    </row>
    <row r="18" spans="1:3" ht="13.5">
      <c r="A18" s="3179"/>
      <c r="B18" s="3176"/>
      <c r="C18" s="1429" t="s">
        <v>958</v>
      </c>
    </row>
    <row r="19" spans="1:3" ht="13.5">
      <c r="A19" s="3179"/>
      <c r="B19" s="3176"/>
      <c r="C19" s="1429" t="s">
        <v>959</v>
      </c>
    </row>
    <row r="20" spans="1:3" ht="13.5">
      <c r="A20" s="3180"/>
      <c r="B20" s="3175" t="s">
        <v>960</v>
      </c>
      <c r="C20" s="3174"/>
    </row>
    <row r="21" spans="1:3" ht="13.5">
      <c r="A21" s="1430" t="s">
        <v>961</v>
      </c>
      <c r="B21" s="1431"/>
      <c r="C21" s="1432"/>
    </row>
    <row r="22" spans="1:3" ht="13.5">
      <c r="A22" s="3177" t="s">
        <v>962</v>
      </c>
      <c r="B22" s="3175" t="s">
        <v>963</v>
      </c>
      <c r="C22" s="3174"/>
    </row>
    <row r="23" spans="1:3" ht="13.5">
      <c r="A23" s="3177"/>
      <c r="B23" s="3175" t="s">
        <v>964</v>
      </c>
      <c r="C23" s="3174"/>
    </row>
    <row r="24" spans="1:3" ht="13.5">
      <c r="A24" s="3177"/>
      <c r="B24" s="3175" t="s">
        <v>965</v>
      </c>
      <c r="C24" s="3174"/>
    </row>
    <row r="25" spans="1:3" ht="13.5">
      <c r="A25" s="3177"/>
      <c r="B25" s="3176" t="s">
        <v>966</v>
      </c>
      <c r="C25" s="1429" t="s">
        <v>967</v>
      </c>
    </row>
    <row r="26" spans="1:3" ht="13.5">
      <c r="A26" s="3177"/>
      <c r="B26" s="3176"/>
      <c r="C26" s="1429" t="s">
        <v>968</v>
      </c>
    </row>
    <row r="27" spans="1:3" ht="13.5">
      <c r="A27" s="3177"/>
      <c r="B27" s="3176"/>
      <c r="C27" s="1429" t="s">
        <v>969</v>
      </c>
    </row>
    <row r="28" spans="1:3" ht="13.5">
      <c r="A28" s="3177"/>
      <c r="B28" s="3176"/>
      <c r="C28" s="1429" t="s">
        <v>970</v>
      </c>
    </row>
    <row r="29" spans="1:3" ht="13.5">
      <c r="A29" s="3177"/>
      <c r="B29" s="3176"/>
      <c r="C29" s="1429" t="s">
        <v>971</v>
      </c>
    </row>
    <row r="30" spans="1:3" ht="13.5">
      <c r="A30" s="3177"/>
      <c r="B30" s="3176"/>
      <c r="C30" s="1429" t="s">
        <v>972</v>
      </c>
    </row>
    <row r="31" spans="1:3" ht="13.5">
      <c r="A31" s="3177"/>
      <c r="B31" s="3176"/>
      <c r="C31" s="1429" t="s">
        <v>973</v>
      </c>
    </row>
    <row r="32" spans="1:3" ht="13.5">
      <c r="A32" s="3177"/>
      <c r="B32" s="3176"/>
      <c r="C32" s="1429" t="s">
        <v>974</v>
      </c>
    </row>
    <row r="33" spans="1:3" ht="13.5">
      <c r="A33" s="3177"/>
      <c r="B33" s="317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45576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2439</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81" t="s">
        <v>2160</v>
      </c>
      <c r="B17" s="3181"/>
      <c r="C17" s="3181"/>
      <c r="D17" s="3181"/>
      <c r="E17" s="3181"/>
      <c r="F17" s="3181"/>
      <c r="G17" s="3181"/>
      <c r="H17" s="3181"/>
    </row>
    <row r="18" spans="1:8" ht="24" customHeight="1">
      <c r="A18" s="3182" t="s">
        <v>2161</v>
      </c>
      <c r="B18" s="3182"/>
      <c r="C18" s="3182"/>
      <c r="D18" s="2159"/>
      <c r="E18" s="3183" t="s">
        <v>2162</v>
      </c>
      <c r="F18" s="3182"/>
      <c r="G18" s="318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案例</vt:lpstr>
      <vt:lpstr>法拍</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2024-10-11T09:32:47Z</dcterms:modified>
</cp:coreProperties>
</file>