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74" l="1"/>
  <c r="G16" i="74"/>
  <c r="D17" i="74"/>
  <c r="G17" i="74"/>
  <c r="D18" i="74"/>
  <c r="G18" i="74"/>
  <c r="D19" i="74"/>
  <c r="G19" i="74"/>
  <c r="D20" i="74"/>
  <c r="G20" i="74"/>
  <c r="D21" i="74"/>
  <c r="G21" i="74"/>
  <c r="D22" i="74"/>
  <c r="G22" i="74"/>
  <c r="D23" i="74"/>
  <c r="G23" i="74"/>
  <c r="D15" i="74"/>
  <c r="G15" i="74"/>
  <c r="C17" i="74"/>
  <c r="C18" i="74"/>
  <c r="C19" i="74"/>
  <c r="C20" i="74"/>
  <c r="C21" i="74"/>
  <c r="C22" i="74"/>
  <c r="C23" i="74"/>
  <c r="C16" i="74"/>
  <c r="C15" i="74"/>
  <c r="B23" i="74"/>
  <c r="B22" i="74"/>
  <c r="B21" i="74"/>
  <c r="B20" i="74"/>
  <c r="B19" i="74"/>
  <c r="B18" i="74"/>
  <c r="B17" i="74"/>
  <c r="B16" i="74"/>
  <c r="B15"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F21"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D9" i="68"/>
  <c r="D19" i="68"/>
  <c r="D37" i="68"/>
  <c r="C40" i="68"/>
  <c r="E27" i="6"/>
  <c r="K19" i="6"/>
  <c r="L19" i="6"/>
  <c r="M19" i="6"/>
  <c r="I19" i="6"/>
  <c r="H19" i="6"/>
  <c r="R19" i="6"/>
  <c r="R6" i="1"/>
  <c r="H19" i="39"/>
  <c r="AB19" i="39"/>
  <c r="H17" i="39"/>
  <c r="AB17" i="39"/>
  <c r="H21" i="39"/>
  <c r="AB21" i="39"/>
  <c r="G46" i="39"/>
  <c r="T46" i="39"/>
  <c r="G7"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I7"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B22" i="1"/>
  <c r="E1" i="73"/>
  <c r="K1" i="73"/>
  <c r="B23" i="1"/>
  <c r="C19" i="68"/>
  <c r="E37" i="68"/>
  <c r="N6" i="1"/>
  <c r="N16" i="1"/>
  <c r="F50" i="68"/>
  <c r="F17" i="15"/>
  <c r="F23" i="15"/>
  <c r="F21" i="15"/>
  <c r="C17" i="9"/>
  <c r="D17" i="9"/>
  <c r="C18" i="9"/>
  <c r="D18" i="9"/>
  <c r="I5" i="39"/>
  <c r="G5" i="39"/>
  <c r="E5" i="39"/>
  <c r="Y6" i="1"/>
  <c r="D3" i="66"/>
  <c r="I3" i="66"/>
  <c r="I4" i="66"/>
  <c r="I5" i="66"/>
  <c r="I6" i="66"/>
  <c r="I7" i="66"/>
  <c r="I8" i="66"/>
  <c r="I9" i="66"/>
  <c r="I10" i="66"/>
  <c r="C28" i="66"/>
  <c r="I21" i="66"/>
  <c r="I13" i="66"/>
  <c r="I14" i="66"/>
  <c r="I15" i="66"/>
  <c r="I18" i="66"/>
  <c r="I19" i="66"/>
  <c r="I20" i="66"/>
  <c r="C29" i="66"/>
  <c r="C27" i="66"/>
  <c r="C31" i="66"/>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2" i="66"/>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33" i="15"/>
  <c r="F61" i="15"/>
  <c r="M19" i="15"/>
  <c r="O10" i="1"/>
  <c r="B43"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B52" i="1"/>
  <c r="M20" i="15"/>
  <c r="T4" i="1"/>
  <c r="F15"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F6" i="1"/>
  <c r="U17" i="39"/>
  <c r="S14" i="35"/>
  <c r="U43" i="21"/>
  <c r="U35" i="21"/>
  <c r="AC35" i="21"/>
  <c r="U10" i="21"/>
  <c r="G8" i="1"/>
  <c r="G9" i="1"/>
  <c r="G10" i="1"/>
  <c r="B41"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c r="B16" i="49"/>
  <c r="B14" i="49"/>
  <c r="E7" i="49"/>
  <c r="E22" i="49"/>
  <c r="D23" i="15"/>
  <c r="D22" i="15"/>
  <c r="E6" i="49"/>
  <c r="B5" i="49"/>
  <c r="B13" i="49"/>
  <c r="E4" i="4"/>
  <c r="B9"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D5" i="73"/>
  <c r="F8" i="15"/>
  <c r="F9" i="15"/>
  <c r="F4" i="73"/>
  <c r="C14" i="15"/>
  <c r="F16" i="15"/>
  <c r="F43" i="15"/>
  <c r="F36" i="15"/>
  <c r="F13" i="15"/>
  <c r="F37" i="15"/>
  <c r="F38" i="15"/>
  <c r="F42" i="15"/>
  <c r="L48" i="15"/>
  <c r="M6" i="15"/>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G1" i="73"/>
  <c r="F6" i="15"/>
  <c r="F7" i="15"/>
  <c r="F35" i="15"/>
  <c r="F26" i="15"/>
  <c r="F40" i="15"/>
  <c r="M8" i="15"/>
  <c r="M9" i="15"/>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C37" i="68"/>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C27" i="15"/>
  <c r="C34" i="15"/>
  <c r="F63" i="15"/>
  <c r="C62" i="15"/>
  <c r="M7" i="15"/>
  <c r="J6" i="15"/>
  <c r="F50" i="15"/>
  <c r="C6" i="15"/>
  <c r="B40" i="1"/>
  <c r="F64" i="67"/>
  <c r="F65" i="67"/>
  <c r="Q71" i="15"/>
  <c r="C27" i="67"/>
  <c r="F51" i="67"/>
  <c r="C49" i="67"/>
  <c r="B10" i="70"/>
  <c r="B11" i="70"/>
  <c r="J57" i="15"/>
  <c r="J55" i="15"/>
  <c r="J58" i="15"/>
  <c r="Q50" i="15"/>
  <c r="J53" i="15"/>
  <c r="I54" i="15"/>
  <c r="L56" i="15"/>
  <c r="L60" i="15"/>
  <c r="L57" i="15"/>
  <c r="F66" i="15"/>
  <c r="F65" i="15"/>
  <c r="F64" i="15"/>
  <c r="F71" i="15"/>
  <c r="C18" i="15"/>
  <c r="C15" i="15"/>
  <c r="I1" i="73"/>
  <c r="B39" i="1"/>
  <c r="F51" i="15"/>
  <c r="C10" i="69"/>
  <c r="C8" i="69"/>
  <c r="C5" i="69"/>
  <c r="C19" i="69"/>
  <c r="D37" i="69"/>
  <c r="C37" i="69"/>
  <c r="C33" i="69"/>
  <c r="C35" i="68"/>
  <c r="C38" i="68"/>
  <c r="C36" i="68"/>
  <c r="C16" i="67"/>
  <c r="C14" i="67"/>
  <c r="M17" i="67"/>
  <c r="M17" i="15"/>
  <c r="C17" i="15"/>
  <c r="C17" i="67"/>
  <c r="F59" i="67"/>
  <c r="F59" i="15"/>
  <c r="C16" i="15"/>
  <c r="C33" i="68"/>
  <c r="C49" i="15"/>
  <c r="B3" i="76"/>
  <c r="C21" i="12"/>
  <c r="C18" i="67"/>
  <c r="C15" i="67"/>
  <c r="C39" i="68"/>
  <c r="C39" i="69"/>
  <c r="C19" i="15"/>
  <c r="M11" i="67"/>
  <c r="J10" i="67"/>
  <c r="F11" i="15"/>
  <c r="M11" i="15"/>
  <c r="F11" i="67"/>
  <c r="Q66" i="15"/>
  <c r="Q57" i="15"/>
  <c r="F1" i="15"/>
  <c r="Q52" i="15"/>
  <c r="J5" i="67"/>
  <c r="F22" i="68"/>
  <c r="F24" i="15"/>
  <c r="C24" i="15"/>
  <c r="F25" i="12"/>
  <c r="F24" i="67"/>
  <c r="C24" i="67"/>
  <c r="F22" i="11"/>
  <c r="F22" i="69"/>
  <c r="C24" i="69"/>
  <c r="O17" i="43"/>
  <c r="M17" i="43"/>
  <c r="P17" i="43"/>
  <c r="N17" i="43"/>
  <c r="Q74" i="15"/>
  <c r="Q61" i="15"/>
  <c r="Q73" i="15"/>
  <c r="Q60" i="15"/>
  <c r="Q74" i="67"/>
  <c r="Q61" i="67"/>
  <c r="C20" i="69"/>
  <c r="J10" i="15"/>
  <c r="J5" i="15"/>
  <c r="Q60" i="67"/>
  <c r="Q73" i="67"/>
  <c r="AE6" i="1"/>
  <c r="F41" i="15"/>
  <c r="C19" i="67"/>
  <c r="C43" i="69"/>
  <c r="C23" i="69"/>
  <c r="C25" i="69"/>
  <c r="C22" i="12"/>
  <c r="F69" i="15"/>
  <c r="C43" i="68"/>
  <c r="C20" i="67"/>
  <c r="J26" i="15"/>
  <c r="J29" i="15"/>
  <c r="J24" i="15"/>
  <c r="J18" i="15"/>
  <c r="C25" i="11"/>
  <c r="C44" i="11"/>
  <c r="D41" i="11"/>
  <c r="C23" i="11"/>
  <c r="C26" i="11"/>
  <c r="D22" i="11"/>
  <c r="C24" i="11"/>
  <c r="C43" i="11"/>
  <c r="C42" i="11"/>
  <c r="C41" i="11"/>
  <c r="C26" i="12"/>
  <c r="D25" i="12"/>
  <c r="C27" i="12"/>
  <c r="C25" i="12"/>
  <c r="C44" i="68"/>
  <c r="D41" i="68"/>
  <c r="C24" i="68"/>
  <c r="C26" i="68"/>
  <c r="D22" i="68"/>
  <c r="C10" i="67"/>
  <c r="C5" i="67"/>
  <c r="C53" i="67"/>
  <c r="C48" i="67"/>
  <c r="C10" i="15"/>
  <c r="C5" i="15"/>
  <c r="C53" i="15"/>
  <c r="C48" i="15"/>
  <c r="C20" i="15"/>
  <c r="C23" i="15"/>
  <c r="C26" i="15"/>
  <c r="C29" i="15"/>
  <c r="C26" i="69"/>
  <c r="D22" i="69"/>
  <c r="C44" i="69"/>
  <c r="D41" i="69"/>
  <c r="J24" i="67"/>
  <c r="J18" i="67"/>
  <c r="J26" i="67"/>
  <c r="J29" i="67"/>
  <c r="C42" i="69"/>
  <c r="C41" i="69"/>
  <c r="C42" i="68"/>
  <c r="C41" i="68"/>
  <c r="C22" i="69"/>
  <c r="C36" i="15"/>
  <c r="C13" i="15"/>
  <c r="J19" i="15"/>
  <c r="Q49" i="15"/>
  <c r="C57" i="15"/>
  <c r="J14" i="15"/>
  <c r="J59" i="15"/>
  <c r="J60" i="15"/>
  <c r="C60" i="15"/>
  <c r="C66" i="15"/>
  <c r="C60" i="67"/>
  <c r="C66" i="67"/>
  <c r="C22" i="11"/>
  <c r="J17" i="15"/>
  <c r="C23" i="67"/>
  <c r="C32" i="15"/>
  <c r="C33" i="15"/>
  <c r="C38" i="15"/>
  <c r="C32" i="67"/>
  <c r="C38" i="67"/>
  <c r="C26" i="67"/>
  <c r="C29" i="67"/>
  <c r="J19" i="67"/>
  <c r="J17" i="67"/>
  <c r="C31" i="15"/>
  <c r="J22" i="15"/>
  <c r="J13" i="15"/>
  <c r="J23" i="15"/>
  <c r="J16" i="15"/>
  <c r="J25" i="15"/>
  <c r="C37" i="15"/>
  <c r="C30" i="15"/>
  <c r="C39" i="15"/>
  <c r="C56" i="15"/>
  <c r="C65" i="15"/>
  <c r="C75" i="15"/>
  <c r="Q70" i="15"/>
  <c r="C13" i="67"/>
  <c r="Q48" i="15"/>
  <c r="L46" i="15"/>
  <c r="C61" i="15"/>
  <c r="C59" i="15"/>
  <c r="C64" i="15"/>
  <c r="C57" i="67"/>
  <c r="C61" i="67"/>
  <c r="C59" i="67"/>
  <c r="J14" i="67"/>
  <c r="J22" i="67"/>
  <c r="C36" i="67"/>
  <c r="J59" i="67"/>
  <c r="J60" i="67"/>
  <c r="L46" i="67"/>
  <c r="Q49" i="67"/>
  <c r="C33" i="67"/>
  <c r="C31" i="67"/>
  <c r="C58" i="15"/>
  <c r="C67" i="15"/>
  <c r="C68" i="15"/>
  <c r="C40"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B2" i="15"/>
  <c r="C43" i="15"/>
  <c r="Q65" i="15"/>
  <c r="Q75" i="15"/>
  <c r="Q47" i="15"/>
  <c r="Q53" i="15"/>
  <c r="Q56" i="15"/>
  <c r="Q62" i="15"/>
  <c r="C83" i="15"/>
  <c r="C82" i="15"/>
  <c r="L51" i="67"/>
  <c r="AO6" i="1"/>
  <c r="D19" i="9"/>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D13" i="53"/>
  <c r="B30" i="72"/>
  <c r="D14" i="53"/>
  <c r="B32" i="72"/>
  <c r="D8" i="52"/>
  <c r="D123" i="9"/>
  <c r="D9" i="52"/>
  <c r="E96" i="9"/>
  <c r="E97" i="9"/>
  <c r="E80" i="9"/>
  <c r="E81" i="9"/>
  <c r="C64" i="9"/>
  <c r="C63" i="9"/>
  <c r="C67" i="9"/>
  <c r="C68" i="9"/>
  <c r="D54" i="9"/>
  <c r="D52" i="9"/>
  <c r="C5" i="74"/>
  <c r="D5" i="74"/>
  <c r="D5" i="53"/>
  <c r="B20" i="72"/>
  <c r="D6" i="53"/>
  <c r="B22" i="72"/>
  <c r="H108" i="9"/>
  <c r="D15" i="53"/>
  <c r="B31" i="72"/>
  <c r="M48" i="9"/>
  <c r="I118" i="9"/>
  <c r="B3" i="68"/>
  <c r="C57" i="68"/>
  <c r="D35" i="9"/>
  <c r="C35" i="9"/>
  <c r="F118" i="9"/>
  <c r="G118" i="9"/>
  <c r="E118" i="9"/>
  <c r="E4" i="52"/>
  <c r="B48" i="72"/>
  <c r="C105" i="9"/>
  <c r="H102" i="9"/>
  <c r="D7" i="53"/>
  <c r="B21" i="72"/>
  <c r="I4" i="52"/>
  <c r="F14" i="74"/>
  <c r="E14" i="74"/>
  <c r="C34" i="9"/>
  <c r="D118" i="9"/>
  <c r="D4" i="52"/>
  <c r="B47" i="72"/>
  <c r="H4" i="52"/>
  <c r="H119" i="9"/>
  <c r="H5" i="52"/>
  <c r="C104" i="9"/>
  <c r="G4" i="52"/>
  <c r="B52" i="72"/>
  <c r="F119" i="9"/>
  <c r="F5" i="52"/>
  <c r="B53" i="72"/>
  <c r="F4" i="52"/>
  <c r="B51" i="72"/>
  <c r="D119" i="9"/>
  <c r="D5" i="52"/>
  <c r="B49" i="72"/>
  <c r="G21" i="9"/>
  <c r="C20" i="9"/>
  <c r="G20" i="9"/>
  <c r="D22" i="9"/>
  <c r="C103" i="9"/>
  <c r="C56" i="68"/>
  <c r="D34" i="9"/>
  <c r="C102" i="9"/>
  <c r="C21" i="9"/>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69"/>
  <c r="B3" i="69"/>
  <c r="B2" i="11"/>
  <c r="B3" i="11"/>
  <c r="F28" i="12"/>
  <c r="C30" i="12"/>
  <c r="C28" i="12"/>
  <c r="C29" i="12"/>
  <c r="D28" i="12"/>
  <c r="C32" i="12"/>
  <c r="B2" i="12"/>
  <c r="B3" i="12"/>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<sst xmlns="http://schemas.openxmlformats.org/spreadsheetml/2006/main" count="7425" uniqueCount="3159">
  <si>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</si>
  <si>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</si>
  <si>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</si>
  <si>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</si>
  <si>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</si>
  <si>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</si>
  <si>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</si>
  <si>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</si>
  <si>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</si>
  <si>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</si>
  <si>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</si>
  <si>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</si>
  <si>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</si>
  <si>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</si>
  <si>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</si>
  <si>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</si>
  <si>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</si>
  <si>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</si>
  <si>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</si>
  <si>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</si>
  <si>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</si>
  <si>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</si>
  <si>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</si>
  <si>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</si>
  <si>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</si>
  <si>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</si>
  <si>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</si>
  <si>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</si>
  <si>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</si>
  <si>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</si>
  <si>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</si>
  <si>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</si>
  <si>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</si>
  <si>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</si>
  <si>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</si>
  <si>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</si>
  <si>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</si>
  <si>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</si>
  <si>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</si>
  <si>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</si>
  <si>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</si>
  <si>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</si>
  <si>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</si>
  <si>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</si>
  <si>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</si>
  <si>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</si>
  <si>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</si>
  <si>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</si>
  <si>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</si>
  <si>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</si>
  <si>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</si>
  <si>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</si>
  <si>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</si>
  <si>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</si>
  <si>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</si>
  <si>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</si>
  <si>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</si>
  <si>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</si>
  <si>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</si>
  <si>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</si>
  <si>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</si>
  <si>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</si>
  <si>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</si>
  <si>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</si>
  <si>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</si>
  <si>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</si>
  <si>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</si>
  <si>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</si>
  <si>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</si>
  <si>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</si>
  <si>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</si>
  <si>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</si>
  <si>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</si>
  <si>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</si>
  <si>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</si>
  <si>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</si>
  <si>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</si>
  <si>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</si>
  <si>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</si>
  <si>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</si>
  <si>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</si>
  <si>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</si>
  <si>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</si>
  <si>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</si>
  <si>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</si>
  <si>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</si>
  <si>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</si>
  <si>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</si>
  <si>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</si>
  <si>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</si>
  <si>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</si>
  <si>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</si>
  <si>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</si>
  <si>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</si>
  <si>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</si>
  <si>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</si>
  <si>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</si>
  <si>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</si>
  <si>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</si>
  <si>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</si>
  <si>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</si>
  <si>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</si>
  <si>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</si>
  <si>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</si>
  <si>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</si>
  <si>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</si>
  <si>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</si>
  <si>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</si>
  <si>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</si>
  <si>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</si>
  <si>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</si>
  <si>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</si>
  <si>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</si>
  <si>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</si>
  <si>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</si>
  <si>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</si>
  <si>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</si>
  <si>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</si>
  <si>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</si>
  <si>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</si>
  <si>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</si>
  <si>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</si>
  <si>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</si>
  <si>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</si>
  <si>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</si>
  <si>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</si>
  <si>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</si>
  <si>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</si>
  <si>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</si>
  <si>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</si>
  <si>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</si>
  <si>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</si>
  <si>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</si>
  <si>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</si>
  <si>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</si>
  <si>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</si>
  <si>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</si>
  <si>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</si>
  <si>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</si>
  <si>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</si>
  <si>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</si>
  <si>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</si>
  <si>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</si>
  <si>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</si>
  <si>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</si>
  <si>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</si>
  <si>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</si>
  <si>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</si>
  <si>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</si>
  <si>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</si>
  <si>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</si>
  <si>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</si>
  <si>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</si>
  <si>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</si>
  <si>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</si>
  <si>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</si>
  <si>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</si>
  <si>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</si>
  <si>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</si>
  <si>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</si>
  <si>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</si>
  <si>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</si>
  <si>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</si>
  <si>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</si>
  <si>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</si>
  <si>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</si>
  <si>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</si>
  <si>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</si>
  <si>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</si>
  <si>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</si>
  <si>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</si>
  <si>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</si>
  <si>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</si>
  <si>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</si>
  <si>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</si>
  <si>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</si>
  <si>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</si>
  <si>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</si>
  <si>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</si>
  <si>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</si>
  <si>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</si>
  <si>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</si>
  <si>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</si>
  <si>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</si>
  <si>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</si>
  <si>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</si>
  <si>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</si>
  <si>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</si>
  <si>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</si>
  <si>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</si>
  <si>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</si>
  <si>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</si>
  <si>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</si>
  <si>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</si>
  <si>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</si>
  <si>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</si>
  <si>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</si>
  <si>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</si>
  <si>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</si>
  <si>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</si>
  <si>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</si>
  <si>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</si>
  <si>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</si>
  <si>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</si>
  <si>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</si>
  <si>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</si>
  <si>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</si>
  <si>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</si>
  <si>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</si>
  <si>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</si>
  <si>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</si>
  <si>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</si>
  <si>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</si>
  <si>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</si>
  <si>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</si>
  <si>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</si>
  <si>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</si>
  <si>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</si>
  <si>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</si>
  <si>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</si>
  <si>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</si>
  <si>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</si>
  <si>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</si>
  <si>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</si>
  <si>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</si>
  <si>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</si>
  <si>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</si>
  <si>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</si>
  <si>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</si>
  <si>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</si>
  <si>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</si>
  <si>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</si>
  <si>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</si>
  <si>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</si>
  <si>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</si>
  <si>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</si>
  <si>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</si>
  <si>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</si>
  <si>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</si>
  <si>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</si>
  <si>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</si>
  <si>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</si>
  <si>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</si>
  <si>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</si>
  <si>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</si>
  <si>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</si>
  <si>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</si>
  <si>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</si>
  <si>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</si>
  <si>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</si>
  <si>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</si>
  <si>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</si>
  <si>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</si>
  <si>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</si>
  <si>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</si>
  <si>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</si>
  <si>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</si>
  <si>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</si>
  <si>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</si>
  <si>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</si>
  <si>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</si>
  <si>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</si>
  <si>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</si>
  <si>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</si>
  <si>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</si>
  <si>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</si>
  <si>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</si>
  <si>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</si>
  <si>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</si>
  <si>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</si>
  <si>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</si>
  <si>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</si>
  <si>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</si>
  <si>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</si>
  <si>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</si>
  <si>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</si>
  <si>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</si>
  <si>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</si>
  <si>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</si>
  <si>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</si>
  <si>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</si>
  <si>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</si>
  <si>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</si>
  <si>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</si>
  <si>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</si>
  <si>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</si>
  <si>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</si>
  <si>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</si>
  <si>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</si>
  <si>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</si>
  <si>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</si>
  <si>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</si>
  <si>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</si>
  <si>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</si>
  <si>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</si>
  <si>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</si>
  <si>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</si>
  <si>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</si>
  <si>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</si>
  <si>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</si>
  <si>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</si>
  <si>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</si>
  <si>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</si>
  <si>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</si>
  <si>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</si>
  <si>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</si>
  <si>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</si>
  <si>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</si>
  <si>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</si>
  <si>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</si>
  <si>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</si>
  <si>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</si>
  <si>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</si>
  <si>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</si>
  <si>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</si>
  <si>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</si>
  <si>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</si>
  <si>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</si>
  <si>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</si>
  <si>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</si>
  <si>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</si>
  <si>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</si>
  <si>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</si>
  <si>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</si>
  <si>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</si>
  <si>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</si>
  <si>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</si>
  <si>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</si>
  <si>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</si>
  <si>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</si>
  <si>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</si>
  <si>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</si>
  <si>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</si>
  <si>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</si>
  <si>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</si>
  <si>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</si>
  <si>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</si>
  <si>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</si>
  <si>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</si>
  <si>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</si>
  <si>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</si>
  <si>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</si>
  <si>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</si>
  <si>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</si>
  <si>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</si>
  <si>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</si>
  <si>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</si>
  <si>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</si>
  <si>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</si>
  <si>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</si>
  <si>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</si>
  <si>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</si>
  <si>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</si>
  <si>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</si>
  <si>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</si>
  <si>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</si>
  <si>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</si>
  <si>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</si>
  <si>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</si>
  <si>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</si>
  <si>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</si>
  <si>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</si>
  <si>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</si>
  <si>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</si>
  <si>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</si>
  <si>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</si>
  <si>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</si>
  <si>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</si>
  <si>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</si>
  <si>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</si>
  <si>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</si>
  <si>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</si>
  <si>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</si>
  <si>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</si>
  <si>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</si>
  <si>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</si>
  <si>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</si>
  <si>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</si>
  <si>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</si>
  <si>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</si>
  <si>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</si>
  <si>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</si>
  <si>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</si>
  <si>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</si>
  <si>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</si>
  <si>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</si>
  <si>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</si>
  <si>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</si>
  <si>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</si>
  <si>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</si>
  <si>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</si>
  <si>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</si>
  <si>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</si>
  <si>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</si>
  <si>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</si>
  <si>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</si>
  <si>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</si>
  <si>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</si>
  <si>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</si>
  <si>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</si>
  <si>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</si>
  <si>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</si>
  <si>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</si>
  <si>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</si>
  <si>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</si>
  <si>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</si>
  <si>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</si>
  <si>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</si>
  <si>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</si>
  <si>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</si>
  <si>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</si>
  <si>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</si>
  <si>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</si>
  <si>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</si>
  <si>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</si>
  <si>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</si>
  <si>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</si>
  <si>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</si>
  <si>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</si>
  <si>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</si>
  <si>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</si>
  <si>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</si>
  <si>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</si>
  <si>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</si>
  <si>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</si>
  <si>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</si>
  <si>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</si>
  <si>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</si>
  <si>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</si>
  <si>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</si>
  <si>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</si>
  <si>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</si>
  <si>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</si>
  <si>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</si>
  <si>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</si>
  <si>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</si>
  <si>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</si>
  <si>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</si>
  <si>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</si>
  <si>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</si>
  <si>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</si>
  <si>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</si>
  <si>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</si>
  <si>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</si>
  <si>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</si>
  <si>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</si>
  <si>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</si>
  <si>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</si>
  <si>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</si>
  <si>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</si>
  <si>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</si>
  <si>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</si>
  <si>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</si>
  <si>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</si>
  <si>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</si>
  <si>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</si>
  <si>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</si>
  <si>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</si>
  <si>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</si>
  <si>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</si>
  <si>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</si>
  <si>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</si>
  <si>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</si>
  <si>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</si>
  <si>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</si>
  <si>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</si>
  <si>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</si>
  <si>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</si>
  <si>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</si>
  <si>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</si>
  <si>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</si>
  <si>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</si>
  <si>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</si>
  <si>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</si>
  <si>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</si>
  <si>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</si>
  <si>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</si>
  <si>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</si>
  <si>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</si>
  <si>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</si>
  <si>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</si>
  <si>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</si>
  <si>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</si>
  <si>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</si>
  <si>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</si>
  <si>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</si>
  <si>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</si>
  <si>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</si>
  <si>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</si>
  <si>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</si>
  <si>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</si>
  <si>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</si>
  <si>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</si>
  <si>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</si>
  <si>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</si>
  <si>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</si>
  <si>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</si>
  <si>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</si>
  <si>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</si>
  <si>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</si>
  <si>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</si>
  <si>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</si>
  <si>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</si>
  <si>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</si>
  <si>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</si>
  <si>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</si>
  <si>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</si>
  <si>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</si>
  <si>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</si>
  <si>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</si>
  <si>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</si>
  <si>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</si>
  <si>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</si>
  <si>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</si>
  <si>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</si>
  <si>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</si>
  <si>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</si>
  <si>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</si>
  <si>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</si>
  <si>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</si>
  <si>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</si>
  <si>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</si>
  <si>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</si>
  <si>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</si>
  <si>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</si>
  <si>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</si>
  <si>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</si>
  <si>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</si>
  <si>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</si>
  <si>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</si>
  <si>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</si>
  <si>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</si>
  <si>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</si>
  <si>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</si>
  <si>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</si>
  <si>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</si>
  <si>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</si>
  <si>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</si>
  <si>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</si>
  <si>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</si>
  <si>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</si>
  <si>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</si>
  <si>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</si>
  <si>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</si>
  <si>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</si>
  <si>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</si>
  <si>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</si>
  <si>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</si>
  <si>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</si>
  <si>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</si>
  <si>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</si>
  <si>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</si>
  <si>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</si>
  <si>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</si>
  <si>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</si>
  <si>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</si>
  <si>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</si>
  <si>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</si>
  <si>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</si>
  <si>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</si>
  <si>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</si>
  <si>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</si>
  <si>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</si>
  <si>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</si>
  <si>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</si>
  <si>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</si>
  <si>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</si>
  <si>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</si>
  <si>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</si>
  <si>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</si>
  <si>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</si>
  <si>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</si>
  <si>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</si>
  <si>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</si>
  <si>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</si>
  <si>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</si>
  <si>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</si>
  <si>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</si>
  <si>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</si>
  <si>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</si>
  <si>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</si>
  <si>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</si>
  <si>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</si>
  <si>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</si>
  <si>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</si>
  <si>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</si>
  <si>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</si>
  <si>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</si>
  <si>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</si>
  <si>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</si>
  <si>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</si>
  <si>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</si>
  <si>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</si>
  <si>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</si>
  <si>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</si>
  <si>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</si>
  <si>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</si>
  <si>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</si>
  <si>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</si>
  <si>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</si>
  <si>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</si>
  <si>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</si>
  <si>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</si>
  <si>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</si>
  <si>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</si>
  <si>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</si>
  <si>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</si>
  <si>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</si>
  <si>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</si>
  <si>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</si>
  <si>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</si>
  <si>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</si>
  <si>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</si>
  <si>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</si>
  <si>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</si>
  <si>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</si>
  <si>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</si>
  <si>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</si>
  <si>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</si>
  <si>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</si>
  <si>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</si>
  <si>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</si>
  <si>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</si>
  <si>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</si>
  <si>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</si>
  <si>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</si>
  <si>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</si>
  <si>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</si>
  <si>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</si>
  <si>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</si>
  <si>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</si>
  <si>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</si>
  <si>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</si>
  <si>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</si>
  <si>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</si>
  <si>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</si>
  <si>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</si>
  <si>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</si>
  <si>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</si>
  <si>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</si>
  <si>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</si>
  <si>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</si>
  <si>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</si>
  <si>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</si>
  <si>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</si>
  <si>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</si>
  <si>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</si>
  <si>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</si>
  <si>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</si>
  <si>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</si>
  <si>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</si>
  <si>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</si>
  <si>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</si>
  <si>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</si>
  <si>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</si>
  <si>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</si>
  <si>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</si>
  <si>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</si>
  <si>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</si>
  <si>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</si>
  <si>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</si>
  <si>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</si>
  <si>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</si>
  <si>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</si>
  <si>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</si>
  <si>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</si>
  <si>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</si>
  <si>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</si>
  <si>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</si>
  <si>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</si>
  <si>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</si>
  <si>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</si>
  <si>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</si>
  <si>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</si>
  <si>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</si>
  <si>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</si>
  <si>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</si>
  <si>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</si>
  <si>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</si>
  <si>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</si>
  <si>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</si>
  <si>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</si>
  <si>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</si>
  <si>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</si>
  <si>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</si>
  <si>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</si>
  <si>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</si>
  <si>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</si>
  <si>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</si>
  <si>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</si>
  <si>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</si>
  <si>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</si>
  <si>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</si>
  <si>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</si>
  <si>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</si>
  <si>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</si>
  <si>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</si>
  <si>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</si>
  <si>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</si>
  <si>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</si>
  <si>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</si>
  <si>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</si>
  <si>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</si>
  <si>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</si>
  <si>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</si>
  <si>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</si>
  <si>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</si>
  <si>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</si>
  <si>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</si>
  <si>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</si>
  <si>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</si>
  <si>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</si>
  <si>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</si>
  <si>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</si>
  <si>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</si>
  <si>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</si>
  <si>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</si>
  <si>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</si>
  <si>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</si>
  <si>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</si>
  <si>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</si>
  <si>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</si>
  <si>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</si>
  <si>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</si>
  <si>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</si>
  <si>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</si>
  <si>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</si>
  <si>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</si>
  <si>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</si>
  <si>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</si>
  <si>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</si>
  <si>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</si>
  <si>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</si>
  <si>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</si>
  <si>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</si>
  <si>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</si>
  <si>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</si>
  <si>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</si>
  <si>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</si>
  <si>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</si>
  <si>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</si>
  <si>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</si>
  <si>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</si>
  <si>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</si>
  <si>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</si>
  <si>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</si>
  <si>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</si>
  <si>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</si>
  <si>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</si>
  <si>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</si>
  <si>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</si>
  <si>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</si>
  <si>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</si>
  <si>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</si>
  <si>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</si>
  <si>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</si>
  <si>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</si>
  <si>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</si>
  <si>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</si>
  <si>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</si>
  <si>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</si>
  <si>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</si>
  <si>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</si>
  <si>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</si>
  <si>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</si>
  <si>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</si>
  <si>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</si>
  <si>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</si>
  <si>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</si>
  <si>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</si>
  <si>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</si>
  <si>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</si>
  <si>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</si>
  <si>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</si>
  <si>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</si>
  <si>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</si>
  <si>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</si>
  <si>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</si>
  <si>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</si>
  <si>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</si>
  <si>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</si>
  <si>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</si>
  <si>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</si>
  <si>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</si>
  <si>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</si>
  <si>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</si>
  <si>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</si>
  <si>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</si>
  <si>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</si>
  <si>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</si>
  <si>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</si>
  <si>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</si>
  <si>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</si>
  <si>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</si>
  <si>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</si>
  <si>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</si>
  <si>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</si>
  <si>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</si>
  <si>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</si>
  <si>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</si>
  <si>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</si>
  <si>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</si>
  <si>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</si>
  <si>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</si>
  <si>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</si>
  <si>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</si>
  <si>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</si>
  <si>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</si>
  <si>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</si>
  <si>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</si>
  <si>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</si>
  <si>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</si>
  <si>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</si>
  <si>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</si>
  <si>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</si>
  <si>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</si>
  <si>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</si>
  <si>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</si>
  <si>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</si>
  <si>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</si>
  <si>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</si>
  <si>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</si>
  <si>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</si>
  <si>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</si>
  <si>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</si>
  <si>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</si>
  <si>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</si>
  <si>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</si>
  <si>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</si>
  <si>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</si>
  <si>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</si>
  <si>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</si>
  <si>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</si>
  <si>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</si>
  <si>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</si>
  <si>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</si>
  <si>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</si>
  <si>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</si>
  <si>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</si>
  <si>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</si>
  <si>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</si>
  <si>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</si>
  <si>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</si>
  <si>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</si>
  <si>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</si>
  <si>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</si>
  <si>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</si>
  <si>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</si>
  <si>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</si>
  <si>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</si>
  <si>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</si>
  <si>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</si>
  <si>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</si>
  <si>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</si>
  <si>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</si>
  <si>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</si>
  <si>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</si>
  <si>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</si>
  <si>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</si>
  <si>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</si>
  <si>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</si>
  <si>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</si>
  <si>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</si>
  <si>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</si>
  <si>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</si>
  <si>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</si>
  <si>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</si>
  <si>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</si>
  <si>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</si>
  <si>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</si>
  <si>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</si>
  <si>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</si>
  <si>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</si>
  <si>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</si>
  <si>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</si>
  <si>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</si>
  <si>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</si>
  <si>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</si>
  <si>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</si>
  <si>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</si>
  <si>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</si>
  <si>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</si>
  <si>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</si>
  <si>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</si>
  <si>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</si>
  <si>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</si>
  <si>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</si>
  <si>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</si>
  <si>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</si>
  <si>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</si>
  <si>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</si>
  <si>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</si>
  <si>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</si>
  <si>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</si>
  <si>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</si>
  <si>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</si>
  <si>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</si>
  <si>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</si>
  <si>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</si>
  <si>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</si>
  <si>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</si>
  <si>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</si>
  <si>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</si>
  <si>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</si>
  <si>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</si>
  <si>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</si>
  <si>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</si>
  <si>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</si>
  <si>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</si>
  <si>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</si>
  <si>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</si>
  <si>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</si>
  <si>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</si>
  <si>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</si>
  <si>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</si>
  <si>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</si>
  <si>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</si>
  <si>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</si>
  <si>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</si>
  <si>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</si>
  <si>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</si>
  <si>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</si>
  <si>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</si>
  <si>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</si>
  <si>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</si>
  <si>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</si>
  <si>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</si>
  <si>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</si>
  <si>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</si>
  <si>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</si>
  <si>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</si>
  <si>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</si>
  <si>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</si>
  <si>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</si>
  <si>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</si>
  <si>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</si>
  <si>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</si>
  <si>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</si>
  <si>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</si>
  <si>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</si>
  <si>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</si>
  <si>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</si>
  <si>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</si>
  <si>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</si>
  <si>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</si>
  <si>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</si>
  <si>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</si>
  <si>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</si>
  <si>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</si>
  <si>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</si>
  <si>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</si>
  <si>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</si>
  <si>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</si>
  <si>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</si>
  <si>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</si>
  <si>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</si>
  <si>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</si>
  <si>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</si>
  <si>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</si>
  <si>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</si>
  <si>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</si>
  <si>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</si>
  <si>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</si>
  <si>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</si>
  <si>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</si>
  <si>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</si>
  <si>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</si>
  <si>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</si>
  <si>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</si>
  <si>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</si>
  <si>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</si>
  <si>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</si>
  <si>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</si>
  <si>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</si>
  <si>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</si>
  <si>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</si>
  <si>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</si>
  <si>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</si>
  <si>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</si>
  <si>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</si>
  <si>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</si>
  <si>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</si>
  <si>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</si>
  <si>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</si>
  <si>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</si>
  <si>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</si>
  <si>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</si>
  <si>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</si>
  <si>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</si>
  <si>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</si>
  <si>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</si>
  <si>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</si>
  <si>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</si>
  <si>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</si>
  <si>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</si>
  <si>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</si>
  <si>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</si>
  <si>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</si>
  <si>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</si>
  <si>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</si>
  <si>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</si>
  <si>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</si>
  <si>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</si>
  <si>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</si>
  <si>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</si>
  <si>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</si>
  <si>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</si>
  <si>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</si>
  <si>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</si>
  <si>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</si>
  <si>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</si>
  <si>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</si>
  <si>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</si>
  <si>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</si>
  <si>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</si>
  <si>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</si>
  <si>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</si>
  <si>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</si>
  <si>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</si>
  <si>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</si>
  <si>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</si>
  <si>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</si>
  <si>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</si>
  <si>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</si>
  <si>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</si>
  <si>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</si>
  <si>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</si>
  <si>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</si>
  <si>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</si>
  <si>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</si>
  <si>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</si>
  <si>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</si>
  <si>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</si>
  <si>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</si>
  <si>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</si>
  <si>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</si>
  <si>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</si>
  <si>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</si>
  <si>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</si>
  <si>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</si>
  <si>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</si>
  <si>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</si>
  <si>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</si>
  <si>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</si>
  <si>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</si>
  <si>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</si>
  <si>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</si>
  <si>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</si>
  <si>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</si>
  <si>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</si>
  <si>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</si>
  <si>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</si>
  <si>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</si>
  <si>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</si>
  <si>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</si>
  <si>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</si>
  <si>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</si>
  <si>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</si>
  <si>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</si>
  <si>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</si>
  <si>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</si>
  <si>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</si>
  <si>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</si>
  <si>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</si>
  <si>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</si>
  <si>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</si>
  <si>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</si>
  <si>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</si>
  <si>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</si>
  <si>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</si>
  <si>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</si>
  <si>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</si>
  <si>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</si>
  <si>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</si>
  <si>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</si>
  <si>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</si>
  <si>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</si>
  <si>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</si>
  <si>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</si>
  <si>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</si>
  <si>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</si>
  <si>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</si>
  <si>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</si>
  <si>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</si>
  <si>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</si>
  <si>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</si>
  <si>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</si>
  <si>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</si>
  <si>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</si>
  <si>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</si>
  <si>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</si>
  <si>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</si>
  <si>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</si>
  <si>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</si>
  <si>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</si>
  <si>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</si>
  <si>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</si>
  <si>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</si>
  <si>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</si>
  <si>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</si>
  <si>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</si>
  <si>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</si>
  <si>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</si>
  <si>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</si>
  <si>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</si>
  <si>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</si>
  <si>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</si>
  <si>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</si>
  <si>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</si>
  <si>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</si>
  <si>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</si>
  <si>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</si>
  <si>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</si>
  <si>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</si>
  <si>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</si>
  <si>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</si>
  <si>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</si>
  <si>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</si>
  <si>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</si>
  <si>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</si>
  <si>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</si>
  <si>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</si>
  <si>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</si>
  <si>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</si>
  <si>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</si>
  <si>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</si>
  <si>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</si>
  <si>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</si>
  <si>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</si>
  <si>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</si>
  <si>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</si>
  <si>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</si>
  <si>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</si>
  <si>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</si>
  <si>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</si>
  <si>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</si>
  <si>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</si>
  <si>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</si>
  <si>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</si>
  <si>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</si>
  <si>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</si>
  <si>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</si>
  <si>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</si>
  <si>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</si>
  <si>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</si>
  <si>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</si>
  <si>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</si>
  <si>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</si>
  <si>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</si>
  <si>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</si>
  <si>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</si>
  <si>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</si>
  <si>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</si>
  <si>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</si>
  <si>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</si>
  <si>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</si>
  <si>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</si>
  <si>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</si>
  <si>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</si>
  <si>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</si>
  <si>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</si>
  <si>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</si>
  <si>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</si>
  <si>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</si>
  <si>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</si>
  <si>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</si>
  <si>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</si>
  <si>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</si>
  <si>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</si>
  <si>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</si>
  <si>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</si>
  <si>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</si>
  <si>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</si>
  <si>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</si>
  <si>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</si>
  <si>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</si>
  <si>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</si>
  <si>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</si>
  <si>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</si>
  <si>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</si>
  <si>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</si>
  <si>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</si>
  <si>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</si>
  <si>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</si>
  <si>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</si>
  <si>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</si>
  <si>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</si>
  <si>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</si>
  <si>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</si>
  <si>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</si>
  <si>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</si>
  <si>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</si>
  <si>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</si>
  <si>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</si>
  <si>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</si>
  <si>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</si>
  <si>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</si>
  <si>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</si>
  <si>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</si>
  <si>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</si>
  <si>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</si>
  <si>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</si>
  <si>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</si>
  <si>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</si>
  <si>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</si>
  <si>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</si>
  <si>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</si>
  <si>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</si>
  <si>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</si>
  <si>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</si>
  <si>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</si>
  <si>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</si>
  <si>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</si>
  <si>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</si>
  <si>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</si>
  <si>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</si>
  <si>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</si>
  <si>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</si>
  <si>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</si>
  <si>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</si>
  <si>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</si>
  <si>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</si>
  <si>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</si>
  <si>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</si>
  <si>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</si>
  <si>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</si>
  <si>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</si>
  <si>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</si>
  <si>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</si>
  <si>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</si>
  <si>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</si>
  <si>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</si>
  <si>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</si>
  <si>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</si>
  <si>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</si>
  <si>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</si>
  <si>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</si>
  <si>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</si>
  <si>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</si>
  <si>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</si>
  <si>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</si>
  <si>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</si>
  <si>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</si>
  <si>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</si>
  <si>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</si>
  <si>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</si>
  <si>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</si>
  <si>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</si>
  <si>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</si>
  <si>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</si>
  <si>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</si>
  <si>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</si>
  <si>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</si>
  <si>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</si>
  <si>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</si>
  <si>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</si>
  <si>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</si>
  <si>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</si>
  <si>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</si>
  <si>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</si>
  <si>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</si>
  <si>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</si>
  <si>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</si>
  <si>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</si>
  <si>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</si>
  <si>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</si>
  <si>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</si>
  <si>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</si>
  <si>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</si>
  <si>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</si>
  <si>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</si>
  <si>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</si>
  <si>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</si>
  <si>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</si>
  <si>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</si>
  <si>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</si>
  <si>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</si>
  <si>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</si>
  <si>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</si>
  <si>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</si>
  <si>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</si>
  <si>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</si>
  <si>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</si>
  <si>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</si>
  <si>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</si>
  <si>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</si>
  <si>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</si>
  <si>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</si>
  <si>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</si>
  <si>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</si>
  <si>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</si>
  <si>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</si>
  <si>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</si>
  <si>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</si>
  <si>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</si>
  <si>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</si>
  <si>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</si>
  <si>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</si>
  <si>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</si>
  <si>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</si>
  <si>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</si>
  <si>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</si>
  <si>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</si>
  <si>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</si>
  <si>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</si>
  <si>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</si>
  <si>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</si>
  <si>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</si>
  <si>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</si>
  <si>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</si>
  <si>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</si>
  <si>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</si>
  <si>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</si>
  <si>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</si>
  <si>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</si>
  <si>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</si>
  <si>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</si>
  <si>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</si>
  <si>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</si>
  <si>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</si>
  <si>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</si>
  <si>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</si>
  <si>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</si>
  <si>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</si>
  <si>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</si>
  <si>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</si>
  <si>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</si>
  <si>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</si>
  <si>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</si>
  <si>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</si>
  <si>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</si>
  <si>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</si>
  <si>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</si>
  <si>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</si>
  <si>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</si>
  <si>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</si>
  <si>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</si>
  <si>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</si>
  <si>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</si>
  <si>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</si>
  <si>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</si>
  <si>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</si>
  <si>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</si>
  <si>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</si>
  <si>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</si>
  <si>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</si>
  <si>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</si>
  <si>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</si>
  <si>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</si>
  <si>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</si>
  <si>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</si>
  <si>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</si>
  <si>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</si>
  <si>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</si>
  <si>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</si>
  <si>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</si>
  <si>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</si>
  <si>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</si>
  <si>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</si>
  <si>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</si>
  <si>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</si>
  <si>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</si>
  <si>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</si>
  <si>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</si>
  <si>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</si>
  <si>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</si>
  <si>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</si>
  <si>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</si>
  <si>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</si>
  <si>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</si>
  <si>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</si>
  <si>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</si>
  <si>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</si>
  <si>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</si>
  <si>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</si>
  <si>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</si>
  <si>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</si>
  <si>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</si>
  <si>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</si>
  <si>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</si>
  <si>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</si>
  <si>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</si>
  <si>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</si>
  <si>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</si>
  <si>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</si>
  <si>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</si>
  <si>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</si>
  <si>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</si>
  <si>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</si>
  <si>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</si>
  <si>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</si>
  <si>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</si>
  <si>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</si>
  <si>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</si>
  <si>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</si>
  <si>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</si>
  <si>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</si>
  <si>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</si>
  <si>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</si>
  <si>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</si>
  <si>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</si>
  <si>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</si>
  <si>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</si>
  <si>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</si>
  <si>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</si>
  <si>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</si>
  <si>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</si>
  <si>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</si>
  <si>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</si>
  <si>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</si>
  <si>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</si>
  <si>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</si>
  <si>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</si>
  <si>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</si>
  <si>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</si>
  <si>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</si>
  <si>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</si>
  <si>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</si>
  <si>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</si>
  <si>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</si>
  <si>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</si>
  <si>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</si>
  <si>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</si>
  <si>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</si>
  <si>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</si>
  <si>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</si>
  <si>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</si>
  <si>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</si>
  <si>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</si>
  <si>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</si>
  <si>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</si>
  <si>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</si>
  <si>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</si>
  <si>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</si>
  <si>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</si>
  <si>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</si>
  <si>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</si>
  <si>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</si>
  <si>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</si>
  <si>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</si>
  <si>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</si>
  <si>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</si>
  <si>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</si>
  <si>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</si>
  <si>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</si>
  <si>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</si>
  <si>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</si>
  <si>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</si>
  <si>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</si>
  <si>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</si>
  <si>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</si>
  <si>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</si>
  <si>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</si>
  <si>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</si>
  <si>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</si>
  <si>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</si>
  <si>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</si>
  <si>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</si>
  <si>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</si>
  <si>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</si>
  <si>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</si>
  <si>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</si>
  <si>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</si>
  <si>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</si>
  <si>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</si>
  <si>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</si>
  <si>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</si>
  <si>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</si>
  <si>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</si>
  <si>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</si>
  <si>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</si>
  <si>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</si>
  <si>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</si>
  <si>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</si>
  <si>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</si>
  <si>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</si>
  <si>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</si>
  <si>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</si>
  <si>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</si>
  <si>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</si>
  <si>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</si>
  <si>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</si>
  <si>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</si>
  <si>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</si>
  <si>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</si>
  <si>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</si>
  <si>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</si>
  <si>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</si>
  <si>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</si>
  <si>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</si>
  <si>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</si>
  <si>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</si>
  <si>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</si>
  <si>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</si>
  <si>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</si>
  <si>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</si>
  <si>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</si>
  <si>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</si>
  <si>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</si>
  <si>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</si>
  <si>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</si>
  <si>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</si>
  <si>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</si>
  <si>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</si>
  <si>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</si>
  <si>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</si>
  <si>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</si>
  <si>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</si>
  <si>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</si>
  <si>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</si>
  <si>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</si>
  <si>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</si>
  <si>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</si>
  <si>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</si>
  <si>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</si>
  <si>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</si>
  <si>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</si>
  <si>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</si>
  <si>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</si>
  <si>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</si>
  <si>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</si>
  <si>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</si>
  <si>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</si>
  <si>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</si>
  <si>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</si>
  <si>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</si>
  <si>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</si>
  <si>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</si>
  <si>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</si>
  <si>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</si>
  <si>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</si>
  <si>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</si>
  <si>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</si>
  <si>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</si>
  <si>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</si>
  <si>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</si>
  <si>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</si>
  <si>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</si>
  <si>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</si>
  <si>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</si>
  <si>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</si>
  <si>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</si>
  <si>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</si>
  <si>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</si>
  <si>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</si>
  <si>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</si>
  <si>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</si>
  <si>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</si>
  <si>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</si>
  <si>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</si>
  <si>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</si>
  <si>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</si>
  <si>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</si>
  <si>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</si>
  <si>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</si>
  <si>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</si>
  <si>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</si>
  <si>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</si>
  <si>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</si>
  <si>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</si>
  <si>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</si>
  <si>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</si>
  <si>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</si>
  <si>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</si>
  <si>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</si>
  <si>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</si>
  <si>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</si>
  <si>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</si>
  <si>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</si>
  <si>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</si>
  <si>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</si>
  <si>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</si>
  <si>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</si>
  <si>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</si>
  <si>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</si>
  <si>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</si>
  <si>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</si>
  <si>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</si>
  <si>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</si>
  <si>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</si>
  <si>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</si>
  <si>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</si>
  <si>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</si>
  <si>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</si>
  <si>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</si>
  <si>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</si>
  <si>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</si>
  <si>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</si>
  <si>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</si>
  <si>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</si>
  <si>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</si>
  <si>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</si>
  <si>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</si>
  <si>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</si>
  <si>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</si>
  <si>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</si>
  <si>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</si>
  <si>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</si>
  <si>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</si>
  <si>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</si>
  <si>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</si>
  <si>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</si>
  <si>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</si>
  <si>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</si>
  <si>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</si>
  <si>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</si>
  <si>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</si>
  <si>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</si>
  <si>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</si>
  <si>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</si>
  <si>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</si>
  <si>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</si>
  <si>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</si>
  <si>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</si>
  <si>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</si>
  <si>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</si>
  <si>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</si>
  <si>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</si>
  <si>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</si>
  <si>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</si>
  <si>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</si>
  <si>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</si>
  <si>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</si>
  <si>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</si>
  <si>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</si>
  <si>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</si>
  <si>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</si>
  <si>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</si>
  <si>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</si>
  <si>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</si>
  <si>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</si>
  <si>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</si>
  <si>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</si>
  <si>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</si>
  <si>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</si>
  <si>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</si>
  <si>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</si>
  <si>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</si>
  <si>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</si>
  <si>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</si>
  <si>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</si>
  <si>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</si>
  <si>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</si>
  <si>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</si>
  <si>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</si>
  <si>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</si>
  <si>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</si>
  <si>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</si>
  <si>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</si>
  <si>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</si>
  <si>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</si>
  <si>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</si>
  <si>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</si>
  <si>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</si>
  <si>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</si>
  <si>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</si>
  <si>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</si>
  <si>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</si>
  <si>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</si>
  <si>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</si>
  <si>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</si>
  <si>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</si>
  <si>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</si>
  <si>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</si>
  <si>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</si>
  <si>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</si>
  <si>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</si>
  <si>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</si>
  <si>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</si>
  <si>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</si>
  <si>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</si>
  <si>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</si>
  <si>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</si>
  <si>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</si>
  <si>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</si>
  <si>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</si>
  <si>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</si>
  <si>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</si>
  <si>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</si>
  <si>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</si>
  <si>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</si>
  <si>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</si>
  <si>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</si>
  <si>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</si>
  <si>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</si>
  <si>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</si>
  <si>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</si>
  <si>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</si>
  <si>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</si>
  <si>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</si>
  <si>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</si>
  <si>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</si>
  <si>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</si>
  <si>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</si>
  <si>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</si>
  <si>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</si>
  <si>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</si>
  <si>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</si>
  <si>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</si>
  <si>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</si>
  <si>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</si>
  <si>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</si>
  <si>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</si>
  <si>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</si>
  <si>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</si>
  <si>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</si>
  <si>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</si>
  <si>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</si>
  <si>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</si>
  <si>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</si>
  <si>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</si>
  <si>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</si>
  <si>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</si>
  <si>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</si>
  <si>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</si>
  <si>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</si>
  <si>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</si>
  <si>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</si>
  <si>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</si>
  <si>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</si>
  <si>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</si>
  <si>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</si>
  <si>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</si>
  <si>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</si>
  <si>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</si>
  <si>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</si>
  <si>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</si>
  <si>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</si>
  <si>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</si>
  <si>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</si>
  <si>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</si>
  <si>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</si>
  <si>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</si>
  <si>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</si>
  <si>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</si>
  <si>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</si>
  <si>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</si>
  <si>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</si>
  <si>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</si>
  <si>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</si>
  <si>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</si>
  <si>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</si>
  <si>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</si>
  <si>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</si>
  <si>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</si>
  <si>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</si>
  <si>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</si>
  <si>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</si>
  <si>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</si>
  <si>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</si>
  <si>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</si>
  <si>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</si>
  <si>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</si>
  <si>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</si>
  <si>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</si>
  <si>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</si>
  <si>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</si>
  <si>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</si>
  <si>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</si>
  <si>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</si>
  <si>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</si>
  <si>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</si>
  <si>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</si>
  <si>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</si>
  <si>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</si>
  <si>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</si>
  <si>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</si>
  <si>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</si>
  <si>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</si>
  <si>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</si>
  <si>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</si>
  <si>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</si>
  <si>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</si>
  <si>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</si>
  <si>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</si>
  <si>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</si>
  <si>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</si>
  <si>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</si>
  <si>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</si>
  <si>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</si>
  <si>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</si>
  <si>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</si>
  <si>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</si>
  <si>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</si>
  <si>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</si>
  <si>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</si>
  <si>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</si>
  <si>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</si>
  <si>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</si>
  <si>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</si>
  <si>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</si>
  <si>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</si>
  <si>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</si>
  <si>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</si>
  <si>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</si>
  <si>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</si>
  <si>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</si>
  <si>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</si>
  <si>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</si>
  <si>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</si>
  <si>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</si>
  <si>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</si>
  <si>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</si>
  <si>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</si>
  <si>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</si>
  <si>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</si>
  <si>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</si>
  <si>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</si>
  <si>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</si>
  <si>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</si>
  <si>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</si>
  <si>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</si>
  <si>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</si>
  <si>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</si>
  <si>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</si>
  <si>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</si>
  <si>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</si>
  <si>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</si>
  <si>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</si>
  <si>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</si>
  <si>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</si>
  <si>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</si>
  <si>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</si>
  <si>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</si>
  <si>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</si>
  <si>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</si>
  <si>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</si>
  <si>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</si>
  <si>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</si>
  <si>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</si>
  <si>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</si>
  <si>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</si>
  <si>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</si>
  <si>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</si>
  <si>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</si>
  <si>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</si>
  <si>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</si>
  <si>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</si>
  <si>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</si>
  <si>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</si>
  <si>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</si>
  <si>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</si>
  <si>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</si>
  <si>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</si>
  <si>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</si>
  <si>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</si>
  <si>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</si>
  <si>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</si>
  <si>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</si>
  <si>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</si>
  <si>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</si>
  <si>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</si>
  <si>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</si>
  <si>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</si>
  <si>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</si>
  <si>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</si>
  <si>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</si>
  <si>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</si>
  <si>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</si>
  <si>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</si>
  <si>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</si>
  <si>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</si>
  <si>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</si>
  <si>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</si>
  <si>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</si>
  <si>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</si>
  <si>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</si>
  <si>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</si>
  <si>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</si>
  <si>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</si>
  <si>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</si>
  <si>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</si>
  <si>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</si>
  <si>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</si>
  <si>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</si>
  <si>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</si>
  <si>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</si>
  <si>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</si>
  <si>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</si>
  <si>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</si>
  <si>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</si>
  <si>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</si>
  <si>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</si>
  <si>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</si>
  <si>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</si>
  <si>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</si>
  <si>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</si>
  <si>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</si>
  <si>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</si>
  <si>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</si>
  <si>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</si>
  <si>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</si>
  <si>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</si>
  <si>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</si>
  <si>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</si>
  <si>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</si>
  <si>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</si>
  <si>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</si>
  <si>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</si>
  <si>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</si>
  <si>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</si>
  <si>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</si>
  <si>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</si>
  <si>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</si>
  <si>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</si>
  <si>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</si>
  <si>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</si>
  <si>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</si>
  <si>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</si>
  <si>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</si>
  <si>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</si>
  <si>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</si>
  <si>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</si>
  <si>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</si>
  <si>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</si>
  <si>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</si>
  <si>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</si>
  <si>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</si>
  <si>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</si>
  <si>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</si>
  <si>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</si>
  <si>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</si>
  <si>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</si>
  <si>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</si>
  <si>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</si>
  <si>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</si>
  <si>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</si>
  <si>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</si>
  <si>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</si>
  <si>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</si>
  <si>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</si>
  <si>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</si>
  <si>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</si>
  <si>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</si>
  <si>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</si>
  <si>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</si>
  <si>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</si>
  <si>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</si>
  <si>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</si>
  <si>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</si>
  <si>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</si>
  <si>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</si>
  <si>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</si>
  <si>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</si>
  <si>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</si>
  <si>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</si>
  <si>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</si>
  <si>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</si>
  <si>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</si>
  <si>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</si>
  <si>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</si>
  <si>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</si>
  <si>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</si>
  <si>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</si>
  <si>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</si>
  <si>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</si>
  <si>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</si>
  <si>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</si>
  <si>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</si>
  <si>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</si>
  <si>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</si>
  <si>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</si>
  <si>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</si>
  <si>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</si>
  <si>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</si>
  <si>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</si>
  <si>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</si>
  <si>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</si>
  <si>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</si>
  <si>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</si>
  <si>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</si>
  <si>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</si>
  <si>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</si>
  <si>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</si>
  <si>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</si>
  <si>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</si>
  <si>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</si>
  <si>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</si>
  <si>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</si>
  <si>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</si>
  <si>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</si>
  <si>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</si>
  <si>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</si>
  <si>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</si>
  <si>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</si>
  <si>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</si>
  <si>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</si>
  <si>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</si>
  <si>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</si>
  <si>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</si>
  <si>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</si>
  <si>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</si>
  <si>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</si>
  <si>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</si>
  <si>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</si>
  <si>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</si>
  <si>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</si>
  <si>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</si>
  <si>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</si>
  <si>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</si>
  <si>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</si>
  <si>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</si>
  <si>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</si>
  <si>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</si>
  <si>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</si>
  <si>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</si>
  <si>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</si>
  <si>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</si>
  <si>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</si>
  <si>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</si>
  <si>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</si>
  <si>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</si>
  <si>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</si>
  <si>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</si>
  <si>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</si>
  <si>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</si>
  <si>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</si>
  <si>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</si>
  <si>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</si>
  <si>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</si>
  <si>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</si>
  <si>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</si>
  <si>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</si>
  <si>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</si>
  <si>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</si>
  <si>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</si>
  <si>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</si>
  <si>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</si>
  <si>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</si>
  <si>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</si>
  <si>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</si>
  <si>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</si>
  <si>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</si>
  <si>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</si>
  <si>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</si>
  <si>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</si>
  <si>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</si>
  <si>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</si>
  <si>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</si>
  <si>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</si>
  <si>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</si>
  <si>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</si>
  <si>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</si>
  <si>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</si>
  <si>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</si>
  <si>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</si>
  <si>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</si>
  <si>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</si>
  <si>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</si>
  <si>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</si>
  <si>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</si>
  <si>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</si>
  <si>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</si>
  <si>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</si>
  <si>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</si>
  <si>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</si>
  <si>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</si>
  <si>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</si>
  <si>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</si>
  <si>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</si>
  <si>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</si>
  <si>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</si>
  <si>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</si>
  <si>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</si>
  <si>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</si>
  <si>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</si>
  <si>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</si>
  <si>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</si>
  <si>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</si>
  <si>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</si>
  <si>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</si>
  <si>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</si>
  <si>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</si>
  <si>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</si>
  <si>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</si>
  <si>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</si>
  <si>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</si>
  <si>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</si>
  <si>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</si>
  <si>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</si>
  <si>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</si>
  <si>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</si>
  <si>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</si>
  <si>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</si>
  <si>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</si>
  <si>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</si>
  <si>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</si>
  <si>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</si>
  <si>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</si>
  <si>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</si>
  <si>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</si>
  <si>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</si>
  <si>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</si>
  <si>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</si>
  <si>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</si>
  <si>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</si>
  <si>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</si>
  <si>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</si>
  <si>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</si>
  <si>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</si>
  <si>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</si>
  <si>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</si>
  <si>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</si>
  <si>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</si>
  <si>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</si>
  <si>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</si>
  <si>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</si>
  <si>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</si>
  <si>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</si>
  <si>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</si>
  <si>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</si>
  <si>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</si>
  <si>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</si>
  <si>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</si>
  <si>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</si>
  <si>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</si>
  <si>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</si>
  <si>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</si>
  <si>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</si>
  <si>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</si>
  <si>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</si>
  <si>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</si>
  <si>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</si>
  <si>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</si>
  <si>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</si>
  <si>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</si>
  <si>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</si>
  <si>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</si>
  <si>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</si>
  <si>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</si>
  <si>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</si>
  <si>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</si>
  <si>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</si>
  <si>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</si>
  <si>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</si>
  <si>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</si>
  <si>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</si>
  <si>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</si>
  <si>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</si>
  <si>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</si>
  <si>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</si>
  <si>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</si>
  <si>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</si>
  <si>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</si>
  <si>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</si>
  <si>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</si>
  <si>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</si>
  <si>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</si>
  <si>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</si>
  <si>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</si>
  <si>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</si>
  <si>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</si>
  <si>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</si>
  <si>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</si>
  <si>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</si>
  <si>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</si>
  <si>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</si>
  <si>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</si>
  <si>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</si>
  <si>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</si>
  <si>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</si>
  <si>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</si>
  <si>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</si>
  <si>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</si>
  <si>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</si>
  <si>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</si>
  <si>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</si>
  <si>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</si>
  <si>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</si>
  <si>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</si>
  <si>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</si>
  <si>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</si>
  <si>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</si>
  <si>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</si>
  <si>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</si>
  <si>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</si>
  <si>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</si>
  <si>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</si>
  <si>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</si>
  <si>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</si>
  <si>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</si>
  <si>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</si>
  <si>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</si>
  <si>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</si>
  <si>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</si>
  <si>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</si>
  <si>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</si>
  <si>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</si>
  <si>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</si>
  <si>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</si>
  <si>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</si>
  <si>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</si>
  <si>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</si>
  <si>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</si>
  <si>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</si>
  <si>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</si>
  <si>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</si>
  <si>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</si>
  <si>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</si>
  <si>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</si>
  <si>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</si>
  <si>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</si>
  <si>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</si>
  <si>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</si>
  <si>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</si>
  <si>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</si>
  <si>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</si>
  <si>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</si>
  <si>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</si>
  <si>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</si>
  <si>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</si>
  <si>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</si>
  <si>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</si>
  <si>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</si>
  <si>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</si>
  <si>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</si>
  <si>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</si>
  <si>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</si>
  <si>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</si>
  <si>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</si>
  <si>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</si>
  <si>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</si>
  <si>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</si>
  <si>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</si>
  <si>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</si>
  <si>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</si>
  <si>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</si>
  <si>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</si>
  <si>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</si>
  <si>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</si>
  <si>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</si>
  <si>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</si>
  <si>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</si>
  <si>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</si>
  <si>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</si>
  <si>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</si>
  <si>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</si>
  <si>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</si>
  <si>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</si>
  <si>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</si>
  <si>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</si>
  <si>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</si>
  <si>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</si>
  <si>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</si>
  <si>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</si>
  <si>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</si>
  <si>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</si>
  <si>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</si>
  <si>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</si>
  <si>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</si>
  <si>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</si>
  <si>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</si>
  <si>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</si>
  <si>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</si>
  <si>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</si>
  <si>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</si>
  <si>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</si>
  <si>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</si>
  <si>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</si>
  <si>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</si>
  <si>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</si>
  <si>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</si>
  <si>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</si>
  <si>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</si>
  <si>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</si>
  <si>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</si>
  <si>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</si>
  <si>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</si>
  <si>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</si>
  <si>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</si>
  <si>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</si>
  <si>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</si>
  <si>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</si>
  <si>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</si>
  <si>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</si>
  <si>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</si>
  <si>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</si>
  <si>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</si>
  <si>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</si>
  <si>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</si>
  <si>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</si>
  <si>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</si>
  <si>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</si>
  <si>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</si>
  <si>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</si>
  <si>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</si>
  <si>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</si>
  <si>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</si>
  <si>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</si>
  <si>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</si>
  <si>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</si>
  <si>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</si>
  <si>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</si>
  <si>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</si>
  <si>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</si>
  <si>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</si>
  <si>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</si>
  <si>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</si>
  <si>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</si>
  <si>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</si>
  <si>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</si>
  <si>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</si>
  <si>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</si>
  <si>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</si>
  <si>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</si>
  <si>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</si>
  <si>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</si>
  <si>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</si>
  <si>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</si>
  <si>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</si>
  <si>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</si>
  <si>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</si>
  <si>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</si>
  <si>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</si>
  <si>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</si>
  <si>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</si>
  <si>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</si>
  <si>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</si>
  <si>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</si>
  <si>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</si>
  <si>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</si>
  <si>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</si>
  <si>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</si>
  <si>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</si>
  <si>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</si>
  <si>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</si>
  <si>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</si>
  <si>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</si>
  <si>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</si>
  <si>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</si>
  <si>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</si>
  <si>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</si>
  <si>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</si>
  <si>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</si>
  <si>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</si>
  <si>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</si>
  <si>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</si>
  <si>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</si>
  <si>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</si>
  <si>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</si>
  <si>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</si>
  <si>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</si>
  <si>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</si>
  <si>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</si>
  <si>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</si>
  <si>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</si>
  <si>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</si>
  <si>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</si>
  <si>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</si>
  <si>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</si>
  <si>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</si>
  <si>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</si>
  <si>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</si>
  <si>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</si>
  <si>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</si>
  <si>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</si>
  <si>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</si>
  <si>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</si>
  <si>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</si>
  <si>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</si>
  <si>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</si>
  <si>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</si>
  <si>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</si>
  <si>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</si>
  <si>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</si>
  <si>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</si>
  <si>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</si>
  <si>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</si>
  <si>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</si>
  <si>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</si>
  <si>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</si>
  <si>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</si>
  <si>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</si>
  <si>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</si>
  <si>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</si>
  <si>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</si>
  <si>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</si>
  <si>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</si>
  <si>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</si>
  <si>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</si>
  <si>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</si>
  <si>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</si>
  <si>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</si>
  <si>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</si>
  <si>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</si>
  <si>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</si>
  <si>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</si>
  <si>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</si>
  <si>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</si>
  <si>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</si>
  <si>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</si>
  <si>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</si>
  <si>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</si>
  <si>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</si>
  <si>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</si>
  <si>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</si>
  <si>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</si>
  <si>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</si>
  <si>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</si>
  <si>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</si>
  <si>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</si>
  <si>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</si>
  <si>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</si>
  <si>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</si>
  <si>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</si>
  <si>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</si>
  <si>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</si>
  <si>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</si>
  <si>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</si>
  <si>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</si>
  <si>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</si>
  <si>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</si>
  <si>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</si>
  <si>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</si>
  <si>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</si>
  <si>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</si>
  <si>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</si>
  <si>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</si>
  <si>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</si>
  <si>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</si>
  <si>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</si>
  <si>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</si>
  <si>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</si>
  <si>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</si>
  <si>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</si>
  <si>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</si>
  <si>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</si>
  <si>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</si>
  <si>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</si>
  <si>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</si>
  <si>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</si>
  <si>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</si>
  <si>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</si>
  <si>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</si>
  <si>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</si>
  <si>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</si>
  <si>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</si>
  <si>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</si>
  <si>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</si>
  <si>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</si>
  <si>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</si>
  <si>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</si>
  <si>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</si>
  <si>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</si>
  <si>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</si>
  <si>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</si>
  <si>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</si>
  <si>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</si>
  <si>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</si>
  <si>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</si>
  <si>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</si>
  <si>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</si>
  <si>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</si>
  <si>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</si>
  <si>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</si>
  <si>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</si>
  <si>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</si>
  <si>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</si>
  <si>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</si>
  <si>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</si>
  <si>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</si>
  <si>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</si>
  <si>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</si>
  <si>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</si>
  <si>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</si>
  <si>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</si>
  <si>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</si>
  <si>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</si>
  <si>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</si>
  <si>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</si>
  <si>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</si>
  <si>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</si>
  <si>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</si>
  <si>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</si>
  <si>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</si>
  <si>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</si>
  <si>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</si>
  <si>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</si>
  <si>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</si>
  <si>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</si>
  <si>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</si>
  <si>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</si>
  <si>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</si>
  <si>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</si>
  <si>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</si>
  <si>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</si>
  <si>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</si>
  <si>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</si>
  <si>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</si>
  <si>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</si>
  <si>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</si>
  <si>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</si>
  <si>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</si>
  <si>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</si>
  <si>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</si>
  <si>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</si>
  <si>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</si>
  <si>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</si>
  <si>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</si>
  <si>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</si>
  <si>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</si>
  <si>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</si>
  <si>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</si>
  <si>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</si>
  <si>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</si>
  <si>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</si>
  <si>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</si>
  <si>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</si>
  <si>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</si>
  <si>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</si>
  <si>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</si>
  <si>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</si>
  <si>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</si>
  <si>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</si>
  <si>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</si>
  <si>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</si>
  <si>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</si>
  <si>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</si>
  <si>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</si>
  <si>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</si>
  <si>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</si>
  <si>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</si>
  <si>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</si>
  <si>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</si>
  <si>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</si>
  <si>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</si>
  <si>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</si>
  <si>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</si>
  <si>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</si>
  <si>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</si>
  <si>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</si>
  <si>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</si>
  <si>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</si>
  <si>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</si>
  <si>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</si>
  <si>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</si>
  <si>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</si>
  <si>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</si>
  <si>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</si>
  <si>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</si>
  <si>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</si>
  <si>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</si>
  <si>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</si>
  <si>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</si>
  <si>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</si>
  <si>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</si>
  <si>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</si>
  <si>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</si>
  <si>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</si>
  <si>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</si>
  <si>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</si>
  <si>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</si>
  <si>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</si>
  <si>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</si>
  <si>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</si>
  <si>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</si>
  <si>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</si>
  <si>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</si>
  <si>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</si>
  <si>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</si>
  <si>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</si>
  <si>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</si>
  <si>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</si>
  <si>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</si>
  <si>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</si>
  <si>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</si>
  <si>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</si>
  <si>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</si>
  <si>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</si>
  <si>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</si>
  <si>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</si>
  <si>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</si>
  <si>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</si>
  <si>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</si>
  <si>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</si>
  <si>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</si>
  <si>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</si>
  <si>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</si>
  <si>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</si>
  <si>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</si>
  <si>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</si>
  <si>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</si>
  <si>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</si>
  <si>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</si>
  <si>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</si>
  <si>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</si>
  <si>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</si>
  <si>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</si>
  <si>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</si>
  <si>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</si>
  <si>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</si>
  <si>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</si>
  <si>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</si>
  <si>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</si>
  <si>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</si>
  <si>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</si>
  <si>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</si>
  <si>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</si>
  <si>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</si>
  <si>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</si>
  <si>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</si>
  <si>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</si>
  <si>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</si>
  <si>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</si>
  <si>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</si>
  <si>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</si>
  <si>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</si>
  <si>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</si>
  <si>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</si>
  <si>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</si>
  <si>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</si>
  <si>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</si>
  <si>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</si>
  <si>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</si>
  <si>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</si>
  <si>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</si>
  <si>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</si>
  <si>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</si>
  <si>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</si>
  <si>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</si>
  <si>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</si>
  <si>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</si>
  <si>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</si>
  <si>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</si>
  <si>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</si>
  <si>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</si>
  <si>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</si>
  <si>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</si>
  <si>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</si>
  <si>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</si>
  <si>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</si>
  <si>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</si>
  <si>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</si>
  <si>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</si>
  <si>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</si>
  <si>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</si>
  <si>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</si>
  <si>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</si>
  <si>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</si>
  <si>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</si>
  <si>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</si>
  <si>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</si>
  <si>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</si>
  <si>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</si>
  <si>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</si>
  <si>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</si>
  <si>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</si>
  <si>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</si>
  <si>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</si>
  <si>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</si>
  <si>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</si>
  <si>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</si>
  <si>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</si>
  <si>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</si>
  <si>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</si>
  <si>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</si>
  <si>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</si>
  <si>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</si>
  <si>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</si>
  <si>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</si>
  <si>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</si>
  <si>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</si>
  <si>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</si>
  <si>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</si>
  <si>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</si>
  <si>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</si>
  <si>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</si>
  <si>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</si>
  <si>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</si>
  <si>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</si>
  <si>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</si>
  <si>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</si>
  <si>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</si>
  <si>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</si>
  <si>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</si>
  <si>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</si>
  <si>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</si>
  <si>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</si>
  <si>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</si>
  <si>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</si>
  <si>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</si>
  <si>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</si>
  <si>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</si>
  <si>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</si>
  <si>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</si>
  <si>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</si>
  <si>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</si>
  <si>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</si>
  <si>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</si>
  <si>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</si>
  <si>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</si>
  <si>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</si>
  <si>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</si>
  <si>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</si>
  <si>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</si>
  <si>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</si>
  <si>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</si>
  <si>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</si>
  <si>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</si>
  <si>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</si>
  <si>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</si>
  <si>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</si>
  <si>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</si>
  <si>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</si>
  <si>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</si>
  <si>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</si>
  <si>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</si>
  <si>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</si>
  <si>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</si>
  <si>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</si>
  <si>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</si>
  <si>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</si>
  <si>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</si>
  <si>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</si>
  <si>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</si>
  <si>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</si>
  <si>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</si>
  <si>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</si>
  <si>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</si>
  <si>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</si>
  <si>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</si>
  <si>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</si>
  <si>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</si>
  <si>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</si>
  <si>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</si>
  <si>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</si>
  <si>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</si>
  <si>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</si>
  <si>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</si>
  <si>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</si>
  <si>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</si>
  <si>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</si>
  <si>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</si>
  <si>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</si>
  <si>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</si>
  <si>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</si>
  <si>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</si>
  <si>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</si>
  <si>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</si>
  <si>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</si>
  <si>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</si>
  <si>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</si>
  <si>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</si>
  <si>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</si>
  <si>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</si>
  <si>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</si>
  <si>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</si>
  <si>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</si>
  <si>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</si>
  <si>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</si>
  <si>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</si>
  <si>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</si>
  <si>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</si>
  <si>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</si>
  <si>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</si>
  <si>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</si>
  <si>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</si>
  <si>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</si>
  <si>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</si>
  <si>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</si>
  <si>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</si>
  <si>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</si>
  <si>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</si>
  <si>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</si>
  <si>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</si>
  <si>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</si>
  <si>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</si>
  <si>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</si>
  <si>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</si>
  <si>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</si>
  <si>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</si>
  <si>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</si>
  <si>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</si>
  <si>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</si>
  <si>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</si>
  <si>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</si>
  <si>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</si>
  <si>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</si>
  <si>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</si>
  <si>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</si>
  <si>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</si>
  <si>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</si>
  <si>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</si>
  <si>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</si>
  <si>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</si>
  <si>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</si>
  <si>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</si>
  <si>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</si>
  <si>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</si>
  <si>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</si>
  <si>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</si>
  <si>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</si>
  <si>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</si>
  <si>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</si>
  <si>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</si>
  <si>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</si>
  <si>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</si>
  <si>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</si>
  <si>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</si>
  <si>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</si>
  <si>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</si>
  <si>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</si>
  <si>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</si>
  <si>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</si>
  <si>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</si>
  <si>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</si>
  <si>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</si>
  <si>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</si>
  <si>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</si>
  <si>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</si>
  <si>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</si>
  <si>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</si>
  <si>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</si>
  <si>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</si>
  <si>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</si>
  <si>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</si>
  <si>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</si>
  <si>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</si>
  <si>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</si>
  <si>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</si>
  <si>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</si>
  <si>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</si>
  <si>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</si>
  <si>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</si>
  <si>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</si>
  <si>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</si>
  <si>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</si>
  <si>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</si>
  <si>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</si>
  <si>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</si>
  <si>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</si>
  <si>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</si>
  <si>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</si>
  <si>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</si>
  <si>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</si>
  <si>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</si>
  <si>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</si>
  <si>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</si>
  <si>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</si>
  <si>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</si>
  <si>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</si>
  <si>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</si>
  <si>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</si>
  <si>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</si>
  <si>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</si>
  <si>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</si>
  <si>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</si>
  <si>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</si>
  <si>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</si>
  <si>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</si>
  <si>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</si>
  <si>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</si>
  <si>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</si>
  <si>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</si>
  <si>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</si>
  <si>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</si>
  <si>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</si>
  <si>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</si>
  <si>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</si>
  <si>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</si>
  <si>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</si>
  <si>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</si>
  <si>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</si>
  <si>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</si>
  <si>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</si>
  <si>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</si>
  <si>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</si>
  <si>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</si>
  <si>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</si>
  <si>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</si>
  <si>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</si>
  <si>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</si>
  <si>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</si>
  <si>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</si>
  <si>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</si>
  <si>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</si>
  <si>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</si>
  <si>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</si>
  <si>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</si>
  <si>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</si>
  <si>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</si>
  <si>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</si>
  <si>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</si>
  <si>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</si>
  <si>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</si>
  <si>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</si>
  <si>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</si>
  <si>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</si>
  <si>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</si>
  <si>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</si>
  <si>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</si>
  <si>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</si>
  <si>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</si>
  <si>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</si>
  <si>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</si>
  <si>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</si>
  <si>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</si>
  <si>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</si>
  <si>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</si>
  <si>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</si>
  <si>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</si>
  <si>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</si>
  <si>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</si>
  <si>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</si>
  <si>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</si>
  <si>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</si>
  <si>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</si>
  <si>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</si>
  <si>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</si>
  <si>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</si>
  <si>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</si>
  <si>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</si>
  <si>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</si>
  <si>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</si>
  <si>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</si>
  <si>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</si>
  <si>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</si>
  <si>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</si>
  <si>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</si>
  <si>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</si>
  <si>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</si>
  <si>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</si>
  <si>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</si>
  <si>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</si>
  <si>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</si>
  <si>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</si>
  <si>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</si>
  <si>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</si>
  <si>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</si>
  <si>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</si>
  <si>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</si>
  <si>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</si>
  <si>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</si>
  <si>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</si>
  <si>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</si>
  <si>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</si>
  <si>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</si>
  <si>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</si>
  <si>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</si>
  <si>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</si>
  <si>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</si>
  <si>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</si>
  <si>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</si>
  <si>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</si>
  <si>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</si>
  <si>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</si>
  <si>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</si>
  <si>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</si>
  <si>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</si>
  <si>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</si>
  <si>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</si>
  <si>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</si>
  <si>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</si>
  <si>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</si>
  <si>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</si>
  <si>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</si>
  <si>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</si>
  <si>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</si>
  <si>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</si>
  <si>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</si>
  <si>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</si>
  <si>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</si>
  <si>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</si>
  <si>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</si>
  <si>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</si>
  <si>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</si>
  <si>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</si>
  <si>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</si>
  <si>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</si>
  <si>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</si>
  <si>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</si>
  <si>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</si>
  <si>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</si>
  <si>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</si>
  <si>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</si>
  <si>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</si>
  <si>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</si>
  <si>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</si>
  <si>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</si>
  <si>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</si>
  <si>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</si>
  <si>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</si>
  <si>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</si>
  <si>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</si>
  <si>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</si>
  <si>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</si>
  <si>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</si>
  <si>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</si>
  <si>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</si>
  <si>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</si>
  <si>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</si>
  <si>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</si>
  <si>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</si>
  <si>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</si>
  <si>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</si>
  <si>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</si>
  <si>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</si>
  <si>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</si>
  <si>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</si>
  <si>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</si>
  <si>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</si>
  <si>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</si>
  <si>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</si>
  <si>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</si>
  <si>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</si>
  <si>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</si>
  <si>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</si>
  <si>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</si>
  <si>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</si>
  <si>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</si>
  <si>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</si>
  <si>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</si>
  <si>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</si>
  <si>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</si>
  <si>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</si>
  <si>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</si>
  <si>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</si>
  <si>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</si>
  <si>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</si>
  <si>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</si>
  <si>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</si>
  <si>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</si>
  <si>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</si>
  <si>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</si>
  <si>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</si>
  <si>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</si>
  <si>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</si>
  <si>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</si>
  <si>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</si>
  <si>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</si>
  <si>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</si>
  <si>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</si>
  <si>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</si>
  <si>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</si>
  <si>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</si>
  <si>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</si>
  <si>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</si>
  <si>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</si>
  <si>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</si>
  <si>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</si>
  <si>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</si>
  <si>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</si>
  <si>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</si>
  <si>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</si>
  <si>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</si>
  <si>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</si>
  <si>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</si>
  <si>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</si>
  <si>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</si>
  <si>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</si>
  <si>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</si>
  <si>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</si>
  <si>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</si>
  <si>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</si>
  <si>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</si>
  <si>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</si>
  <si>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</si>
  <si>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</si>
  <si>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</si>
  <si>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</si>
  <si>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</si>
  <si>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</si>
  <si>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按租金收入计税</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</si>
  <si>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</si>
  <si>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</si>
  <si>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</si>
  <si>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</si>
  <si>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</si>
  <si>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</si>
  <si>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</si>
  <si>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</si>
  <si>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</si>
  <si>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</si>
  <si>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</si>
  <si>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</si>
  <si>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</si>
  <si>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</si>
  <si>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</si>
  <si>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</si>
  <si>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</si>
  <si>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</si>
  <si>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</si>
  <si>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</si>
  <si>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</si>
  <si>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</si>
  <si>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</si>
  <si>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</si>
  <si>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</si>
  <si>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</si>
  <si>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</si>
  <si>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</si>
  <si>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</si>
  <si>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</si>
  <si>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</si>
  <si>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</si>
  <si>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</si>
  <si>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</si>
  <si>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</si>
  <si>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</si>
  <si>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</si>
  <si>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</si>
  <si>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</si>
  <si>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</si>
  <si>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</si>
  <si>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</si>
  <si>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</si>
  <si>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</si>
  <si>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</si>
  <si>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</si>
  <si>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</si>
  <si>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</si>
  <si>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</si>
  <si>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</si>
  <si>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</si>
  <si>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</si>
  <si>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</si>
  <si>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</si>
  <si>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</si>
  <si>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</si>
  <si>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</si>
  <si>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</si>
  <si>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</si>
  <si>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</si>
  <si>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</si>
  <si>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</si>
  <si>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</si>
  <si>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</si>
  <si>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</si>
  <si>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</si>
  <si>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</si>
  <si>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</si>
  <si>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</si>
  <si>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</si>
  <si>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</si>
  <si>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</si>
  <si>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</si>
  <si>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</si>
  <si>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</si>
  <si>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</si>
  <si>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</si>
  <si>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</si>
  <si>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</si>
  <si>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</si>
  <si>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</si>
  <si>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</si>
  <si>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</si>
  <si>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</si>
  <si>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</si>
  <si>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</si>
  <si>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</si>
  <si>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</si>
  <si>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</si>
  <si>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</si>
  <si>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</si>
  <si>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</si>
  <si>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</si>
  <si>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王鹏</t>
  </si>
  <si>
    <t>郑燚</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</si>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</sst>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600075</xdr:colOff>
      <xdr:row>1</xdr:row>
      <xdr:rowOff>104775</xdr:rowOff>
    </xdr:from>
    <xdr:to>
      <xdr:col>15</xdr:col>
      <xdr:colOff>190037</xdr:colOff>
      <xdr:row>20</xdr:row>
      <xdr:rowOff>171013</xdr:rowOff>
    </xdr:to>
    <xdr:pic>
      <xdr:nvPicPr>
        <xdr:cNvPr id="2" name="图片 1"/>
        <xdr:cNvPicPr>
          <a:picLocks noChangeAspect="1"/>
        </xdr:cNvPicPr>
      </xdr:nvPicPr>
      <xdr:blipFill>
        <a:blip xmlns:r="http://schemas.openxmlformats.org/officeDocument/2006/relationships" r:embed="rId1"/>
        <a:stretch>
          <a:fillRect/>
        </a:stretch>
      </xdr:blipFill>
      <xdr:spPr>
        <a:xfrm>
          <a:off x="7162800" y="285750"/>
          <a:ext cx="3704762" cy="3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60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812-&#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817-&#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469-&#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470-&#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01-&#23545;&#20844;&#20107;&#19994;&#37096;&#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843-&#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140386.35</v>
          </cell>
          <cell r="C14">
            <v>47697.85</v>
          </cell>
          <cell r="D14">
            <v>49078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89652.62</v>
          </cell>
          <cell r="C14">
            <v>30325.07</v>
          </cell>
          <cell r="D14">
            <v>31182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206250.18</v>
          </cell>
          <cell r="C14">
            <v>75029.52</v>
          </cell>
          <cell r="D14">
            <v>79131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115386.94999999998</v>
          </cell>
          <cell r="C14">
            <v>20580.560000000001</v>
          </cell>
          <cell r="D14">
            <v>18653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66290.36</v>
          </cell>
          <cell r="C14">
            <v>38994.33</v>
          </cell>
          <cell r="D14">
            <v>42143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18987.349999999999</v>
          </cell>
          <cell r="C14">
            <v>11169.03</v>
          </cell>
          <cell r="D14">
            <v>12071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91672.93</v>
          </cell>
          <cell r="C14">
            <v>53925.25</v>
          </cell>
          <cell r="D14">
            <v>58843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505610.32</v>
          </cell>
          <cell r="C14">
            <v>110836.2</v>
          </cell>
          <cell r="D14">
            <v>101296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386376.68</v>
          </cell>
          <cell r="C14">
            <v>84771.3</v>
          </cell>
          <cell r="D14">
            <v>76820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2018年8月29日</v>
      </c>
    </row>
    <row r="13" spans="1:2" s="1596" customFormat="1">
      <c r="A13" s="1594" t="s">
        <v>1227</v>
      </c>
      <c r="B13" s="1595" t="str">
        <f>'预评函-1'!A18</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57790</v>
      </c>
    </row>
    <row r="21" spans="1:2" s="1596" customFormat="1">
      <c r="A21" s="1594" t="s">
        <v>1235</v>
      </c>
      <c r="B21" s="1595">
        <f ca="1">'预评函-2'!D7</f>
        <v>14932</v>
      </c>
    </row>
    <row r="22" spans="1:2" s="1596" customFormat="1">
      <c r="A22" s="1594" t="s">
        <v>1236</v>
      </c>
      <c r="B22" s="1595" t="str">
        <f ca="1">'预评函-2'!D6</f>
        <v>伍亿柒仟柒佰玖拾万元整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57790</v>
      </c>
    </row>
    <row r="31" spans="1:2" s="1596" customFormat="1">
      <c r="A31" s="1594" t="s">
        <v>1274</v>
      </c>
      <c r="B31" s="1595">
        <f ca="1">'预评函-2'!D15</f>
        <v>14932</v>
      </c>
    </row>
    <row r="32" spans="1:2" s="1596" customFormat="1">
      <c r="A32" s="1594" t="s">
        <v>1241</v>
      </c>
      <c r="B32" s="1595" t="str">
        <f ca="1">'预评函-2'!D14</f>
        <v>伍亿柒仟柒佰玖拾万元整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12772</v>
      </c>
    </row>
    <row r="48" spans="1:2" s="1596" customFormat="1">
      <c r="A48" s="1594" t="s">
        <v>1247</v>
      </c>
      <c r="B48" s="1595">
        <f ca="1">'预评函-3'!E4</f>
        <v>3300</v>
      </c>
    </row>
    <row r="49" spans="1:2" s="1596" customFormat="1">
      <c r="A49" s="1594" t="s">
        <v>1248</v>
      </c>
      <c r="B49" s="1595" t="str">
        <f ca="1">'预评函-3'!D5</f>
        <v>壹亿贰仟柒佰柒拾贰万元整</v>
      </c>
    </row>
    <row r="50" spans="1:2" s="1596" customFormat="1">
      <c r="A50" s="1594" t="s">
        <v>1272</v>
      </c>
      <c r="B50" s="1595" t="str">
        <f>'预评函-3'!F2</f>
        <v>在建建筑物价值</v>
      </c>
    </row>
    <row r="51" spans="1:2" s="1596" customFormat="1">
      <c r="A51" s="1594" t="s">
        <v>1249</v>
      </c>
      <c r="B51" s="1595">
        <f ca="1">'预评函-3'!F4</f>
        <v>45018</v>
      </c>
    </row>
    <row r="52" spans="1:2" s="1596" customFormat="1">
      <c r="A52" s="1594" t="s">
        <v>1250</v>
      </c>
      <c r="B52" s="1595">
        <f ca="1">'预评函-3'!G4</f>
        <v>11632</v>
      </c>
    </row>
    <row r="53" spans="1:2" s="1596" customFormat="1">
      <c r="A53" s="1594" t="s">
        <v>1278</v>
      </c>
      <c r="B53" s="1595" t="str">
        <f ca="1">'预评函-3'!F5</f>
        <v>肆亿伍仟零壹拾捌万元整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12" t="str">
        <f>IF(B10="北京市","北京市",C10)&amp;F10&amp;IF(结果表!G1="在建","出让国有建设用地使用权及在建建筑物",IF(结果表!G1="土地","出让国有建设用地使用权",))&amp;B9&amp;"预评估"</f>
        <v>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c r="C3" s="2040" t="s">
        <v>1779</v>
      </c>
      <c r="D3" s="2039">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3156</v>
      </c>
      <c r="C4" s="1040">
        <f ca="1">SUMIF(注册房地产估价师,B4,估价师及机构信息!B3:B24)</f>
        <v>1120050019</v>
      </c>
      <c r="D4" s="2042" t="s">
        <v>3157</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3015" t="s">
        <v>1785</v>
      </c>
      <c r="E8" s="2060" t="s">
        <v>3051</v>
      </c>
      <c r="F8" s="2061"/>
      <c r="G8" s="2029"/>
      <c r="H8" s="2029"/>
      <c r="I8" s="2029"/>
      <c r="J8" s="2045"/>
      <c r="K8" s="2046"/>
      <c r="L8" s="2031"/>
      <c r="M8" s="2031"/>
      <c r="N8" s="2032"/>
      <c r="O8" s="2033"/>
      <c r="P8" s="2032"/>
      <c r="Q8" s="2032"/>
      <c r="R8" s="2032"/>
    </row>
    <row r="9" spans="1:19" ht="18" customHeight="1" thickBot="1">
      <c r="A9" s="2043" t="s">
        <v>1786</v>
      </c>
      <c r="B9" s="2062" t="s">
        <v>3051</v>
      </c>
      <c r="C9" s="2063"/>
      <c r="D9" s="3016"/>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3053</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53466</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27.73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22"/>
      <c r="C16" s="3023"/>
      <c r="D16" s="3024"/>
      <c r="E16" s="2089" t="s">
        <v>1802</v>
      </c>
      <c r="F16" s="3025"/>
      <c r="G16" s="3026"/>
      <c r="H16" s="3026"/>
      <c r="I16" s="3027"/>
      <c r="J16" s="2032"/>
      <c r="K16" s="2086"/>
      <c r="L16" s="2087"/>
      <c r="M16" s="2087"/>
      <c r="N16" s="2088"/>
      <c r="O16" s="2087"/>
      <c r="P16" s="2088"/>
      <c r="Q16" s="2032"/>
      <c r="R16" s="2032"/>
    </row>
    <row r="17" spans="1:22" ht="18" customHeight="1">
      <c r="A17" s="2090" t="s">
        <v>1803</v>
      </c>
      <c r="B17" s="2038" t="s">
        <v>1804</v>
      </c>
      <c r="C17" s="1057">
        <f>'数据-汇总表'!E3</f>
        <v>38702.28</v>
      </c>
      <c r="D17" s="2091" t="s">
        <v>1805</v>
      </c>
      <c r="E17" s="3028" t="s">
        <v>1806</v>
      </c>
      <c r="F17" s="3029"/>
      <c r="G17" s="3029"/>
      <c r="H17" s="3029"/>
      <c r="I17" s="3030"/>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13879.46</v>
      </c>
      <c r="D18" s="2094" t="s">
        <v>1805</v>
      </c>
      <c r="E18" s="3031" t="s">
        <v>1809</v>
      </c>
      <c r="F18" s="3032"/>
      <c r="G18" s="3032"/>
      <c r="H18" s="3032"/>
      <c r="I18" s="3033"/>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18" t="s">
        <v>1814</v>
      </c>
      <c r="C20" s="3019"/>
      <c r="D20" s="3020" t="s">
        <v>1815</v>
      </c>
      <c r="E20" s="3021"/>
      <c r="F20" s="2101" t="s">
        <v>1816</v>
      </c>
      <c r="G20" s="2045"/>
      <c r="H20" s="2045"/>
      <c r="I20" s="2045"/>
      <c r="J20" s="2045"/>
      <c r="K20" s="301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5"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5"/>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5"/>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6"/>
      <c r="B30" s="2038" t="s">
        <v>1833</v>
      </c>
      <c r="C30" s="3007"/>
      <c r="D30" s="300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9"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04" t="s">
        <v>1843</v>
      </c>
      <c r="T34" s="2138" t="str">
        <f>NUMBERSTRING(7-K34,1)&amp;"通"</f>
        <v>七通</v>
      </c>
      <c r="U34" s="2032"/>
      <c r="V34" s="2032"/>
    </row>
    <row r="35" spans="1:22" ht="18" customHeight="1">
      <c r="A35" s="2139"/>
      <c r="B35" s="3011" t="s">
        <v>1844</v>
      </c>
      <c r="C35" s="3011"/>
      <c r="D35" s="3011"/>
      <c r="E35" s="301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4"/>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13879.46</v>
      </c>
      <c r="B3" s="14">
        <f>IF(C3="否",G5-AT5,G5)</f>
        <v>38702.28</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3055</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3056</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3054</v>
      </c>
      <c r="E13" s="16">
        <f>IF($C$3="是",ROUND($A$3*G13/$B$3,2),ROUND($A$3*(G13-AT13)/$B$3,2))</f>
        <v>13879.46</v>
      </c>
      <c r="F13" s="32"/>
      <c r="G13" s="33">
        <f>H13+AC13+AT13</f>
        <v>38702.28</v>
      </c>
      <c r="H13" s="20">
        <f>SUMIF(I$12:AB$12,"总值",I13:AB13)</f>
        <v>38702.28</v>
      </c>
      <c r="I13" s="2218">
        <v>38702.28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45" t="s">
        <v>1940</v>
      </c>
      <c r="B2" s="3045"/>
      <c r="C2" s="3045"/>
      <c r="D2" s="970" t="s">
        <v>1916</v>
      </c>
      <c r="E2" s="2231" t="s">
        <v>1917</v>
      </c>
      <c r="F2" s="1395"/>
      <c r="G2" s="2232"/>
      <c r="H2" s="2233"/>
      <c r="I2" s="2234" t="s">
        <v>1941</v>
      </c>
      <c r="J2" s="1395"/>
      <c r="K2" s="1395"/>
      <c r="L2" s="1395"/>
      <c r="M2" s="1395"/>
      <c r="N2" s="1430"/>
      <c r="O2" s="1395"/>
      <c r="P2" s="1395"/>
    </row>
    <row r="3" spans="1:16" ht="15.75" thickBot="1">
      <c r="A3" s="3046" t="s">
        <v>1914</v>
      </c>
      <c r="B3" s="3046"/>
      <c r="C3" s="3046"/>
      <c r="D3" s="46">
        <f>'数据-基础表'!AY6</f>
        <v>13879.46</v>
      </c>
      <c r="E3" s="46">
        <f>'数据-基础表'!AZ5</f>
        <v>38702.28</v>
      </c>
      <c r="F3" s="1395"/>
      <c r="G3" s="1402"/>
      <c r="H3" s="1250" t="s">
        <v>1915</v>
      </c>
      <c r="I3" s="55">
        <f>ROUND('数据-基础表'!B3/'数据-基础表'!A3,2)</f>
        <v>2.79</v>
      </c>
      <c r="J3" s="1395"/>
      <c r="K3" s="1395"/>
      <c r="L3" s="1395"/>
      <c r="M3" s="1395"/>
      <c r="N3" s="1430"/>
      <c r="O3" s="1395"/>
      <c r="P3" s="1395"/>
    </row>
    <row r="4" spans="1:16" ht="15">
      <c r="A4" s="3047"/>
      <c r="B4" s="3048"/>
      <c r="C4" s="3049"/>
      <c r="D4" s="2235" t="s">
        <v>1916</v>
      </c>
      <c r="E4" s="2236" t="s">
        <v>1917</v>
      </c>
      <c r="F4" s="1395"/>
      <c r="G4" s="2237" t="s">
        <v>1942</v>
      </c>
      <c r="H4" s="1250" t="s">
        <v>1922</v>
      </c>
      <c r="I4" s="55">
        <f>ROUND(SUMIF('数据-基础表'!I9:AS9,"地上",'数据-基础表'!I5:AS5)/'数据-基础表'!A3,2)</f>
        <v>2.79</v>
      </c>
      <c r="J4" s="1395"/>
      <c r="K4" s="1395"/>
      <c r="L4" s="1395"/>
      <c r="M4" s="1395"/>
      <c r="N4" s="1430"/>
      <c r="O4" s="1395"/>
      <c r="P4" s="1395"/>
    </row>
    <row r="5" spans="1:16">
      <c r="A5" s="47" t="s">
        <v>1918</v>
      </c>
      <c r="B5" s="3050" t="s">
        <v>1919</v>
      </c>
      <c r="C5" s="3050"/>
      <c r="D5" s="48">
        <f>ROUND($D$3*E5/$E$3,2)</f>
        <v>0</v>
      </c>
      <c r="E5" s="49">
        <f>SUMIF('数据-基础表'!$11:$11,"住宅",'数据-基础表'!$5:$5)</f>
        <v>0</v>
      </c>
      <c r="F5" s="1395"/>
      <c r="G5" s="1402"/>
      <c r="H5" s="1250" t="s">
        <v>1915</v>
      </c>
      <c r="I5" s="55">
        <f>ROUND(E31/D31,2)</f>
        <v>2.79</v>
      </c>
      <c r="J5" s="1395"/>
      <c r="K5" s="1395"/>
      <c r="L5" s="1395"/>
      <c r="M5" s="1395"/>
      <c r="N5" s="1395"/>
      <c r="O5" s="1395"/>
      <c r="P5" s="1395"/>
    </row>
    <row r="6" spans="1:16" ht="15" thickBot="1">
      <c r="A6" s="2238"/>
      <c r="B6" s="3050" t="s">
        <v>1920</v>
      </c>
      <c r="C6" s="3050"/>
      <c r="D6" s="48">
        <f>ROUND($D$3*E6/$E$3,2)</f>
        <v>13879.46</v>
      </c>
      <c r="E6" s="49">
        <f>E3-E5</f>
        <v>38702.28</v>
      </c>
      <c r="F6" s="1395"/>
      <c r="G6" s="2239" t="s">
        <v>1921</v>
      </c>
      <c r="H6" s="1402" t="s">
        <v>1922</v>
      </c>
      <c r="I6" s="942">
        <f>ROUND(F31/D31,2)</f>
        <v>2.79</v>
      </c>
      <c r="J6" s="1395"/>
      <c r="K6" s="1395"/>
      <c r="L6" s="1395"/>
      <c r="M6" s="1395"/>
      <c r="N6" s="1395"/>
      <c r="O6" s="1395"/>
      <c r="P6" s="1395"/>
    </row>
    <row r="7" spans="1:16" ht="15">
      <c r="A7" s="3042"/>
      <c r="B7" s="3043"/>
      <c r="C7" s="3044"/>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13879.46</v>
      </c>
      <c r="E8" s="51">
        <f>SUMIF('数据-基础表'!BB10:BK10,"地上",'数据-基础表'!BB5:BK5)</f>
        <v>38702.28</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13879.46</v>
      </c>
      <c r="E16" s="53">
        <f>SUM(E8:E15)</f>
        <v>38702.28</v>
      </c>
      <c r="F16" s="1395"/>
      <c r="G16" s="2241"/>
      <c r="H16" s="2244" t="s">
        <v>1944</v>
      </c>
      <c r="I16" s="2245"/>
      <c r="J16" s="1395"/>
      <c r="K16" s="3039" t="s">
        <v>1944</v>
      </c>
      <c r="L16" s="3040"/>
      <c r="M16" s="3040"/>
      <c r="N16" s="3040"/>
      <c r="O16" s="3040"/>
      <c r="P16" s="3041"/>
    </row>
    <row r="17" spans="1:19" ht="15">
      <c r="A17" s="2246" t="s">
        <v>1945</v>
      </c>
      <c r="B17" s="2247" t="s">
        <v>1946</v>
      </c>
      <c r="C17" s="2248" t="s">
        <v>1947</v>
      </c>
      <c r="D17" s="2249" t="s">
        <v>1935</v>
      </c>
      <c r="E17" s="2250" t="s">
        <v>1936</v>
      </c>
      <c r="F17" s="2251"/>
      <c r="G17" s="2252"/>
      <c r="H17" s="2253" t="s">
        <v>1948</v>
      </c>
      <c r="I17" s="2254" t="s">
        <v>1933</v>
      </c>
      <c r="J17" s="1395"/>
      <c r="K17" s="3036" t="s">
        <v>1949</v>
      </c>
      <c r="L17" s="3037"/>
      <c r="M17" s="3038"/>
      <c r="N17" s="3036" t="s">
        <v>1950</v>
      </c>
      <c r="O17" s="3037"/>
      <c r="P17" s="303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8" t="s">
        <v>3057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13879.46</v>
      </c>
      <c r="S19" s="1251">
        <f t="shared" si="5"/>
        <v>38702.28</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3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43341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3058</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1377</v>
      </c>
      <c r="D6" s="1054">
        <f>SUMIF(项目基本情况!D$12:I$12,C6,项目基本情况!D$14:I$14)</f>
        <v>40</v>
      </c>
      <c r="E6" s="1051">
        <f>IF(B6="","",SUMIF(项目基本情况!D$12:I$12,C6,项目基本情况!D$13:I$13))</f>
        <v>53466</v>
      </c>
      <c r="F6" s="72">
        <f>SUMIF(项目基本情况!D$12:I$12,C6,项目基本情况!D$15:I$15)</f>
        <v>27.73</v>
      </c>
      <c r="G6" s="73">
        <f>IF(ISERROR(ROUND(POWER(1+H6,D6-F6)*(POWER(1+H6,F6)-1)/(POWER(1+H6,D6)-1),3)),0,ROUND(POWER(1+H6,D6-F6)*(POWER(1+H6,F6)-1)/(POWER(1+H6,D6)-1),3))</f>
        <v>0.86399999999999999</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v>3.5505</v>
      </c>
      <c r="V6" s="79">
        <v>0.02</v>
      </c>
      <c r="W6" s="79">
        <v>0</v>
      </c>
      <c r="X6" s="1264"/>
      <c r="Y6" s="80">
        <f>N6</f>
        <v>0.93</v>
      </c>
      <c r="Z6" s="81"/>
      <c r="AA6" s="74"/>
      <c r="AB6" s="74"/>
      <c r="AC6" s="1264"/>
      <c r="AD6" s="82"/>
      <c r="AE6" s="1265">
        <f ca="1">IF(AN6="",0,SUMIF(INDIRECT("'"&amp;AN6&amp;"'"&amp;"!E:E"),$AE$5,INDIRECT("'"&amp;AN6&amp;"'"&amp;"!F:F")))</f>
        <v>27.73</v>
      </c>
      <c r="AF6" s="1807"/>
      <c r="AG6" s="147">
        <f>IF(AF6="",0,AE6-AF6)</f>
        <v>0</v>
      </c>
      <c r="AH6" s="83"/>
      <c r="AI6" s="85">
        <v>365</v>
      </c>
      <c r="AJ6" s="86"/>
      <c r="AK6" s="87">
        <v>1.4999999999999999E-2</v>
      </c>
      <c r="AL6" s="88">
        <v>1.5E-3</v>
      </c>
      <c r="AM6" s="89">
        <v>1.4999999999999999E-2</v>
      </c>
      <c r="AN6" s="2313" t="s">
        <v>3059</v>
      </c>
      <c r="AO6" s="55">
        <f ca="1">SUMIF(INDIRECT("'"&amp;AN6&amp;"'"&amp;"!A:A"),"总价",INDIRECT("'"&amp;AN6&amp;"'"&amp;"!B:B"))</f>
        <v>59175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0.86399999999999999</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2.5</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90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 ca="1">成本法!C10</f>
        <v>348</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0.04</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0.05</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0.03</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442</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v>25</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v>20</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v>15</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v>10</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v>5</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1" t="s">
        <v>2085</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54">
      <c r="A4" s="431"/>
      <c r="B4" s="1798" t="s">
        <v>2093</v>
      </c>
      <c r="C4" s="2955" t="s">
        <v>3146</v>
      </c>
      <c r="D4" s="2375"/>
      <c r="E4" s="2378"/>
      <c r="F4" s="42" t="s">
        <v>2094</v>
      </c>
      <c r="G4" s="2379" t="s">
        <v>2095</v>
      </c>
      <c r="H4" s="2372"/>
      <c r="I4" s="2372"/>
      <c r="J4" s="2372"/>
      <c r="K4" s="2372"/>
      <c r="L4" s="2372"/>
      <c r="M4" s="2372"/>
      <c r="N4" s="2372"/>
      <c r="O4" s="2372"/>
      <c r="P4" s="2372"/>
      <c r="Q4" s="2372"/>
      <c r="R4" s="2372"/>
    </row>
    <row r="5" spans="1:29" ht="54">
      <c r="A5" s="431"/>
      <c r="B5" s="1798" t="s">
        <v>2096</v>
      </c>
      <c r="C5" s="2955" t="s">
        <v>3151</v>
      </c>
      <c r="D5" s="2375"/>
      <c r="E5" s="2378"/>
      <c r="F5" s="1798" t="s">
        <v>2097</v>
      </c>
      <c r="G5" s="2379" t="s">
        <v>2098</v>
      </c>
      <c r="H5" s="2372"/>
      <c r="I5" s="2372"/>
      <c r="J5" s="2372"/>
      <c r="K5" s="2372"/>
      <c r="L5" s="2372"/>
      <c r="M5" s="2372"/>
      <c r="N5" s="2372"/>
      <c r="O5" s="2372"/>
      <c r="P5" s="2372"/>
      <c r="Q5" s="2372"/>
      <c r="R5" s="2372"/>
    </row>
    <row r="6" spans="1:29" ht="54">
      <c r="A6" s="431"/>
      <c r="B6" s="1798" t="s">
        <v>2099</v>
      </c>
      <c r="C6" s="2954" t="s">
        <v>3145</v>
      </c>
      <c r="D6" s="2375"/>
      <c r="E6" s="2378"/>
      <c r="F6" s="1798" t="s">
        <v>2100</v>
      </c>
      <c r="G6" s="2379" t="s">
        <v>2101</v>
      </c>
      <c r="H6" s="2372"/>
      <c r="I6" s="2372"/>
      <c r="J6" s="2372"/>
      <c r="K6" s="2372"/>
      <c r="L6" s="2372"/>
      <c r="M6" s="2372"/>
      <c r="N6" s="2372"/>
      <c r="O6" s="2372"/>
      <c r="P6" s="2372"/>
      <c r="Q6" s="2372"/>
      <c r="R6" s="2372"/>
    </row>
    <row r="7" spans="1:29" ht="54.75" thickBot="1">
      <c r="A7" s="431"/>
      <c r="B7" s="1798" t="s">
        <v>2097</v>
      </c>
      <c r="C7" s="2954" t="s">
        <v>3143</v>
      </c>
      <c r="D7" s="2380"/>
      <c r="E7" s="2381"/>
      <c r="F7" s="2382" t="s">
        <v>2102</v>
      </c>
      <c r="G7" s="2383" t="s">
        <v>2103</v>
      </c>
      <c r="H7" s="2372"/>
      <c r="I7" s="2372"/>
      <c r="J7" s="2372"/>
      <c r="K7" s="2372"/>
      <c r="L7" s="2372"/>
      <c r="M7" s="2372"/>
      <c r="N7" s="2372"/>
      <c r="O7" s="2372"/>
      <c r="P7" s="2372"/>
      <c r="Q7" s="2372"/>
      <c r="R7" s="2372"/>
    </row>
    <row r="8" spans="1:29" ht="27">
      <c r="A8" s="431"/>
      <c r="B8" s="1798" t="s">
        <v>2100</v>
      </c>
      <c r="C8" s="2954" t="s">
        <v>3155</v>
      </c>
      <c r="D8" s="2380"/>
      <c r="E8" s="2380"/>
      <c r="F8" s="1136"/>
      <c r="G8" s="1136"/>
      <c r="H8" s="2372"/>
      <c r="I8" s="2372"/>
      <c r="J8" s="2372"/>
      <c r="K8" s="2372"/>
      <c r="L8" s="2372"/>
      <c r="M8" s="2372"/>
      <c r="N8" s="2372"/>
      <c r="O8" s="2372"/>
      <c r="P8" s="2372"/>
      <c r="Q8" s="2372"/>
      <c r="R8" s="2372"/>
    </row>
    <row r="9" spans="1:29" ht="54">
      <c r="A9" s="431"/>
      <c r="B9" s="1798" t="s">
        <v>2104</v>
      </c>
      <c r="C9" s="2955" t="s">
        <v>3144</v>
      </c>
      <c r="D9" s="2375"/>
      <c r="E9" s="2380"/>
      <c r="F9" s="1136"/>
      <c r="G9" s="1136"/>
      <c r="H9" s="2372"/>
      <c r="I9" s="2372"/>
      <c r="J9" s="2372"/>
      <c r="K9" s="2372"/>
      <c r="L9" s="2372"/>
      <c r="M9" s="2372"/>
      <c r="N9" s="2372"/>
      <c r="O9" s="2372"/>
      <c r="P9" s="2372"/>
      <c r="Q9" s="2372"/>
      <c r="R9" s="2372"/>
    </row>
    <row r="10" spans="1:29" s="117" customFormat="1" ht="15.75" thickBot="1">
      <c r="A10" s="2384"/>
      <c r="B10" s="2385" t="s">
        <v>2105</v>
      </c>
      <c r="C10" s="2386"/>
      <c r="D10" s="2375"/>
      <c r="E10" s="2375"/>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5"/>
      <c r="D11" s="2375"/>
      <c r="E11" s="2375"/>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5"/>
      <c r="D12" s="2391"/>
      <c r="E12" s="2375"/>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2106</v>
      </c>
      <c r="B13" s="2391"/>
      <c r="C13" s="2391"/>
      <c r="D13" s="2398"/>
      <c r="E13" s="2391"/>
      <c r="F13" s="2391"/>
      <c r="G13" s="2391"/>
    </row>
    <row r="14" spans="1:29" ht="15.75" thickBot="1">
      <c r="A14" s="2402"/>
      <c r="B14" s="2403"/>
      <c r="C14" s="2404" t="s">
        <v>2107</v>
      </c>
      <c r="D14" s="2375"/>
      <c r="E14" s="2405"/>
      <c r="F14" s="2405"/>
      <c r="G14" s="2369" t="s">
        <v>2108</v>
      </c>
    </row>
    <row r="15" spans="1:29" ht="57">
      <c r="A15" s="68" t="s">
        <v>2109</v>
      </c>
      <c r="B15" s="1270" t="s">
        <v>2089</v>
      </c>
      <c r="C15" s="2406" t="str">
        <f>C3</f>
        <v>估价对象周边居住用地比例、居住小区规模和社区发展完善程度，综合评价居住社区成熟度一般</v>
      </c>
      <c r="D15" s="2375"/>
      <c r="E15" s="2407" t="s">
        <v>2110</v>
      </c>
      <c r="F15" s="1270" t="s">
        <v>2111</v>
      </c>
      <c r="G15" s="135" t="str">
        <f>G3</f>
        <v>估价对象位于XX开发区，园区建设成熟度XX，产业集聚程度XX</v>
      </c>
    </row>
    <row r="16" spans="1:29" ht="57">
      <c r="A16" s="645"/>
      <c r="B16" s="2408" t="s">
        <v>2093</v>
      </c>
      <c r="C16" s="2409" t="str">
        <f>C4</f>
        <v>周边有旺角汇、东方广场等购物场所，商业氛围较成熟，人流量较大，商业繁华度较好</v>
      </c>
      <c r="D16" s="2375"/>
      <c r="E16" s="2410"/>
      <c r="F16" s="2411" t="s">
        <v>2094</v>
      </c>
      <c r="G16" s="136" t="str">
        <f>G4</f>
        <v>估价对象周边道路状况、公共交通通达情况、停车便捷程度，综合评价交通便捷度较好</v>
      </c>
    </row>
    <row r="17" spans="1:18" ht="57">
      <c r="A17" s="645"/>
      <c r="B17" s="2408" t="s">
        <v>2096</v>
      </c>
      <c r="C17" s="2409" t="str">
        <f>C5</f>
        <v>周边办公楼项目较多，有贵州金融城、贵阳富力中心等，入驻率较高，办公集聚程度较好</v>
      </c>
      <c r="D17" s="2380"/>
      <c r="E17" s="2410"/>
      <c r="F17" s="2411" t="s">
        <v>2112</v>
      </c>
      <c r="G17" s="1572"/>
    </row>
    <row r="18" spans="1:18" ht="57">
      <c r="A18" s="645"/>
      <c r="B18" s="2411" t="s">
        <v>2099</v>
      </c>
      <c r="C18" s="136" t="str">
        <f>C6</f>
        <v>临近云环路、南湖路，周边有周边有3路、18路、29路等公交线路，停车便捷度较好、综合评价交通便捷度较好</v>
      </c>
      <c r="D18" s="2380"/>
      <c r="E18" s="2410"/>
      <c r="F18" s="2411" t="s">
        <v>2102</v>
      </c>
      <c r="G18" s="136" t="str">
        <f>G7</f>
        <v>该园区内是否有污染型企业，绿化情况，卫生条件，整体环境状况判断</v>
      </c>
    </row>
    <row r="19" spans="1:18" ht="28.5">
      <c r="A19" s="645"/>
      <c r="B19" s="2411" t="s">
        <v>2113</v>
      </c>
      <c r="C19" s="1572"/>
      <c r="D19" s="2375"/>
      <c r="E19" s="2410"/>
      <c r="F19" s="1798" t="s">
        <v>2097</v>
      </c>
      <c r="G19" s="136" t="str">
        <f>G5</f>
        <v>估价对象所在区域公共配套设施齐备情况</v>
      </c>
    </row>
    <row r="20" spans="1:18" ht="57">
      <c r="A20" s="645"/>
      <c r="B20" s="2411" t="s">
        <v>2114</v>
      </c>
      <c r="C20" s="2409" t="str">
        <f>C9</f>
        <v>区域内有泉湖公园，自然环境较好、有北京外国语大学，人文环境较好，综合评价自然及人文环境状况较好</v>
      </c>
      <c r="D20" s="2380"/>
      <c r="E20" s="2410"/>
      <c r="F20" s="1798" t="s">
        <v>2115</v>
      </c>
      <c r="G20" s="136" t="str">
        <f>G6</f>
        <v>估价对象所在区域基础设施水平</v>
      </c>
    </row>
    <row r="21" spans="1:18" ht="57">
      <c r="A21" s="645"/>
      <c r="B21" s="1798" t="s">
        <v>2097</v>
      </c>
      <c r="C21" s="136" t="str">
        <f>C7</f>
        <v>周边有旺角汇、中国交通银行、观山湖区外国语实验小学、贵阳市白云区第一人民医院，公共配套设施较齐备</v>
      </c>
      <c r="D21" s="2375"/>
      <c r="E21" s="2410"/>
      <c r="F21" s="2411" t="s">
        <v>2116</v>
      </c>
      <c r="G21" s="2412"/>
    </row>
    <row r="22" spans="1:18" ht="13.5" customHeight="1">
      <c r="A22" s="645"/>
      <c r="B22" s="1798" t="s">
        <v>2100</v>
      </c>
      <c r="C22" s="136" t="str">
        <f>C8</f>
        <v>估价对象所在区域基础设施水平</v>
      </c>
      <c r="D22" s="2375"/>
      <c r="E22" s="2410"/>
      <c r="F22" s="2411" t="s">
        <v>2105</v>
      </c>
      <c r="G22" s="1572"/>
    </row>
    <row r="23" spans="1:18" s="2372"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2"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0" sqref="F10"/>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1659316.02</v>
      </c>
      <c r="C1" s="1745"/>
      <c r="D1" s="1745"/>
      <c r="E1" s="1745"/>
      <c r="F1" s="1745"/>
      <c r="G1" s="1743"/>
    </row>
    <row r="2" spans="1:10" ht="16.5">
      <c r="A2" s="1746" t="s">
        <v>1353</v>
      </c>
      <c r="B2" s="1746">
        <f>SUM(C14:C23)</f>
        <v>487208.57000000007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527007</v>
      </c>
      <c r="C5" s="1746">
        <f ca="1">ROUND(B5*10000/$B$1,0)</f>
        <v>3176</v>
      </c>
      <c r="D5" s="1746">
        <f ca="1">ROUND(B5*10000/$B$2,0)</f>
        <v>10817</v>
      </c>
      <c r="E5" s="1745"/>
      <c r="F5" s="1743"/>
      <c r="G5" s="1743"/>
    </row>
    <row r="6" spans="1:10" ht="16.5">
      <c r="A6" s="1746" t="s">
        <v>1356</v>
      </c>
      <c r="B6" s="1746">
        <f ca="1">SUM(G14:G23)</f>
        <v>527007</v>
      </c>
      <c r="C6" s="1746">
        <f ca="1">ROUND(B6*10000/$B$1,0)</f>
        <v>3176</v>
      </c>
      <c r="D6" s="1746">
        <f ca="1">ROUND(B6*10000/$B$2,0)</f>
        <v>10817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38702.28</v>
      </c>
      <c r="C14" s="1744">
        <f>结果表!C118</f>
        <v>13879.46</v>
      </c>
      <c r="D14" s="1744">
        <f ca="1">结果表!H118</f>
        <v>57790</v>
      </c>
      <c r="E14" s="1744">
        <f ca="1">ROUND(D14*10000/B14,0)</f>
        <v>14932</v>
      </c>
      <c r="F14" s="1744">
        <f ca="1">ROUND(D14*10000/C14,0)</f>
        <v>41637</v>
      </c>
      <c r="G14" s="1744">
        <f ca="1">结果表!D122</f>
        <v>57790</v>
      </c>
      <c r="H14" s="1744" t="str">
        <f>结果表!D124</f>
        <v>——</v>
      </c>
      <c r="I14" s="1744" t="str">
        <f>结果表!D126</f>
        <v>——</v>
      </c>
      <c r="J14" s="1743"/>
    </row>
    <row r="15" spans="1:10" ht="16.5">
      <c r="A15" s="1742" t="s">
        <v>1349</v>
      </c>
      <c r="B15" s="1749">
        <f>[1]系统读取表!B14</f>
        <v>140386.35</v>
      </c>
      <c r="C15" s="1749">
        <f>[1]系统读取表!C14</f>
        <v>47697.85</v>
      </c>
      <c r="D15" s="1749">
        <f ca="1">[1]系统读取表!D14</f>
        <v>49078</v>
      </c>
      <c r="E15" s="1744">
        <f t="shared" ref="E15:E23" ca="1" si="0">ROUND(D15*10000/B15,0)</f>
        <v>3496</v>
      </c>
      <c r="F15" s="1744">
        <f t="shared" ref="F15:F23" ca="1" si="1">ROUND(D15*10000/C15,0)</f>
        <v>10289</v>
      </c>
      <c r="G15" s="1750">
        <f ca="1">D15</f>
        <v>49078</v>
      </c>
      <c r="H15" s="1750"/>
      <c r="I15" s="1749"/>
      <c r="J15" s="1743"/>
    </row>
    <row r="16" spans="1:10" ht="16.5">
      <c r="A16" s="1742" t="s">
        <v>1348</v>
      </c>
      <c r="B16" s="1749">
        <f>[2]系统读取表!B14</f>
        <v>89652.62</v>
      </c>
      <c r="C16" s="1749">
        <f>[2]系统读取表!C14</f>
        <v>30325.07</v>
      </c>
      <c r="D16" s="1749">
        <f ca="1">[2]系统读取表!D14</f>
        <v>31182</v>
      </c>
      <c r="E16" s="1744">
        <f t="shared" ca="1" si="0"/>
        <v>3478</v>
      </c>
      <c r="F16" s="1744">
        <f t="shared" ca="1" si="1"/>
        <v>10283</v>
      </c>
      <c r="G16" s="1750">
        <f t="shared" ref="G16:G23" ca="1" si="2">D16</f>
        <v>31182</v>
      </c>
      <c r="H16" s="1750"/>
      <c r="I16" s="1749"/>
    </row>
    <row r="17" spans="1:9" ht="16.5">
      <c r="A17" s="1742" t="s">
        <v>1347</v>
      </c>
      <c r="B17" s="1749">
        <f>[3]系统读取表!B14</f>
        <v>206250.18</v>
      </c>
      <c r="C17" s="1749">
        <f>[3]系统读取表!C14</f>
        <v>75029.52</v>
      </c>
      <c r="D17" s="1749">
        <f ca="1">[3]系统读取表!D14</f>
        <v>79131</v>
      </c>
      <c r="E17" s="1744">
        <f t="shared" ca="1" si="0"/>
        <v>3837</v>
      </c>
      <c r="F17" s="1744">
        <f t="shared" ca="1" si="1"/>
        <v>10547</v>
      </c>
      <c r="G17" s="1750">
        <f t="shared" ca="1" si="2"/>
        <v>79131</v>
      </c>
      <c r="H17" s="1750"/>
      <c r="I17" s="1749"/>
    </row>
    <row r="18" spans="1:9" ht="16.5">
      <c r="A18" s="1742" t="s">
        <v>1346</v>
      </c>
      <c r="B18" s="1749">
        <f>[4]系统读取表!B14</f>
        <v>115386.94999999998</v>
      </c>
      <c r="C18" s="1749">
        <f>[4]系统读取表!C14</f>
        <v>20580.560000000001</v>
      </c>
      <c r="D18" s="1749">
        <f ca="1">[4]系统读取表!D14</f>
        <v>18653</v>
      </c>
      <c r="E18" s="1744">
        <f t="shared" ca="1" si="0"/>
        <v>1617</v>
      </c>
      <c r="F18" s="1744">
        <f t="shared" ca="1" si="1"/>
        <v>9063</v>
      </c>
      <c r="G18" s="1750">
        <f t="shared" ca="1" si="2"/>
        <v>18653</v>
      </c>
      <c r="H18" s="1749"/>
      <c r="I18" s="1749"/>
    </row>
    <row r="19" spans="1:9" ht="16.5">
      <c r="A19" s="1742" t="s">
        <v>1345</v>
      </c>
      <c r="B19" s="1749">
        <f>[5]系统读取表!B14</f>
        <v>66290.36</v>
      </c>
      <c r="C19" s="1749">
        <f>[5]系统读取表!C14</f>
        <v>38994.33</v>
      </c>
      <c r="D19" s="1749">
        <f ca="1">[5]系统读取表!D14</f>
        <v>42143</v>
      </c>
      <c r="E19" s="1744">
        <f t="shared" ca="1" si="0"/>
        <v>6357</v>
      </c>
      <c r="F19" s="1744">
        <f t="shared" ca="1" si="1"/>
        <v>10807</v>
      </c>
      <c r="G19" s="1750">
        <f t="shared" ca="1" si="2"/>
        <v>42143</v>
      </c>
      <c r="H19" s="1749"/>
      <c r="I19" s="1749"/>
    </row>
    <row r="20" spans="1:9" ht="16.5">
      <c r="A20" s="1742" t="s">
        <v>1344</v>
      </c>
      <c r="B20" s="1749">
        <f>[6]系统读取表!B14</f>
        <v>18987.349999999999</v>
      </c>
      <c r="C20" s="1749">
        <f>[6]系统读取表!C14</f>
        <v>11169.03</v>
      </c>
      <c r="D20" s="1749">
        <f ca="1">[6]系统读取表!D14</f>
        <v>12071</v>
      </c>
      <c r="E20" s="1744">
        <f t="shared" ca="1" si="0"/>
        <v>6357</v>
      </c>
      <c r="F20" s="1744">
        <f t="shared" ca="1" si="1"/>
        <v>10808</v>
      </c>
      <c r="G20" s="1750">
        <f t="shared" ca="1" si="2"/>
        <v>12071</v>
      </c>
      <c r="H20" s="1749"/>
      <c r="I20" s="1749"/>
    </row>
    <row r="21" spans="1:9" ht="16.5">
      <c r="A21" s="1742" t="s">
        <v>1343</v>
      </c>
      <c r="B21" s="1749">
        <f>[7]系统读取表!B14</f>
        <v>91672.93</v>
      </c>
      <c r="C21" s="1749">
        <f>[7]系统读取表!C14</f>
        <v>53925.25</v>
      </c>
      <c r="D21" s="1749">
        <f ca="1">[7]系统读取表!D14</f>
        <v>58843</v>
      </c>
      <c r="E21" s="1744">
        <f t="shared" ca="1" si="0"/>
        <v>6419</v>
      </c>
      <c r="F21" s="1744">
        <f t="shared" ca="1" si="1"/>
        <v>10912</v>
      </c>
      <c r="G21" s="1750">
        <f t="shared" ca="1" si="2"/>
        <v>58843</v>
      </c>
      <c r="H21" s="1749"/>
      <c r="I21" s="1749"/>
    </row>
    <row r="22" spans="1:9" ht="16.5">
      <c r="A22" s="1742" t="s">
        <v>1342</v>
      </c>
      <c r="B22" s="1749">
        <f>[8]系统读取表!B14</f>
        <v>505610.32</v>
      </c>
      <c r="C22" s="1749">
        <f>[8]系统读取表!C14</f>
        <v>110836.2</v>
      </c>
      <c r="D22" s="1749">
        <f ca="1">[8]系统读取表!D14</f>
        <v>101296</v>
      </c>
      <c r="E22" s="1744">
        <f t="shared" ca="1" si="0"/>
        <v>2003</v>
      </c>
      <c r="F22" s="1744">
        <f t="shared" ca="1" si="1"/>
        <v>9139</v>
      </c>
      <c r="G22" s="1750">
        <f t="shared" ca="1" si="2"/>
        <v>101296</v>
      </c>
      <c r="H22" s="1749"/>
      <c r="I22" s="1749"/>
    </row>
    <row r="23" spans="1:9" ht="16.5">
      <c r="A23" s="1742" t="s">
        <v>1341</v>
      </c>
      <c r="B23" s="1749">
        <f>[9]系统读取表!B14</f>
        <v>386376.68</v>
      </c>
      <c r="C23" s="1749">
        <f>[9]系统读取表!C14</f>
        <v>84771.3</v>
      </c>
      <c r="D23" s="1749">
        <f ca="1">[9]系统读取表!D14</f>
        <v>76820</v>
      </c>
      <c r="E23" s="1746">
        <f t="shared" ca="1" si="0"/>
        <v>1988</v>
      </c>
      <c r="F23" s="1746">
        <f t="shared" ca="1" si="1"/>
        <v>9062</v>
      </c>
      <c r="G23" s="1750">
        <f t="shared" ca="1" si="2"/>
        <v>76820</v>
      </c>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79" zoomScaleNormal="100" zoomScaleSheetLayoutView="100" zoomScalePageLayoutView="80" workbookViewId="0">
      <selection activeCell="B98" sqref="B9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2119</v>
      </c>
      <c r="B1" s="2422"/>
      <c r="C1" s="2423"/>
      <c r="D1" s="2422"/>
      <c r="E1" s="2422"/>
      <c r="F1" s="2424" t="s">
        <v>2120</v>
      </c>
      <c r="G1" s="2074" t="s">
        <v>3133</v>
      </c>
      <c r="H1" s="2425" t="str">
        <f>IF(G1="现房","——","估价对象范围")</f>
        <v>——</v>
      </c>
      <c r="I1" s="2426" t="s">
        <v>3134</v>
      </c>
    </row>
    <row r="2" spans="1:12" ht="21.75" customHeight="1" thickBot="1">
      <c r="A2" s="3086" t="str">
        <f>项目基本情况!S2</f>
        <v>房地产</v>
      </c>
      <c r="B2" s="3087"/>
      <c r="C2" s="3087"/>
      <c r="D2" s="3087"/>
      <c r="E2" s="3087"/>
      <c r="F2" s="3087"/>
      <c r="G2" s="3087"/>
      <c r="H2" s="3087"/>
      <c r="I2" s="3088"/>
    </row>
    <row r="3" spans="1:12" ht="12.75">
      <c r="A3" s="3090" t="s">
        <v>2121</v>
      </c>
      <c r="B3" s="3091"/>
      <c r="C3" s="3091"/>
      <c r="D3" s="3091"/>
      <c r="E3" s="3091"/>
      <c r="F3" s="3091"/>
      <c r="G3" s="3091"/>
      <c r="H3" s="3091"/>
      <c r="I3" s="3091"/>
    </row>
    <row r="4" spans="1:12" ht="14.25">
      <c r="A4" s="2429" t="s">
        <v>2122</v>
      </c>
      <c r="B4" s="2430" t="s">
        <v>2123</v>
      </c>
      <c r="C4" s="2431" t="s">
        <v>3135</v>
      </c>
      <c r="D4" s="2431" t="s">
        <v>3059</v>
      </c>
      <c r="E4" s="3083" t="s">
        <v>2124</v>
      </c>
      <c r="F4" s="3084"/>
      <c r="G4" s="3084"/>
      <c r="H4" s="3084"/>
      <c r="I4" s="309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2125</v>
      </c>
      <c r="B5" s="3004">
        <v>25</v>
      </c>
      <c r="C5" s="3069"/>
      <c r="D5" s="3089"/>
      <c r="E5" s="140" t="s">
        <v>2126</v>
      </c>
      <c r="F5" s="2433"/>
      <c r="G5" s="2433"/>
      <c r="H5" s="2433"/>
      <c r="I5" s="1834"/>
    </row>
    <row r="6" spans="1:12" ht="12.75">
      <c r="A6" s="3066"/>
      <c r="B6" s="3004"/>
      <c r="C6" s="3070"/>
      <c r="D6" s="3089"/>
      <c r="E6" s="140" t="s">
        <v>2127</v>
      </c>
      <c r="F6" s="2433"/>
      <c r="G6" s="2433"/>
      <c r="H6" s="2433"/>
      <c r="I6" s="1834"/>
    </row>
    <row r="7" spans="1:12" ht="12.75">
      <c r="A7" s="3066"/>
      <c r="B7" s="3004"/>
      <c r="C7" s="3071"/>
      <c r="D7" s="3089"/>
      <c r="E7" s="140" t="s">
        <v>2128</v>
      </c>
      <c r="F7" s="2433"/>
      <c r="G7" s="2433"/>
      <c r="H7" s="2433"/>
      <c r="I7" s="1834"/>
    </row>
    <row r="8" spans="1:12" ht="12.75">
      <c r="A8" s="3066" t="s">
        <v>2129</v>
      </c>
      <c r="B8" s="3004">
        <v>15</v>
      </c>
      <c r="C8" s="3069"/>
      <c r="D8" s="3089"/>
      <c r="E8" s="140" t="s">
        <v>2130</v>
      </c>
      <c r="F8" s="2433"/>
      <c r="G8" s="2433"/>
      <c r="H8" s="2433"/>
      <c r="I8" s="1834"/>
    </row>
    <row r="9" spans="1:12" ht="12.75">
      <c r="A9" s="3066"/>
      <c r="B9" s="3004"/>
      <c r="C9" s="3071"/>
      <c r="D9" s="3089"/>
      <c r="E9" s="140" t="s">
        <v>2131</v>
      </c>
      <c r="F9" s="2433"/>
      <c r="G9" s="2433"/>
      <c r="H9" s="2433"/>
      <c r="I9" s="1834"/>
    </row>
    <row r="10" spans="1:12" ht="12.75">
      <c r="A10" s="3066" t="s">
        <v>2132</v>
      </c>
      <c r="B10" s="3004">
        <v>15</v>
      </c>
      <c r="C10" s="3069"/>
      <c r="D10" s="3089"/>
      <c r="E10" s="140" t="s">
        <v>2133</v>
      </c>
      <c r="F10" s="2433"/>
      <c r="G10" s="2433"/>
      <c r="H10" s="2433"/>
      <c r="I10" s="1834"/>
    </row>
    <row r="11" spans="1:12" ht="12.75">
      <c r="A11" s="3066"/>
      <c r="B11" s="3004"/>
      <c r="C11" s="3071"/>
      <c r="D11" s="3089"/>
      <c r="E11" s="140" t="s">
        <v>2134</v>
      </c>
      <c r="F11" s="2433"/>
      <c r="G11" s="2433"/>
      <c r="H11" s="2433"/>
      <c r="I11" s="1834"/>
    </row>
    <row r="12" spans="1:12" ht="12.75">
      <c r="A12" s="3066" t="s">
        <v>2135</v>
      </c>
      <c r="B12" s="3004">
        <v>15</v>
      </c>
      <c r="C12" s="3069"/>
      <c r="D12" s="3089"/>
      <c r="E12" s="140" t="s">
        <v>2136</v>
      </c>
      <c r="F12" s="2433"/>
      <c r="G12" s="2433"/>
      <c r="H12" s="2433"/>
      <c r="I12" s="1834"/>
    </row>
    <row r="13" spans="1:12" ht="12.75">
      <c r="A13" s="3066"/>
      <c r="B13" s="3004"/>
      <c r="C13" s="3071"/>
      <c r="D13" s="3089"/>
      <c r="E13" s="140" t="s">
        <v>2137</v>
      </c>
      <c r="F13" s="2433"/>
      <c r="G13" s="2433"/>
      <c r="H13" s="2433"/>
      <c r="I13" s="1834"/>
    </row>
    <row r="14" spans="1:12" ht="12.75">
      <c r="A14" s="3066" t="s">
        <v>2138</v>
      </c>
      <c r="B14" s="3004">
        <v>30</v>
      </c>
      <c r="C14" s="3069">
        <v>5</v>
      </c>
      <c r="D14" s="3089">
        <v>5</v>
      </c>
      <c r="E14" s="140" t="s">
        <v>2139</v>
      </c>
      <c r="F14" s="2433"/>
      <c r="G14" s="2433"/>
      <c r="H14" s="2433"/>
      <c r="I14" s="1834"/>
    </row>
    <row r="15" spans="1:12" ht="12.75">
      <c r="A15" s="3066"/>
      <c r="B15" s="3004"/>
      <c r="C15" s="3070"/>
      <c r="D15" s="3089"/>
      <c r="E15" s="140" t="s">
        <v>2140</v>
      </c>
      <c r="F15" s="2433"/>
      <c r="G15" s="2433"/>
      <c r="H15" s="2433"/>
      <c r="I15" s="1834"/>
    </row>
    <row r="16" spans="1:12" ht="12.75">
      <c r="A16" s="3066"/>
      <c r="B16" s="3004"/>
      <c r="C16" s="3071"/>
      <c r="D16" s="3089"/>
      <c r="E16" s="140" t="s">
        <v>2141</v>
      </c>
      <c r="F16" s="2433"/>
      <c r="G16" s="2433"/>
      <c r="H16" s="2433"/>
      <c r="I16" s="1834"/>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38702.28</v>
      </c>
      <c r="M18" s="2432">
        <f>IF(C1="",'数据-汇总表'!E3,SUMIF(项目类型,C1,'数据-汇总表'!E17:E26))</f>
        <v>38702.28</v>
      </c>
    </row>
    <row r="19" spans="1:35" ht="15">
      <c r="A19" s="2438" t="s">
        <v>2147</v>
      </c>
      <c r="B19" s="2439" t="s">
        <v>2148</v>
      </c>
      <c r="C19" s="143">
        <f ca="1">SUMIF(INDIRECT("'"&amp;C4&amp;"'"&amp;"!A:A"),结果表!B19,INDIRECT("'"&amp;C4&amp;"'"&amp;"!B:B"))</f>
        <v>56405</v>
      </c>
      <c r="D19" s="144">
        <f ca="1">SUMIF(INDIRECT("'"&amp;D4&amp;"'"&amp;"!A:A"),结果表!B19,INDIRECT("'"&amp;D4&amp;"'"&amp;"!B:B"))</f>
        <v>59175</v>
      </c>
      <c r="E19" s="2438" t="s">
        <v>2149</v>
      </c>
      <c r="F19" s="2439" t="s">
        <v>2148</v>
      </c>
      <c r="G19" s="145">
        <f ca="1">ROUND(C19*$C$18+D19*$D$18,0)</f>
        <v>57790</v>
      </c>
      <c r="H19" s="2440" t="s">
        <v>2150</v>
      </c>
      <c r="I19" s="138"/>
      <c r="K19" s="2432" t="s">
        <v>2151</v>
      </c>
      <c r="L19" s="2432">
        <f>IF(C1="",'数据-汇总表'!D3,SUMIF(项目类型,C1,'数据-汇总表'!D17:D26)+SUMIF(项目类型,C1,'数据-汇总表'!H17:H27))</f>
        <v>13879.46</v>
      </c>
      <c r="M19" s="2432">
        <f>IF(C1="",'数据-汇总表'!D3,SUMIF(项目类型,C1,'数据-汇总表'!D17:D26))</f>
        <v>13879.46</v>
      </c>
    </row>
    <row r="20" spans="1:35" ht="15">
      <c r="A20" s="2441"/>
      <c r="B20" s="1250" t="s">
        <v>2152</v>
      </c>
      <c r="C20" s="146">
        <f ca="1">SUMIF(INDIRECT("'"&amp;C4&amp;"'"&amp;"!A:A"),结果表!B20,INDIRECT("'"&amp;C4&amp;"'"&amp;"!B:B"))</f>
        <v>14574</v>
      </c>
      <c r="D20" s="147">
        <f ca="1">SUMIF(INDIRECT("'"&amp;D4&amp;"'"&amp;"!A:A"),结果表!B20,INDIRECT("'"&amp;D4&amp;"'"&amp;"!B:B"))</f>
        <v>15290</v>
      </c>
      <c r="E20" s="2441"/>
      <c r="F20" s="1250" t="s">
        <v>2152</v>
      </c>
      <c r="G20" s="148">
        <f ca="1">ROUND(C20*$C$18+D20*$D$18,0)</f>
        <v>14932</v>
      </c>
      <c r="H20" s="983" t="s">
        <v>2153</v>
      </c>
      <c r="I20" s="138"/>
    </row>
    <row r="21" spans="1:35" ht="15" customHeight="1" thickBot="1">
      <c r="A21" s="1003"/>
      <c r="B21" s="2442" t="s">
        <v>2154</v>
      </c>
      <c r="C21" s="789">
        <f ca="1">ROUND(C19*10000/L19,0)</f>
        <v>40639</v>
      </c>
      <c r="D21" s="790">
        <f ca="1">ROUND(D19*10000/L19,0)</f>
        <v>42635</v>
      </c>
      <c r="E21" s="1003"/>
      <c r="F21" s="2442" t="s">
        <v>2154</v>
      </c>
      <c r="G21" s="149">
        <f ca="1">ROUND(G19*10000/L19,0)</f>
        <v>41637</v>
      </c>
      <c r="H21" s="2443" t="s">
        <v>2153</v>
      </c>
      <c r="I21" s="138"/>
    </row>
    <row r="22" spans="1:35" ht="15" thickBot="1">
      <c r="A22" s="2285" t="s">
        <v>2155</v>
      </c>
      <c r="B22" s="2444"/>
      <c r="C22" s="2445"/>
      <c r="D22" s="791">
        <f ca="1">IF(C19&lt;D19,D19/C19-1,C19/D19-1)</f>
        <v>4.9109121531779154E-2</v>
      </c>
      <c r="E22" s="138"/>
      <c r="F22" s="138"/>
      <c r="G22" s="138"/>
      <c r="H22" s="138"/>
      <c r="I22" s="138"/>
    </row>
    <row r="23" spans="1:35" ht="13.5" thickBot="1">
      <c r="A23" s="2422"/>
      <c r="B23" s="2422"/>
      <c r="C23" s="2422"/>
      <c r="D23" s="2422"/>
      <c r="E23" s="138"/>
      <c r="F23" s="138"/>
      <c r="G23" s="138"/>
      <c r="H23" s="138"/>
      <c r="I23" s="138"/>
    </row>
    <row r="24" spans="1:35" ht="14.25">
      <c r="A24" s="3060" t="s">
        <v>2156</v>
      </c>
      <c r="B24" s="2439" t="s">
        <v>2148</v>
      </c>
      <c r="C24" s="145">
        <f>IF(B30=0,0,D30)</f>
        <v>0</v>
      </c>
      <c r="D24" s="2446"/>
      <c r="E24" s="138"/>
      <c r="F24" s="138"/>
      <c r="G24" s="138"/>
      <c r="H24" s="138"/>
      <c r="I24" s="138"/>
    </row>
    <row r="25" spans="1:35" ht="14.25">
      <c r="A25" s="3061"/>
      <c r="B25" s="1250"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2161</v>
      </c>
      <c r="B30" s="151"/>
      <c r="C30" s="151"/>
      <c r="D30" s="151"/>
      <c r="E30" s="2931"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2162</v>
      </c>
      <c r="B32" s="2452"/>
      <c r="C32" s="153">
        <f ca="1">IF(D32="总价",G19-C24,G20-C25)</f>
        <v>57790</v>
      </c>
      <c r="D32" s="2453" t="s">
        <v>2163</v>
      </c>
      <c r="E32" s="138"/>
      <c r="F32" s="138"/>
      <c r="G32" s="138"/>
      <c r="H32" s="138"/>
      <c r="I32" s="138"/>
    </row>
    <row r="33" spans="1:15" ht="15">
      <c r="A33" s="960" t="s">
        <v>2164</v>
      </c>
      <c r="B33" s="2454"/>
      <c r="C33" s="2455" t="s">
        <v>3141</v>
      </c>
      <c r="D33" s="2456" t="s">
        <v>3135</v>
      </c>
      <c r="E33" s="2457" t="s">
        <v>2165</v>
      </c>
      <c r="F33" s="2458" t="str">
        <f>IF(D32="楼面单价","取值（单价）","取值（总价）")</f>
        <v>取值（总价）</v>
      </c>
      <c r="G33" s="138"/>
      <c r="H33" s="138"/>
      <c r="I33" s="138"/>
    </row>
    <row r="34" spans="1:15" ht="15">
      <c r="A34" s="2459"/>
      <c r="B34" s="2460" t="s">
        <v>2166</v>
      </c>
      <c r="C34" s="157">
        <f ca="1">IF(C33="自定义",F34,C32-C35)</f>
        <v>12772</v>
      </c>
      <c r="D34" s="1058">
        <f ca="1">IF(C33="自定义",ROUND(C34/C32,3),IF(C33="收益比率",SUMIF(INDIRECT("'"&amp;D33&amp;"'"&amp;"!b:b"),"土地收益比率",INDIRECT("'"&amp;D33&amp;"'"&amp;"!c:c")),SUMIF(INDIRECT("'"&amp;D33&amp;"'"&amp;"!b:b"),"土地成本比率",INDIRECT("'"&amp;D33&amp;"'"&amp;"!c:c"))))</f>
        <v>0.22099999999999997</v>
      </c>
      <c r="E34" s="2461" t="s">
        <v>2167</v>
      </c>
      <c r="F34" s="1739"/>
      <c r="G34" s="138"/>
      <c r="H34" s="138"/>
      <c r="I34" s="138"/>
    </row>
    <row r="35" spans="1:15" ht="15.75" thickBot="1">
      <c r="A35" s="2462"/>
      <c r="B35" s="2463" t="s">
        <v>2168</v>
      </c>
      <c r="C35" s="1444">
        <f ca="1">IF(C33="自定义",F35,ROUND(C32*D35,0))</f>
        <v>45018</v>
      </c>
      <c r="D35" s="1445">
        <f ca="1">IF(C33="自定义",ROUND(C35/C32,3),IF(C33="收益比率",SUMIF(INDIRECT("'"&amp;D33&amp;"'"&amp;"!b:b"),"建筑物收益比率",INDIRECT("'"&amp;D33&amp;"'"&amp;"!c:c")),SUMIF(INDIRECT("'"&amp;D33&amp;"'"&amp;"!b:b"),"建筑物成本比率",INDIRECT("'"&amp;D33&amp;"'"&amp;"!c:c"))))</f>
        <v>0.77900000000000003</v>
      </c>
      <c r="E35" s="2464" t="s">
        <v>2169</v>
      </c>
      <c r="F35" s="163"/>
      <c r="G35" s="138"/>
      <c r="H35" s="138"/>
      <c r="I35" s="138"/>
    </row>
    <row r="36" spans="1:15" ht="15.75" thickBot="1">
      <c r="A36" s="3078" t="s">
        <v>2170</v>
      </c>
      <c r="B36" s="2465" t="s">
        <v>2171</v>
      </c>
      <c r="C36" s="154"/>
      <c r="D36" s="2466"/>
      <c r="E36" s="2467"/>
      <c r="F36" s="2468"/>
      <c r="G36" s="138"/>
      <c r="H36" s="138"/>
      <c r="I36" s="138"/>
    </row>
    <row r="37" spans="1:15" ht="15.75" thickBot="1">
      <c r="A37" s="3079"/>
      <c r="B37" s="2271" t="s">
        <v>2172</v>
      </c>
      <c r="C37" s="156"/>
      <c r="D37" s="1395"/>
      <c r="E37" s="1395"/>
      <c r="F37" s="2468"/>
      <c r="G37" s="138"/>
      <c r="H37" s="138"/>
      <c r="I37" s="138"/>
    </row>
    <row r="38" spans="1:15" ht="15.75" thickBot="1">
      <c r="A38" s="3080"/>
      <c r="B38" s="2469" t="s">
        <v>2173</v>
      </c>
      <c r="C38" s="727"/>
      <c r="D38" s="2470" t="s">
        <v>2174</v>
      </c>
      <c r="E38" s="1395"/>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8"/>
      <c r="C40" s="159"/>
      <c r="D40" s="159"/>
      <c r="E40" s="160"/>
      <c r="F40" s="2468"/>
      <c r="G40" s="138"/>
      <c r="H40" s="138"/>
      <c r="I40" s="138"/>
    </row>
    <row r="41" spans="1:15" ht="14.25">
      <c r="A41" s="2474" t="s">
        <v>2181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057" t="s">
        <v>2184</v>
      </c>
      <c r="B45" s="3058"/>
      <c r="C45" s="3059"/>
      <c r="D45" s="2959">
        <f ca="1">ROUND(系统读取表!B5*F45,0)</f>
        <v>421606</v>
      </c>
      <c r="E45" s="165" t="s">
        <v>2185</v>
      </c>
      <c r="F45" s="166">
        <v>0.8</v>
      </c>
      <c r="G45" s="167" t="s">
        <v>2186</v>
      </c>
      <c r="H45" s="138"/>
      <c r="I45" s="138"/>
      <c r="J45" s="3117" t="s">
        <v>2187</v>
      </c>
      <c r="K45" s="3117"/>
      <c r="L45" s="3117"/>
      <c r="M45" s="3117"/>
      <c r="N45" s="3117"/>
      <c r="O45" s="3117"/>
    </row>
    <row r="46" spans="1:15" ht="14.25" customHeight="1">
      <c r="A46" s="3054" t="s">
        <v>2188</v>
      </c>
      <c r="B46" s="3055"/>
      <c r="C46" s="3055"/>
      <c r="D46" s="3055"/>
      <c r="E46" s="3055"/>
      <c r="F46" s="3055"/>
      <c r="G46" s="3056"/>
      <c r="H46" s="2484"/>
      <c r="I46" s="168"/>
      <c r="J46" s="1812">
        <v>1</v>
      </c>
      <c r="K46" s="3117" t="s">
        <v>2189</v>
      </c>
      <c r="L46" s="3117"/>
      <c r="M46" s="3137"/>
      <c r="N46" s="3137"/>
      <c r="O46" s="3137"/>
    </row>
    <row r="47" spans="1:15" ht="12" customHeight="1">
      <c r="A47" s="169" t="s">
        <v>2190</v>
      </c>
      <c r="B47" s="170"/>
      <c r="C47" s="171"/>
      <c r="D47" s="172" t="s">
        <v>2191</v>
      </c>
      <c r="E47" s="24" t="s">
        <v>2192</v>
      </c>
      <c r="F47" s="173" t="s">
        <v>2193</v>
      </c>
      <c r="G47" s="174" t="s">
        <v>2194</v>
      </c>
      <c r="H47" s="2484"/>
      <c r="I47" s="168"/>
      <c r="J47" s="1812">
        <v>2</v>
      </c>
      <c r="K47" s="3117" t="s">
        <v>2195</v>
      </c>
      <c r="L47" s="3117"/>
      <c r="M47" s="3138">
        <f>'数据-取费表'!B2</f>
        <v>43341</v>
      </c>
      <c r="N47" s="3138"/>
      <c r="O47" s="3138"/>
    </row>
    <row r="48" spans="1:15" ht="25.5">
      <c r="A48" s="3085" t="s">
        <v>2196</v>
      </c>
      <c r="B48" s="3068"/>
      <c r="C48" s="3068"/>
      <c r="D48" s="140">
        <f ca="1">IF(H48="情况1",0,IF(H48="情况2",D52,IF(H48="情况3",D53,IF(H48="情况4",D54))))</f>
        <v>22486</v>
      </c>
      <c r="E48" s="1801" t="str">
        <f>IF(H48="情况4","(销售额-原购置价)×税（费）率","销售额×税（费）率")</f>
        <v>销售额×税（费）率</v>
      </c>
      <c r="F48" s="175">
        <f>IF(H48="情况1","免征",'数据-取费表'!B41)</f>
        <v>5.6000000000000001E-2</v>
      </c>
      <c r="G48" s="2485" t="s">
        <v>2197</v>
      </c>
      <c r="H48" s="2486" t="s">
        <v>3158</v>
      </c>
      <c r="I48" s="2484"/>
      <c r="J48" s="1812">
        <v>3</v>
      </c>
      <c r="K48" s="3117" t="s">
        <v>2198</v>
      </c>
      <c r="L48" s="3117"/>
      <c r="M48" s="3139">
        <f ca="1">系统读取表!B5</f>
        <v>527007</v>
      </c>
      <c r="N48" s="3139"/>
      <c r="O48" s="3139"/>
    </row>
    <row r="49" spans="1:35" ht="25.5" customHeight="1">
      <c r="A49" s="176" t="s">
        <v>2199</v>
      </c>
      <c r="B49" s="3053" t="s">
        <v>2200</v>
      </c>
      <c r="C49" s="3053"/>
      <c r="D49" s="177">
        <v>0</v>
      </c>
      <c r="E49" s="23" t="s">
        <v>2201</v>
      </c>
      <c r="F49" s="28" t="s">
        <v>34</v>
      </c>
      <c r="G49" s="3123"/>
      <c r="H49" s="138"/>
      <c r="I49" s="2487"/>
      <c r="J49" s="1812">
        <v>4</v>
      </c>
      <c r="K49" s="3117" t="str">
        <f>IF(项目基本情况!E8="房地产抵押价值","房地产抵押价值","抵押担保权已注销时的房地产抵押价值")</f>
        <v>房地产抵押价值</v>
      </c>
      <c r="L49" s="3117"/>
      <c r="M49" s="3139">
        <f ca="1">系统读取表!B6</f>
        <v>527007</v>
      </c>
      <c r="N49" s="3139"/>
      <c r="O49" s="3139"/>
    </row>
    <row r="50" spans="1:35" ht="25.5" customHeight="1">
      <c r="A50" s="178"/>
      <c r="B50" s="3053" t="s">
        <v>2202</v>
      </c>
      <c r="C50" s="3053"/>
      <c r="D50" s="179"/>
      <c r="E50" s="31"/>
      <c r="F50" s="180"/>
      <c r="G50" s="3124"/>
      <c r="H50" s="138"/>
      <c r="I50" s="2487"/>
      <c r="J50" s="3117" t="s">
        <v>2203</v>
      </c>
      <c r="K50" s="3117"/>
      <c r="L50" s="3117"/>
      <c r="M50" s="3117"/>
      <c r="N50" s="3117"/>
      <c r="O50" s="3117"/>
    </row>
    <row r="51" spans="1:35" ht="12" customHeight="1">
      <c r="A51" s="181"/>
      <c r="B51" s="3053" t="s">
        <v>2204</v>
      </c>
      <c r="C51" s="3053"/>
      <c r="D51" s="182"/>
      <c r="E51" s="30"/>
      <c r="F51" s="180"/>
      <c r="G51" s="3125"/>
      <c r="H51" s="138"/>
      <c r="I51" s="2487"/>
      <c r="J51" s="2488" t="s">
        <v>2205</v>
      </c>
      <c r="K51" s="3117" t="s">
        <v>2206</v>
      </c>
      <c r="L51" s="3117"/>
      <c r="M51" s="2488" t="s">
        <v>2207</v>
      </c>
      <c r="N51" s="2488" t="s">
        <v>2208</v>
      </c>
      <c r="O51" s="2488" t="s">
        <v>2209</v>
      </c>
    </row>
    <row r="52" spans="1:35" ht="24" customHeight="1">
      <c r="A52" s="183" t="s">
        <v>2210</v>
      </c>
      <c r="B52" s="3053" t="s">
        <v>2211</v>
      </c>
      <c r="C52" s="3053"/>
      <c r="D52" s="182">
        <f ca="1">ROUND(D45*'数据-取费表'!B41/(1+'数据-取费表'!C42),0)</f>
        <v>22486</v>
      </c>
      <c r="E52" s="11" t="s">
        <v>2212</v>
      </c>
      <c r="F52" s="184">
        <f>'数据-取费表'!B41</f>
        <v>5.6000000000000001E-2</v>
      </c>
      <c r="G52" s="2489"/>
      <c r="H52" s="138"/>
      <c r="I52" s="2487"/>
      <c r="J52" s="1812">
        <v>1</v>
      </c>
      <c r="K52" s="3118" t="s">
        <v>2213</v>
      </c>
      <c r="L52" s="3118"/>
      <c r="M52" s="1754">
        <f ca="1">D48</f>
        <v>22486</v>
      </c>
      <c r="N52" s="1812" t="str">
        <f>E48</f>
        <v>销售额×税（费）率</v>
      </c>
      <c r="O52" s="1755">
        <f>F48</f>
        <v>5.6000000000000001E-2</v>
      </c>
    </row>
    <row r="53" spans="1:35" ht="12" customHeight="1">
      <c r="A53" s="183" t="s">
        <v>2214</v>
      </c>
      <c r="B53" s="3076" t="s">
        <v>2215</v>
      </c>
      <c r="C53" s="3077"/>
      <c r="D53" s="182">
        <f ca="1">ROUND(D45*'数据-取费表'!B41/(1+'数据-取费表'!C42),0)</f>
        <v>22486</v>
      </c>
      <c r="E53" s="11" t="s">
        <v>2212</v>
      </c>
      <c r="F53" s="184">
        <f>'数据-取费表'!B41</f>
        <v>5.6000000000000001E-2</v>
      </c>
      <c r="G53" s="2489"/>
      <c r="H53" s="138"/>
      <c r="I53" s="2487"/>
      <c r="J53" s="1812">
        <v>2</v>
      </c>
      <c r="K53" s="3118" t="s">
        <v>2216</v>
      </c>
      <c r="L53" s="3118"/>
      <c r="M53" s="1754">
        <f t="shared" ref="M53:O54" ca="1" si="0">D55</f>
        <v>211</v>
      </c>
      <c r="N53" s="1812" t="str">
        <f t="shared" si="0"/>
        <v>销售额×税（费）率</v>
      </c>
      <c r="O53" s="1755">
        <f t="shared" si="0"/>
        <v>5.0000000000000001E-4</v>
      </c>
    </row>
    <row r="54" spans="1:35" ht="12" customHeight="1">
      <c r="A54" s="183" t="s">
        <v>2217</v>
      </c>
      <c r="B54" s="3076" t="s">
        <v>2218</v>
      </c>
      <c r="C54" s="3077"/>
      <c r="D54" s="182">
        <f ca="1">C68</f>
        <v>22486</v>
      </c>
      <c r="E54" s="30" t="s">
        <v>2219</v>
      </c>
      <c r="F54" s="184">
        <f>'数据-取费表'!B41</f>
        <v>5.6000000000000001E-2</v>
      </c>
      <c r="G54" s="2489"/>
      <c r="H54" s="2490"/>
      <c r="I54" s="2487"/>
      <c r="J54" s="1812">
        <v>3</v>
      </c>
      <c r="K54" s="3118" t="s">
        <v>2220</v>
      </c>
      <c r="L54" s="3118"/>
      <c r="M54" s="1754">
        <f t="shared" ca="1" si="0"/>
        <v>37487</v>
      </c>
      <c r="N54" s="1812" t="str">
        <f t="shared" si="0"/>
        <v>增值额×税（费）率</v>
      </c>
      <c r="O54" s="1756" t="str">
        <f t="shared" si="0"/>
        <v>——</v>
      </c>
    </row>
    <row r="55" spans="1:35" ht="24" customHeight="1">
      <c r="A55" s="3067" t="s">
        <v>2221</v>
      </c>
      <c r="B55" s="3068"/>
      <c r="C55" s="3068"/>
      <c r="D55" s="185">
        <f ca="1">IF(H55="个人住宅",0,ROUND(D45*I55,0))</f>
        <v>211</v>
      </c>
      <c r="E55" s="11" t="s">
        <v>2222</v>
      </c>
      <c r="F55" s="184">
        <f>IF(H55="正常",I55,"免征")</f>
        <v>5.0000000000000001E-4</v>
      </c>
      <c r="G55" s="2489"/>
      <c r="H55" s="2486" t="s">
        <v>2223</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2224</v>
      </c>
      <c r="B56" s="3068"/>
      <c r="C56" s="3068"/>
      <c r="D56" s="185">
        <f ca="1">IF(H56="个人住宅",D57,D58)</f>
        <v>37487</v>
      </c>
      <c r="E56" s="11" t="s">
        <v>2225</v>
      </c>
      <c r="F56" s="184" t="str">
        <f>IF(H56="正常",F58,"免征")</f>
        <v>——</v>
      </c>
      <c r="G56" s="2491" t="s">
        <v>2226</v>
      </c>
      <c r="H56" s="2492" t="s">
        <v>2223</v>
      </c>
      <c r="I56" s="2493"/>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3" t="s">
        <v>2199</v>
      </c>
      <c r="B57" s="3083" t="s">
        <v>2227</v>
      </c>
      <c r="C57" s="3092"/>
      <c r="D57" s="187">
        <v>0</v>
      </c>
      <c r="E57" s="23" t="s">
        <v>2201</v>
      </c>
      <c r="F57" s="155"/>
      <c r="G57" s="2489"/>
      <c r="H57" s="2493"/>
      <c r="I57" s="2493"/>
      <c r="J57" s="3118">
        <f>IF(AND(J55="",J56=""),4,IF(项目基本情况!K6="上海银行",结果表!J56+1,结果表!J55+1))</f>
        <v>4</v>
      </c>
      <c r="K57" s="3118" t="s">
        <v>2228</v>
      </c>
      <c r="L57" s="2494" t="s">
        <v>2229</v>
      </c>
      <c r="M57" s="1759"/>
      <c r="N57" s="1760">
        <f ca="1">SUMIF(M52:M56,"&lt;9e307")</f>
        <v>60184</v>
      </c>
      <c r="O57" s="2495"/>
      <c r="P57" s="1753">
        <f ca="1">N57/M49</f>
        <v>0.11419962163690425</v>
      </c>
    </row>
    <row r="58" spans="1:35" ht="24.75">
      <c r="A58" s="183" t="s">
        <v>2210</v>
      </c>
      <c r="B58" s="3083" t="s">
        <v>2230</v>
      </c>
      <c r="C58" s="3084"/>
      <c r="D58" s="185">
        <f ca="1">IF(H58="转让取得",C81,C97)</f>
        <v>37487</v>
      </c>
      <c r="E58" s="11" t="s">
        <v>2225</v>
      </c>
      <c r="F58" s="24" t="s">
        <v>34</v>
      </c>
      <c r="G58" s="2489"/>
      <c r="H58" s="2492" t="s">
        <v>2231</v>
      </c>
      <c r="I58" s="2493"/>
      <c r="J58" s="3118"/>
      <c r="K58" s="3118"/>
      <c r="L58" s="2494" t="s">
        <v>2232</v>
      </c>
      <c r="M58" s="1761"/>
      <c r="N58" s="2496" t="str">
        <f ca="1">NUMBERSTRING(INT(N57*10000),2)&amp;"元整"</f>
        <v>陆亿零壹佰捌拾肆万元整</v>
      </c>
      <c r="O58" s="2497"/>
    </row>
    <row r="59" spans="1:35" ht="24.75" thickBot="1">
      <c r="A59" s="3121" t="s">
        <v>2233</v>
      </c>
      <c r="B59" s="3122"/>
      <c r="C59" s="3122"/>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19">
        <f>J57+1</f>
        <v>5</v>
      </c>
      <c r="K59" s="3118" t="s">
        <v>2235</v>
      </c>
      <c r="L59" s="1812" t="s">
        <v>2229</v>
      </c>
      <c r="M59" s="1762"/>
      <c r="N59" s="1763">
        <f ca="1">M49-N57</f>
        <v>466823</v>
      </c>
      <c r="O59" s="2499"/>
    </row>
    <row r="60" spans="1:35" ht="12" customHeight="1">
      <c r="A60" s="2500"/>
      <c r="B60" s="2422"/>
      <c r="C60" s="2422"/>
      <c r="D60" s="2422"/>
      <c r="E60" s="2170"/>
      <c r="F60" s="2493"/>
      <c r="G60" s="2493"/>
      <c r="H60" s="2501"/>
      <c r="I60" s="138"/>
      <c r="J60" s="3120"/>
      <c r="K60" s="3118"/>
      <c r="L60" s="2494" t="s">
        <v>2232</v>
      </c>
      <c r="M60" s="1761"/>
      <c r="N60" s="2496" t="str">
        <f ca="1">NUMBERSTRING(INT(N59*10000),2)&amp;"元整"</f>
        <v>肆拾陆亿陆仟捌佰贰拾叁万元整</v>
      </c>
      <c r="O60" s="2497"/>
    </row>
    <row r="61" spans="1:35" ht="13.5" thickBot="1">
      <c r="A61" s="3065" t="s">
        <v>2236</v>
      </c>
      <c r="B61" s="3065"/>
      <c r="C61" s="3065"/>
      <c r="D61" s="3065"/>
      <c r="E61" s="3065"/>
      <c r="F61" s="2493"/>
      <c r="G61" s="2493"/>
      <c r="H61" s="2501"/>
      <c r="I61" s="138"/>
      <c r="J61" s="1812">
        <f>J59+1</f>
        <v>6</v>
      </c>
      <c r="K61" s="3118" t="s">
        <v>2237</v>
      </c>
      <c r="L61" s="3118"/>
      <c r="M61" s="1764"/>
      <c r="N61" s="1765">
        <f ca="1">ROUND(N59*10000/系统读取表!B1,0)</f>
        <v>2813</v>
      </c>
      <c r="O61" s="2502"/>
    </row>
    <row r="62" spans="1:35" ht="12.75">
      <c r="A62" s="3081" t="s">
        <v>2238</v>
      </c>
      <c r="B62" s="3082"/>
      <c r="C62" s="1804"/>
      <c r="D62" s="1804" t="s">
        <v>2239</v>
      </c>
      <c r="E62" s="192" t="s">
        <v>2240</v>
      </c>
      <c r="F62" s="2493"/>
      <c r="G62" s="2493"/>
      <c r="H62" s="2501"/>
      <c r="I62" s="138"/>
    </row>
    <row r="63" spans="1:35" ht="12.75">
      <c r="A63" s="203" t="s">
        <v>775</v>
      </c>
      <c r="B63" s="193" t="s">
        <v>2241</v>
      </c>
      <c r="C63" s="194">
        <f ca="1">ROUND((C64+C65)/(1+'数据-取费表'!C42),0)</f>
        <v>401530</v>
      </c>
      <c r="D63" s="195"/>
      <c r="E63" s="196"/>
      <c r="F63" s="2493"/>
      <c r="G63" s="2493"/>
      <c r="H63" s="2501"/>
      <c r="I63" s="138"/>
      <c r="J63" s="3143" t="s">
        <v>2242</v>
      </c>
      <c r="K63" s="2503" t="s">
        <v>2243</v>
      </c>
      <c r="L63" s="1752">
        <f ca="1">IF(M49&gt;10000,M49*0.5%,IF(AND(M49&gt;1000,M49&lt;=10000),M49*1%,IF(AND(M49&gt;100,M49&lt;=1000),M49*3%,IF(AND(M49&gt;10,M49&lt;=100),M49*5%,M49*8%))))</f>
        <v>2635.0349999999999</v>
      </c>
      <c r="M63" s="24">
        <f ca="1">ROUND(L63,1)</f>
        <v>2635</v>
      </c>
      <c r="Z63" s="2427"/>
      <c r="AI63" s="2428"/>
    </row>
    <row r="64" spans="1:35" ht="14.25" customHeight="1">
      <c r="A64" s="197" t="s">
        <v>770</v>
      </c>
      <c r="B64" s="198" t="s">
        <v>2244</v>
      </c>
      <c r="C64" s="199">
        <f ca="1">D45</f>
        <v>421606</v>
      </c>
      <c r="D64" s="200" t="s">
        <v>32</v>
      </c>
      <c r="E64" s="201"/>
      <c r="F64" s="2493"/>
      <c r="G64" s="2493"/>
      <c r="H64" s="2501"/>
      <c r="I64" s="138"/>
      <c r="J64" s="3143"/>
      <c r="K64" s="2503" t="s">
        <v>2245</v>
      </c>
      <c r="L64" s="1752">
        <f ca="1">IF(M49&gt;2000,M49*0.5%,IF(AND(M49&gt;1000,M49&lt;=2000),M49*0.6%,IF(AND(M49&gt;500,M49&lt;=1000),M49*0.7%,IF(AND(M49&gt;200,M49&lt;=500),M49*0.8%,IF(AND(M49&gt;100,M49&lt;=200),M49*0.9%,IF(AND(M49&gt;50,M49&lt;=100),M49*1%,IF(AND(M49&gt;20,M49&lt;=50),M49*1.5%,IF(AND(M49&gt;10,M49&lt;=20),M49*2%,IF(AND(M49&gt;1,M49&lt;=10),M49*2.5%)))))))))</f>
        <v>2635.0349999999999</v>
      </c>
      <c r="M64" s="24">
        <f t="shared" ref="M64:M65" ca="1" si="1">ROUND(L64,1)</f>
        <v>2635</v>
      </c>
      <c r="N64" s="138" t="s">
        <v>2246</v>
      </c>
      <c r="Z64" s="2427"/>
      <c r="AI64" s="2428"/>
    </row>
    <row r="65" spans="1:35" ht="14.25" customHeight="1">
      <c r="A65" s="197" t="s">
        <v>771</v>
      </c>
      <c r="B65" s="198" t="s">
        <v>2247</v>
      </c>
      <c r="C65" s="202"/>
      <c r="D65" s="200"/>
      <c r="E65" s="201"/>
      <c r="F65" s="2493"/>
      <c r="G65" s="2493"/>
      <c r="H65" s="2501"/>
      <c r="I65" s="138"/>
      <c r="J65" s="3143"/>
      <c r="K65" s="2503" t="s">
        <v>2248</v>
      </c>
      <c r="L65" s="1752">
        <f ca="1">IF(M49&gt;1000,M49*0.1%,IF(AND(M49&gt;500,M49&lt;=1000),M49*0.5%,IF(AND(M49&gt;50,M49&lt;=500),M49*1%,IF(AND(M49&gt;1,M49&lt;=50),M49*1.5%))))</f>
        <v>527.00700000000006</v>
      </c>
      <c r="M65" s="24">
        <f t="shared" ca="1" si="1"/>
        <v>527</v>
      </c>
      <c r="N65" s="138" t="s">
        <v>2246</v>
      </c>
      <c r="Z65" s="2427"/>
      <c r="AI65" s="2428"/>
    </row>
    <row r="66" spans="1:35" ht="14.25" customHeight="1">
      <c r="A66" s="203" t="s">
        <v>772</v>
      </c>
      <c r="B66" s="204" t="s">
        <v>2249</v>
      </c>
      <c r="C66" s="205"/>
      <c r="D66" s="206" t="s">
        <v>32</v>
      </c>
      <c r="E66" s="1776" t="s">
        <v>1371</v>
      </c>
      <c r="F66" s="2493"/>
      <c r="G66" s="2493"/>
      <c r="H66" s="2501"/>
      <c r="I66" s="138"/>
      <c r="J66" s="3143"/>
      <c r="K66" s="2503" t="s">
        <v>2250</v>
      </c>
      <c r="L66" s="1752">
        <f ca="1">M49*0.5%</f>
        <v>2635.0349999999999</v>
      </c>
      <c r="M66" s="24">
        <f ca="1">IF(L66&gt;0.5,0.5,ROUND(L66,0))</f>
        <v>0.5</v>
      </c>
      <c r="N66" s="138" t="s">
        <v>2251</v>
      </c>
      <c r="Z66" s="2427"/>
      <c r="AI66" s="2428"/>
    </row>
    <row r="67" spans="1:35" ht="14.25" customHeight="1">
      <c r="A67" s="203" t="s">
        <v>773</v>
      </c>
      <c r="B67" s="204" t="s">
        <v>2252</v>
      </c>
      <c r="C67" s="207">
        <f ca="1">C63-C66</f>
        <v>401530</v>
      </c>
      <c r="D67" s="200" t="s">
        <v>32</v>
      </c>
      <c r="E67" s="201"/>
      <c r="F67" s="2493"/>
      <c r="G67" s="2493"/>
      <c r="H67" s="2501"/>
      <c r="I67" s="138"/>
      <c r="J67" s="3143"/>
      <c r="K67" s="2503" t="s">
        <v>2253</v>
      </c>
      <c r="L67" s="1752">
        <f ca="1">IF(M49&gt;=10000,(8.25+(M49-10000)*0.01%),IF(AND(M49&gt;=8000,M49&lt;10000),(7.85+(M49-8000)*0.02%),IF(AND(M49&gt;=5000,M49&lt;8000),(6.65+(M49-5000)*0.04%),IF(AND(M49&gt;=2000,M49&lt;5000),(4.25+(PM49-2000)*0.08%),IF(AND(M49&gt;=1000,M49&lt;2000),(2.75+(M49-1000)*0.15%),IF(AND(M49&gt;=100,M49&lt;1000),(0.5+(M49-100)*0.25%),IF(AND(M49&gt;0,M49&lt;100),M49*0.5%)))))))</f>
        <v>59.950700000000005</v>
      </c>
      <c r="M67" s="24">
        <f ca="1">ROUND(L67*0.9,1)</f>
        <v>54</v>
      </c>
      <c r="Z67" s="2427"/>
      <c r="AI67" s="2428"/>
    </row>
    <row r="68" spans="1:35" ht="14.25" customHeight="1" thickBot="1">
      <c r="A68" s="208" t="s">
        <v>774</v>
      </c>
      <c r="B68" s="209" t="s">
        <v>2254</v>
      </c>
      <c r="C68" s="210">
        <f ca="1">IF(C67&lt;=0,0,ROUND(C67*D68,0))</f>
        <v>22486</v>
      </c>
      <c r="D68" s="211">
        <f>'数据-取费表'!B41</f>
        <v>5.6000000000000001E-2</v>
      </c>
      <c r="E68" s="212"/>
      <c r="F68" s="2493"/>
      <c r="G68" s="2493"/>
      <c r="H68" s="2501"/>
      <c r="I68" s="138"/>
      <c r="J68" s="3143"/>
      <c r="K68" s="2503" t="s">
        <v>2255</v>
      </c>
      <c r="L68" s="1752">
        <f ca="1">IF(M49&gt;10000,M49*0.5%,IF(AND(M49&gt;5000,M49&lt;=10000),M49*1%,IF(AND(M49&gt;1000,M49&lt;=5000),M49*2%,IF(AND(M49&gt;200,M49&lt;=1000),M49*3%,M49*5%))))</f>
        <v>2635.0349999999999</v>
      </c>
      <c r="M68" s="24">
        <f ca="1">ROUND(L68,1)</f>
        <v>2635</v>
      </c>
      <c r="Z68" s="2427"/>
      <c r="AI68" s="2428"/>
    </row>
    <row r="69" spans="1:35" s="2450" customFormat="1" ht="16.5" customHeight="1">
      <c r="A69" s="2504"/>
      <c r="B69" s="2505"/>
      <c r="C69" s="2506"/>
      <c r="D69" s="2507"/>
      <c r="E69" s="2508"/>
      <c r="F69" s="2170"/>
      <c r="G69" s="2170"/>
      <c r="H69" s="2169"/>
      <c r="I69" s="2422"/>
      <c r="J69" s="3143"/>
      <c r="K69" s="2503" t="s">
        <v>2256</v>
      </c>
      <c r="L69" s="2509"/>
      <c r="M69" s="24">
        <f ca="1">ROUND(SUM(M63:M68),0)</f>
        <v>8487</v>
      </c>
      <c r="N69" s="1753">
        <f ca="1">M69/M49</f>
        <v>1.6104150419254393E-2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2" t="s">
        <v>2257</v>
      </c>
      <c r="B70" s="3103"/>
      <c r="C70" s="3103"/>
      <c r="D70" s="3103"/>
      <c r="E70" s="3103"/>
      <c r="F70" s="3103"/>
      <c r="G70" s="3103"/>
      <c r="H70" s="310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1" t="s">
        <v>2238</v>
      </c>
      <c r="B71" s="3082"/>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401530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2409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076" t="s">
        <v>2266</v>
      </c>
      <c r="F76" s="3053"/>
      <c r="G76" s="3053"/>
      <c r="H76" s="310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2409</v>
      </c>
      <c r="D78" s="226">
        <f>'数据-取费表'!B43</f>
        <v>6.000000000000001E-3</v>
      </c>
      <c r="E78" s="3062" t="s">
        <v>2271</v>
      </c>
      <c r="F78" s="3063"/>
      <c r="G78" s="3063"/>
      <c r="H78" s="307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399121</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165.67911996679121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238629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2" t="s">
        <v>2275</v>
      </c>
      <c r="B83" s="3103"/>
      <c r="C83" s="3103"/>
      <c r="D83" s="3103"/>
      <c r="E83" s="3103"/>
      <c r="F83" s="3103"/>
      <c r="G83" s="3103"/>
      <c r="H83" s="310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1" t="s">
        <v>2238</v>
      </c>
      <c r="B84" s="3082"/>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401530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276573</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69674</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v>67612</v>
      </c>
      <c r="D88" s="226"/>
      <c r="E88" s="237" t="s">
        <v>2278</v>
      </c>
      <c r="F88" s="1800"/>
      <c r="G88" s="238" t="s">
        <v>2279</v>
      </c>
      <c r="H88" s="2521" t="s">
        <v>3142</v>
      </c>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2062</v>
      </c>
      <c r="D89" s="226">
        <f>'数据-取费表'!B48+'数据-取费表'!B49</f>
        <v>3.0499999999999999E-2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141221</v>
      </c>
      <c r="D91" s="226"/>
      <c r="E91" s="3062" t="s">
        <v>2284</v>
      </c>
      <c r="F91" s="3063"/>
      <c r="G91" s="3063"/>
      <c r="H91" s="2522" t="s">
        <v>2285</v>
      </c>
      <c r="I91" s="2523">
        <v>141221</v>
      </c>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21090</v>
      </c>
      <c r="D92" s="226">
        <v>0.1</v>
      </c>
      <c r="E92" s="3062" t="s">
        <v>2288</v>
      </c>
      <c r="F92" s="3063"/>
      <c r="G92" s="3063"/>
      <c r="H92" s="307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2409</v>
      </c>
      <c r="D93" s="226">
        <f>'数据-取费表'!B43</f>
        <v>6.000000000000001E-3</v>
      </c>
      <c r="E93" s="3062" t="s">
        <v>2271</v>
      </c>
      <c r="F93" s="3063"/>
      <c r="G93" s="3063"/>
      <c r="H93" s="307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42179</v>
      </c>
      <c r="D94" s="226">
        <v>0.2</v>
      </c>
      <c r="E94" s="3073" t="s">
        <v>2292</v>
      </c>
      <c r="F94" s="3074"/>
      <c r="G94" s="3074"/>
      <c r="H94" s="307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124957</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0.45180476763820038</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37487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047" t="s">
        <v>2294</v>
      </c>
      <c r="B100" s="3048"/>
      <c r="C100" s="3048"/>
      <c r="D100" s="3064"/>
      <c r="E100" s="3048" t="s">
        <v>2295</v>
      </c>
      <c r="F100" s="3048"/>
      <c r="G100" s="3048"/>
      <c r="H100" s="3064"/>
      <c r="I100" s="138"/>
    </row>
    <row r="101" spans="1:35" ht="18.75" customHeight="1">
      <c r="A101" s="3126" t="s">
        <v>2296</v>
      </c>
      <c r="B101" s="3127"/>
      <c r="C101" s="736" t="str">
        <f>C4</f>
        <v>成本法</v>
      </c>
      <c r="D101" s="737" t="str">
        <f>D4</f>
        <v>收益法</v>
      </c>
      <c r="E101" s="3140" t="s">
        <v>2297</v>
      </c>
      <c r="F101" s="3094"/>
      <c r="G101" s="2524" t="s">
        <v>2298</v>
      </c>
      <c r="H101" s="1048">
        <f ca="1">H118</f>
        <v>57790</v>
      </c>
      <c r="I101" s="138"/>
    </row>
    <row r="102" spans="1:35" ht="18.75" customHeight="1">
      <c r="A102" s="3096" t="s">
        <v>2299</v>
      </c>
      <c r="B102" s="2524" t="s">
        <v>2298</v>
      </c>
      <c r="C102" s="736">
        <f ca="1">C19</f>
        <v>56405</v>
      </c>
      <c r="D102" s="737">
        <f ca="1">D19</f>
        <v>59175</v>
      </c>
      <c r="E102" s="3140"/>
      <c r="F102" s="3094"/>
      <c r="G102" s="2524" t="s">
        <v>2300</v>
      </c>
      <c r="H102" s="371">
        <f ca="1">I118</f>
        <v>14932</v>
      </c>
      <c r="I102" s="138"/>
    </row>
    <row r="103" spans="1:35" ht="42.75" customHeight="1">
      <c r="A103" s="3096"/>
      <c r="B103" s="2524" t="s">
        <v>2300</v>
      </c>
      <c r="C103" s="738">
        <f ca="1">C20</f>
        <v>14574</v>
      </c>
      <c r="D103" s="739">
        <f ca="1">D20</f>
        <v>15290</v>
      </c>
      <c r="E103" s="3135" t="s">
        <v>2301</v>
      </c>
      <c r="F103" s="3136"/>
      <c r="G103" s="2525" t="s">
        <v>2302</v>
      </c>
      <c r="H103" s="1048">
        <f>IF(D36="正常操作",H104+H105+H106,H105+H106)</f>
        <v>0</v>
      </c>
      <c r="I103" s="138"/>
    </row>
    <row r="104" spans="1:35" ht="18.75" customHeight="1">
      <c r="A104" s="3096" t="s">
        <v>2303</v>
      </c>
      <c r="B104" s="2526" t="s">
        <v>2298</v>
      </c>
      <c r="C104" s="740">
        <f ca="1">H118</f>
        <v>57790</v>
      </c>
      <c r="D104" s="741"/>
      <c r="E104" s="2271" t="s">
        <v>2304</v>
      </c>
      <c r="F104" s="2262"/>
      <c r="G104" s="2525" t="s">
        <v>2302</v>
      </c>
      <c r="H104" s="1049">
        <f>IF(D36="同一抵押权人同一抵押物续贷",C36&amp;"（未扣减，详见特别提示）",C36)</f>
        <v>0</v>
      </c>
      <c r="I104" s="138"/>
    </row>
    <row r="105" spans="1:35" ht="18.75" customHeight="1" thickBot="1">
      <c r="A105" s="3097"/>
      <c r="B105" s="2527" t="s">
        <v>2300</v>
      </c>
      <c r="C105" s="742">
        <f ca="1">I118</f>
        <v>14932</v>
      </c>
      <c r="D105" s="743"/>
      <c r="E105" s="2271"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093" t="str">
        <f>IF(项目基本情况!E8="已注销","——","3.房地产抵押价值")</f>
        <v>3.房地产抵押价值</v>
      </c>
      <c r="F107" s="3094"/>
      <c r="G107" s="2524" t="s">
        <v>2298</v>
      </c>
      <c r="H107" s="1048">
        <f ca="1">IF(E107="——","——",H101-H103)</f>
        <v>57790</v>
      </c>
      <c r="I107" s="138"/>
    </row>
    <row r="108" spans="1:35" ht="18.75" customHeight="1">
      <c r="A108" s="138"/>
      <c r="B108" s="138"/>
      <c r="C108" s="138"/>
      <c r="D108" s="138"/>
      <c r="E108" s="3093"/>
      <c r="F108" s="3094"/>
      <c r="G108" s="2524" t="s">
        <v>2300</v>
      </c>
      <c r="H108" s="371">
        <f ca="1">ROUND(H107*10000/'数据-汇总表'!E3,0)</f>
        <v>14932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4" t="s">
        <v>2298</v>
      </c>
      <c r="H109" s="348" t="str">
        <f>IF(E109="——","——",H101-H105-H106)</f>
        <v>——</v>
      </c>
      <c r="I109" s="138"/>
    </row>
    <row r="110" spans="1:35" ht="18.75" customHeight="1">
      <c r="A110" s="138"/>
      <c r="B110" s="138"/>
      <c r="C110" s="138"/>
      <c r="D110" s="138"/>
      <c r="E110" s="3093"/>
      <c r="F110" s="3094"/>
      <c r="G110" s="2524" t="s">
        <v>2300</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4" t="s">
        <v>2298</v>
      </c>
      <c r="H111" s="1048" t="str">
        <f>IF(E111="——","——",N59)</f>
        <v>——</v>
      </c>
      <c r="I111" s="138"/>
    </row>
    <row r="112" spans="1:35" ht="18.75" customHeight="1" thickBot="1">
      <c r="A112" s="138"/>
      <c r="B112" s="138"/>
      <c r="C112" s="138"/>
      <c r="D112" s="138"/>
      <c r="E112" s="3130"/>
      <c r="F112" s="3131"/>
      <c r="G112" s="2529" t="s">
        <v>2300</v>
      </c>
      <c r="H112" s="790" t="str">
        <f>IF(E111="——","——",N61)</f>
        <v>——</v>
      </c>
      <c r="I112" s="138"/>
    </row>
    <row r="113" spans="1:11" ht="18.75" customHeight="1">
      <c r="A113" s="138"/>
      <c r="B113" s="138"/>
      <c r="C113" s="138"/>
      <c r="D113" s="138"/>
      <c r="E113" s="3098" t="s">
        <v>2306</v>
      </c>
      <c r="F113" s="3098"/>
      <c r="G113" s="3098"/>
      <c r="H113" s="3098"/>
      <c r="I113" s="138"/>
    </row>
    <row r="114" spans="1:11" ht="3.75" customHeight="1">
      <c r="A114" s="2422"/>
      <c r="B114" s="2422"/>
      <c r="C114" s="2422"/>
      <c r="D114" s="2422"/>
      <c r="E114" s="2500"/>
      <c r="F114" s="2500"/>
      <c r="G114" s="2500"/>
      <c r="H114" s="2500"/>
      <c r="I114" s="2422"/>
    </row>
    <row r="115" spans="1:11" ht="18.75" customHeight="1">
      <c r="A115" s="3111" t="s">
        <v>2308</v>
      </c>
      <c r="B115" s="3112"/>
      <c r="C115" s="3112"/>
      <c r="D115" s="3112"/>
      <c r="E115" s="3112"/>
      <c r="F115" s="3112"/>
      <c r="G115" s="3112"/>
      <c r="H115" s="3112"/>
      <c r="I115" s="3113"/>
    </row>
    <row r="116" spans="1:11" ht="27" customHeight="1">
      <c r="A116" s="3004" t="s">
        <v>2309</v>
      </c>
      <c r="B116" s="3099" t="s">
        <v>2310</v>
      </c>
      <c r="C116" s="3099" t="s">
        <v>2311</v>
      </c>
      <c r="D116" s="3115" t="s">
        <v>2312</v>
      </c>
      <c r="E116" s="3116"/>
      <c r="F116" s="3107" t="s">
        <v>2313</v>
      </c>
      <c r="G116" s="3107"/>
      <c r="H116" s="3004" t="s">
        <v>2314</v>
      </c>
      <c r="I116" s="3004"/>
    </row>
    <row r="117" spans="1:11" ht="18.75" customHeight="1">
      <c r="A117" s="3004"/>
      <c r="B117" s="3100"/>
      <c r="C117" s="3100"/>
      <c r="D117" s="1798" t="s">
        <v>2315</v>
      </c>
      <c r="E117" s="1798" t="s">
        <v>2316</v>
      </c>
      <c r="F117" s="1798" t="s">
        <v>2315</v>
      </c>
      <c r="G117" s="1798" t="s">
        <v>2317</v>
      </c>
      <c r="H117" s="1798" t="s">
        <v>2315</v>
      </c>
      <c r="I117" s="1798" t="s">
        <v>2317</v>
      </c>
    </row>
    <row r="118" spans="1:11" ht="24.75" customHeight="1">
      <c r="A118" s="2530" t="str">
        <f>项目基本情况!S2</f>
        <v>房地产</v>
      </c>
      <c r="B118" s="1798">
        <f>M18</f>
        <v>38702.28</v>
      </c>
      <c r="C118" s="1798">
        <f>M19</f>
        <v>13879.46</v>
      </c>
      <c r="D118" s="1798">
        <f ca="1">ROUND(IF(D32="总价",C34,E118*B118/10000),0)</f>
        <v>12772</v>
      </c>
      <c r="E118" s="1798">
        <f ca="1">ROUND(IF(C33="自定义",IF(D32="楼面单价",C34,D118*10000/B118),I118-G118),0)</f>
        <v>3300</v>
      </c>
      <c r="F118" s="1798">
        <f ca="1">ROUND(IF(D32="总价",C35,G118*B118/10000),0)</f>
        <v>45018</v>
      </c>
      <c r="G118" s="1798">
        <f ca="1">ROUND(IF(D32="楼面单价",C35,F118*10000/B118),0)</f>
        <v>11632</v>
      </c>
      <c r="H118" s="1798">
        <f ca="1">ROUND(IF(D32="总价",C32,I118*B118/10000),0)</f>
        <v>57790</v>
      </c>
      <c r="I118" s="1798">
        <f ca="1">ROUND(IF(D32="楼面单价",C32,H118*10000/B118),0)</f>
        <v>14932</v>
      </c>
    </row>
    <row r="119" spans="1:11" ht="18.75" customHeight="1">
      <c r="A119" s="3004" t="s">
        <v>2318</v>
      </c>
      <c r="B119" s="3004"/>
      <c r="C119" s="3004"/>
      <c r="D119" s="3104" t="str">
        <f ca="1">NUMBERSTRING(INT(D118*10000),2)&amp;"元整"</f>
        <v>壹亿贰仟柒佰柒拾贰万元整</v>
      </c>
      <c r="E119" s="3106"/>
      <c r="F119" s="3104" t="str">
        <f ca="1">NUMBERSTRING(INT(F118*10000),2)&amp;"元整"</f>
        <v>肆亿伍仟零壹拾捌万元整</v>
      </c>
      <c r="G119" s="3106"/>
      <c r="H119" s="3104" t="str">
        <f ca="1">NUMBERSTRING(INT(H118*10000),2)&amp;"元整"</f>
        <v>伍亿柒仟柒佰玖拾万元整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7" t="str">
        <f>IF(D120=0,"故，本次评估不存在"&amp;A120,"故，本次评估"&amp;A120&amp;"为人民币"&amp;D120&amp;"万元整。")</f>
        <v>故，本次评估不存在估价师知悉的法定优先受偿款</v>
      </c>
    </row>
    <row r="121" spans="1:11" ht="18.75" customHeight="1">
      <c r="A121" s="3108" t="s">
        <v>2318</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57790</v>
      </c>
      <c r="E122" s="3133"/>
      <c r="F122" s="3133"/>
      <c r="G122" s="3133"/>
      <c r="H122" s="3133"/>
      <c r="I122" s="3134"/>
    </row>
    <row r="123" spans="1:11" ht="18.75" customHeight="1">
      <c r="A123" s="3004" t="s">
        <v>2318</v>
      </c>
      <c r="B123" s="3004"/>
      <c r="C123" s="3004"/>
      <c r="D123" s="3104" t="str">
        <f ca="1">NUMBERSTRING(INT(D122*10000),2)&amp;"元整"</f>
        <v>伍亿柒仟柒佰玖拾万元整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2318</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2318</v>
      </c>
      <c r="B127" s="3004"/>
      <c r="C127" s="3004"/>
      <c r="D127" s="3104" t="e">
        <f>NUMBERSTRING(INT(D126*10000),2)&amp;"元整"</f>
        <v>#VALUE!</v>
      </c>
      <c r="E127" s="3105"/>
      <c r="F127" s="3105"/>
      <c r="G127" s="3105"/>
      <c r="H127" s="3105"/>
      <c r="I127" s="3106"/>
    </row>
    <row r="128" spans="1:11" ht="21.75" customHeight="1">
      <c r="A128" s="3114" t="s">
        <v>2319</v>
      </c>
      <c r="B128" s="3114"/>
      <c r="C128" s="3114"/>
      <c r="D128" s="3114"/>
      <c r="E128" s="3114"/>
      <c r="F128" s="3114"/>
      <c r="G128" s="3114"/>
      <c r="H128" s="3114"/>
      <c r="I128" s="3114"/>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56405</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14574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8388</v>
      </c>
      <c r="D5" s="255" t="s">
        <v>2335</v>
      </c>
      <c r="E5" s="256" t="s">
        <v>2336</v>
      </c>
      <c r="F5" s="256" t="s">
        <v>2337</v>
      </c>
      <c r="G5" s="257"/>
    </row>
    <row r="6" spans="1:9" s="258" customFormat="1" ht="13.5" customHeight="1">
      <c r="A6" s="952" t="s">
        <v>2338</v>
      </c>
      <c r="B6" s="259" t="s">
        <v>2339</v>
      </c>
      <c r="C6" s="260">
        <f>'土地比较法-住宅、综合'!B2</f>
        <v>7802</v>
      </c>
      <c r="D6" s="261"/>
      <c r="E6" s="262"/>
      <c r="F6" s="262"/>
      <c r="G6" s="263"/>
    </row>
    <row r="7" spans="1:9" s="258" customFormat="1" ht="13.5" customHeight="1">
      <c r="A7" s="952" t="s">
        <v>2340</v>
      </c>
      <c r="B7" s="259" t="s">
        <v>2341</v>
      </c>
      <c r="C7" s="264">
        <f>ROUND(C6*F7,0)</f>
        <v>238</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348</v>
      </c>
      <c r="D8" s="266"/>
      <c r="E8" s="264"/>
      <c r="F8" s="265"/>
      <c r="G8" s="2556" t="s">
        <v>3136</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t="s">
        <v>3137</v>
      </c>
      <c r="H9" s="1393"/>
      <c r="I9" s="2558" t="s">
        <v>2345</v>
      </c>
    </row>
    <row r="10" spans="1:9" s="258" customFormat="1" ht="13.5" customHeight="1">
      <c r="A10" s="953" t="s">
        <v>801</v>
      </c>
      <c r="B10" s="268" t="s">
        <v>2346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38702.28</v>
      </c>
      <c r="E19" s="255">
        <f>'数据-取费表'!B31</f>
        <v>200</v>
      </c>
      <c r="F19" s="275"/>
      <c r="G19" s="2556" t="s">
        <v>3138</v>
      </c>
    </row>
    <row r="20" spans="1:7" s="258" customFormat="1" ht="13.5" customHeight="1">
      <c r="A20" s="299" t="s">
        <v>2359</v>
      </c>
      <c r="B20" s="254" t="s">
        <v>2360</v>
      </c>
      <c r="C20" s="276">
        <f ca="1">ROUND((C5+C19)*F20,0)</f>
        <v>168</v>
      </c>
      <c r="D20" s="276"/>
      <c r="E20" s="276"/>
      <c r="F20" s="277">
        <f>'数据-取费表'!B37</f>
        <v>0.02</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1042</v>
      </c>
      <c r="D22" s="279">
        <f ca="1">C26</f>
        <v>1.8E-3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1032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10</v>
      </c>
      <c r="D25" s="282"/>
      <c r="E25" s="285"/>
      <c r="F25" s="283"/>
      <c r="G25" s="286" t="s">
        <v>2376</v>
      </c>
    </row>
    <row r="26" spans="1:7" s="258" customFormat="1">
      <c r="A26" s="954" t="s">
        <v>795</v>
      </c>
      <c r="B26" s="259" t="s">
        <v>2377</v>
      </c>
      <c r="C26" s="282">
        <f ca="1">ROUND(IF('数据-取费表'!B22&lt;=1,F21*F22*'数据-取费表'!B23/2,F21*(POWER((1+F22),'数据-取费表'!B23/2)-1)),4)</f>
        <v>1.8E-3</v>
      </c>
      <c r="D26" s="282"/>
      <c r="E26" s="285"/>
      <c r="F26" s="283"/>
      <c r="G26" s="287"/>
    </row>
    <row r="27" spans="1:7" s="258" customFormat="1" ht="24.75">
      <c r="A27" s="299" t="s">
        <v>2378</v>
      </c>
      <c r="B27" s="288" t="s">
        <v>2379</v>
      </c>
      <c r="C27" s="289">
        <f ca="1">C28</f>
        <v>1711</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1711</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12443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33438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2392</v>
      </c>
    </row>
    <row r="35" spans="1:7" ht="13.5" customHeight="1">
      <c r="A35" s="954" t="s">
        <v>796</v>
      </c>
      <c r="B35" s="259" t="s">
        <v>2393</v>
      </c>
      <c r="C35" s="264">
        <f ca="1">ROUND(C34*F35,0)</f>
        <v>1238</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774</v>
      </c>
      <c r="D37" s="261">
        <f ca="1">D19</f>
        <v>38702.28</v>
      </c>
      <c r="E37" s="293">
        <f>'数据-取费表'!B35</f>
        <v>200</v>
      </c>
      <c r="F37" s="303"/>
      <c r="G37" s="305" t="s">
        <v>2398</v>
      </c>
    </row>
    <row r="38" spans="1:7" ht="13.5" customHeight="1">
      <c r="A38" s="954" t="s">
        <v>799</v>
      </c>
      <c r="B38" s="259" t="s">
        <v>2399</v>
      </c>
      <c r="C38" s="264">
        <f ca="1">ROUND(C34*F38,0)</f>
        <v>464</v>
      </c>
      <c r="D38" s="264"/>
      <c r="E38" s="264"/>
      <c r="F38" s="303">
        <f>'数据-取费表'!B36</f>
        <v>1.4999999999999999E-2</v>
      </c>
      <c r="G38" s="263" t="s">
        <v>2394</v>
      </c>
    </row>
    <row r="39" spans="1:7" s="258" customFormat="1" ht="13.5" customHeight="1">
      <c r="A39" s="299" t="s">
        <v>2400</v>
      </c>
      <c r="B39" s="254" t="s">
        <v>2401</v>
      </c>
      <c r="C39" s="276">
        <f ca="1">ROUND(C33*F20,0)</f>
        <v>669</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2037</v>
      </c>
      <c r="D41" s="279">
        <f ca="1">C44</f>
        <v>1.8E-3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1997</v>
      </c>
      <c r="D42" s="282"/>
      <c r="E42" s="282"/>
      <c r="F42" s="283"/>
      <c r="G42" s="3146" t="s">
        <v>2410</v>
      </c>
    </row>
    <row r="43" spans="1:7" ht="13.5" customHeight="1">
      <c r="A43" s="954" t="s">
        <v>792</v>
      </c>
      <c r="B43" s="259" t="s">
        <v>2411</v>
      </c>
      <c r="C43" s="282">
        <f ca="1">ROUND(IF('数据-取费表'!B22&lt;=1,C39*F22*'数据-取费表'!B21/2,C39*(POWER((1+F22),'数据-取费表'!B21/2)-1)),0)</f>
        <v>40</v>
      </c>
      <c r="D43" s="282"/>
      <c r="E43" s="282"/>
      <c r="F43" s="283"/>
      <c r="G43" s="3147"/>
    </row>
    <row r="44" spans="1:7" ht="13.5" customHeight="1">
      <c r="A44" s="954" t="s">
        <v>793</v>
      </c>
      <c r="B44" s="259" t="s">
        <v>2412</v>
      </c>
      <c r="C44" s="282">
        <f ca="1">ROUND(IF('数据-取费表'!B22&lt;=1,C40*F22*'数据-取费表'!B21/2,C40*(POWER((1+F22),'数据-取费表'!B21/2)-1)),4)</f>
        <v>1.8E-3</v>
      </c>
      <c r="D44" s="282"/>
      <c r="E44" s="282"/>
      <c r="F44" s="283"/>
      <c r="G44" s="3148"/>
    </row>
    <row r="45" spans="1:7" s="258" customFormat="1" ht="13.5" customHeight="1">
      <c r="A45" s="299" t="s">
        <v>2413</v>
      </c>
      <c r="B45" s="288" t="s">
        <v>2379</v>
      </c>
      <c r="C45" s="289">
        <f ca="1">C46</f>
        <v>6821</v>
      </c>
      <c r="D45" s="279">
        <f ca="1">C47</f>
        <v>6.0000000000000001E-3</v>
      </c>
      <c r="E45" s="280" t="s">
        <v>2405</v>
      </c>
      <c r="F45" s="290"/>
      <c r="G45" s="291" t="s">
        <v>2414</v>
      </c>
    </row>
    <row r="46" spans="1:7" s="258" customFormat="1" ht="13.5" customHeight="1">
      <c r="A46" s="954" t="s">
        <v>791</v>
      </c>
      <c r="B46" s="292" t="s">
        <v>2415</v>
      </c>
      <c r="C46" s="293">
        <f ca="1">ROUND((C33+C39)*F27,0)</f>
        <v>6821</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47271</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43962</v>
      </c>
      <c r="D51" s="276"/>
      <c r="E51" s="276"/>
      <c r="F51" s="308"/>
      <c r="G51" s="278" t="s">
        <v>2426</v>
      </c>
    </row>
    <row r="52" spans="1:7" s="252" customFormat="1" ht="16.5" thickBot="1">
      <c r="A52" s="309" t="s">
        <v>2427</v>
      </c>
      <c r="B52" s="310"/>
      <c r="C52" s="311">
        <f ca="1">C31+C51</f>
        <v>56405</v>
      </c>
      <c r="D52" s="310"/>
      <c r="E52" s="310"/>
      <c r="F52" s="310"/>
      <c r="G52" s="312"/>
    </row>
    <row r="55" spans="1:7" ht="15">
      <c r="B55" s="314" t="s">
        <v>2428</v>
      </c>
      <c r="C55" s="315"/>
    </row>
    <row r="56" spans="1:7">
      <c r="B56" s="317" t="s">
        <v>1513</v>
      </c>
      <c r="C56" s="319">
        <f ca="1">1-C57</f>
        <v>0.22099999999999997</v>
      </c>
    </row>
    <row r="57" spans="1:7">
      <c r="B57" s="317" t="s">
        <v>1514</v>
      </c>
      <c r="C57" s="318">
        <f ca="1">ROUND(C51/C52,3)</f>
        <v>0.77900000000000003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45628</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11789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3483205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3483205</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7740456</v>
      </c>
      <c r="D19" s="1039">
        <f ca="1">D9+D10</f>
        <v>38702.28</v>
      </c>
      <c r="E19" s="255">
        <f>'数据-取费表'!B31</f>
        <v>200</v>
      </c>
      <c r="F19" s="275"/>
      <c r="G19" s="2556"/>
    </row>
    <row r="20" spans="1:7" s="258" customFormat="1" ht="13.5" customHeight="1">
      <c r="A20" s="299" t="s">
        <v>2440</v>
      </c>
      <c r="B20" s="254" t="s">
        <v>2441</v>
      </c>
      <c r="C20" s="276">
        <f ca="1">ROUND((C5+C19)*F20,0)</f>
        <v>224473</v>
      </c>
      <c r="D20" s="276"/>
      <c r="E20" s="276"/>
      <c r="F20" s="277">
        <f>'数据-取费表'!B37</f>
        <v>0.02</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1394071</v>
      </c>
      <c r="D22" s="279">
        <f ca="1">C26</f>
        <v>1.8E-3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428482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952183</v>
      </c>
      <c r="D24" s="282"/>
      <c r="E24" s="282"/>
      <c r="F24" s="283"/>
      <c r="G24" s="284" t="s">
        <v>2452</v>
      </c>
    </row>
    <row r="25" spans="1:7" s="258" customFormat="1" ht="24">
      <c r="A25" s="954" t="s">
        <v>2342</v>
      </c>
      <c r="B25" s="259" t="s">
        <v>2453</v>
      </c>
      <c r="C25" s="1384">
        <f ca="1">ROUND(IF('数据-取费表'!B22&lt;=1,C20*F22*'数据-取费表'!B22/2,C20*(POWER((1+F22),'数据-取费表'!B22/2)-1)),0)</f>
        <v>13406</v>
      </c>
      <c r="D25" s="282"/>
      <c r="E25" s="285"/>
      <c r="F25" s="283"/>
      <c r="G25" s="286" t="s">
        <v>2454</v>
      </c>
    </row>
    <row r="26" spans="1:7" s="258" customFormat="1">
      <c r="A26" s="954" t="s">
        <v>795</v>
      </c>
      <c r="B26" s="259" t="s">
        <v>2377</v>
      </c>
      <c r="C26" s="282">
        <f ca="1">ROUND(IF('数据-取费表'!B22&lt;=1,F21*F22*'数据-取费表'!B22/2,F21*(POWER((1+F22),'数据-取费表'!B22/2)-1)),4)</f>
        <v>1.8E-3</v>
      </c>
      <c r="D26" s="282"/>
      <c r="E26" s="285"/>
      <c r="F26" s="283"/>
      <c r="G26" s="287"/>
    </row>
    <row r="27" spans="1:7" s="258" customFormat="1" ht="24.75">
      <c r="A27" s="299" t="s">
        <v>2378</v>
      </c>
      <c r="B27" s="288" t="s">
        <v>2379</v>
      </c>
      <c r="C27" s="289">
        <f ca="1">C28</f>
        <v>2289627</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2289627</v>
      </c>
      <c r="D28" s="279"/>
      <c r="E28" s="280"/>
      <c r="F28" s="290"/>
      <c r="G28" s="291"/>
    </row>
    <row r="29" spans="1:7" s="258" customFormat="1" ht="13.5" customHeight="1">
      <c r="A29" s="954"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16648511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334387700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2393</v>
      </c>
      <c r="C35" s="264">
        <f ca="1">ROUND(C34*F35,0)</f>
        <v>12384730</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7740456</v>
      </c>
      <c r="D37" s="261">
        <f ca="1">D19</f>
        <v>38702.28</v>
      </c>
      <c r="E37" s="293">
        <f>'数据-取费表'!B35</f>
        <v>200</v>
      </c>
      <c r="F37" s="303"/>
      <c r="G37" s="305"/>
    </row>
    <row r="38" spans="1:7" ht="13.5" customHeight="1">
      <c r="A38" s="954" t="s">
        <v>799</v>
      </c>
      <c r="B38" s="259" t="s">
        <v>2399</v>
      </c>
      <c r="C38" s="264">
        <f ca="1">ROUND(C34*F38,0)</f>
        <v>4644274</v>
      </c>
      <c r="D38" s="264"/>
      <c r="E38" s="264"/>
      <c r="F38" s="303">
        <f>'数据-取费表'!B36</f>
        <v>1.4999999999999999E-2</v>
      </c>
      <c r="G38" s="263" t="s">
        <v>2394</v>
      </c>
    </row>
    <row r="39" spans="1:7" s="258" customFormat="1" ht="13.5" customHeight="1">
      <c r="A39" s="299" t="s">
        <v>2400</v>
      </c>
      <c r="B39" s="254" t="s">
        <v>2401</v>
      </c>
      <c r="C39" s="276">
        <f ca="1">ROUND(C33*F20,0)</f>
        <v>6687754</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20370199</v>
      </c>
      <c r="D41" s="279">
        <f ca="1">C44</f>
        <v>1.8E-3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19970783</v>
      </c>
      <c r="D42" s="282"/>
      <c r="E42" s="282"/>
      <c r="F42" s="283"/>
      <c r="G42" s="3146" t="s">
        <v>2457</v>
      </c>
    </row>
    <row r="43" spans="1:7" ht="13.5" customHeight="1">
      <c r="A43" s="954" t="s">
        <v>792</v>
      </c>
      <c r="B43" s="259" t="s">
        <v>2411</v>
      </c>
      <c r="C43" s="282">
        <f ca="1">ROUND(IF('数据-取费表'!B22&lt;=1,C39*F22*'数据-取费表'!B20/2,C39*(POWER((1+F22),'数据-取费表'!B20/2)-1)),0)</f>
        <v>399416</v>
      </c>
      <c r="D43" s="282"/>
      <c r="E43" s="282"/>
      <c r="F43" s="283"/>
      <c r="G43" s="3147"/>
    </row>
    <row r="44" spans="1:7" ht="13.5" customHeight="1">
      <c r="A44" s="954" t="s">
        <v>793</v>
      </c>
      <c r="B44" s="259" t="s">
        <v>2412</v>
      </c>
      <c r="C44" s="282">
        <f ca="1">ROUND(IF('数据-取费表'!B22&lt;=1,C40*F22*'数据-取费表'!B20/2,C40*(POWER((1+F22),'数据-取费表'!B20/2)-1)),4)</f>
        <v>1.8E-3</v>
      </c>
      <c r="D44" s="282"/>
      <c r="E44" s="282"/>
      <c r="F44" s="283"/>
      <c r="G44" s="3148"/>
    </row>
    <row r="45" spans="1:7" s="258" customFormat="1" ht="13.5" customHeight="1">
      <c r="A45" s="299" t="s">
        <v>2413</v>
      </c>
      <c r="B45" s="288" t="s">
        <v>2379</v>
      </c>
      <c r="C45" s="289">
        <f ca="1">C46</f>
        <v>68215091</v>
      </c>
      <c r="D45" s="279">
        <f ca="1">C47</f>
        <v>6.0000000000000001E-3</v>
      </c>
      <c r="E45" s="280" t="s">
        <v>2405</v>
      </c>
      <c r="F45" s="290"/>
      <c r="G45" s="291" t="s">
        <v>2414</v>
      </c>
    </row>
    <row r="46" spans="1:7" s="258" customFormat="1" ht="13.5" customHeight="1">
      <c r="A46" s="954" t="s">
        <v>791</v>
      </c>
      <c r="B46" s="292" t="s">
        <v>2415</v>
      </c>
      <c r="C46" s="293">
        <f ca="1">ROUND((C33+C39)*F27,0)</f>
        <v>68215091</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472726091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439635265</v>
      </c>
      <c r="D51" s="276"/>
      <c r="E51" s="276"/>
      <c r="F51" s="308"/>
      <c r="G51" s="278" t="s">
        <v>2426</v>
      </c>
    </row>
    <row r="52" spans="1:7" s="252" customFormat="1" ht="16.5" thickBot="1">
      <c r="A52" s="309" t="s">
        <v>2427</v>
      </c>
      <c r="B52" s="310"/>
      <c r="C52" s="311">
        <f ca="1">C31+C51</f>
        <v>456283776</v>
      </c>
      <c r="D52" s="310"/>
      <c r="E52" s="310"/>
      <c r="F52" s="310"/>
      <c r="G52" s="312"/>
    </row>
    <row r="55" spans="1:7" ht="15">
      <c r="B55" s="314" t="s">
        <v>2428</v>
      </c>
      <c r="C55" s="315"/>
    </row>
    <row r="56" spans="1:7">
      <c r="B56" s="317" t="s">
        <v>1513</v>
      </c>
      <c r="C56" s="319">
        <f ca="1">1-C57</f>
        <v>3.6000000000000032E-2</v>
      </c>
    </row>
    <row r="57" spans="1:7">
      <c r="B57" s="317" t="s">
        <v>1514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0.04</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38702.28</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38702.28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L39" sqref="L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3056</v>
      </c>
      <c r="D1" s="1823" t="s">
        <v>70</v>
      </c>
      <c r="E1" s="1824" t="s">
        <v>1387</v>
      </c>
      <c r="F1" s="1286">
        <f ca="1">J53</f>
        <v>27.73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59175</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15290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5016</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5016</v>
      </c>
      <c r="D6" s="164" t="s">
        <v>3035</v>
      </c>
      <c r="E6" s="347" t="s">
        <v>1405</v>
      </c>
      <c r="F6" s="348">
        <f ca="1">INDIRECT("'数据-取费表'!u"&amp;$G$1)</f>
        <v>3.5505</v>
      </c>
      <c r="G6" s="1854"/>
      <c r="H6" s="1294" t="s">
        <v>1035</v>
      </c>
      <c r="I6" s="3151" t="s">
        <v>1403</v>
      </c>
      <c r="J6" s="346">
        <f ca="1">ROUND(M6*M8*M7*(1-M9)/10000,0)</f>
        <v>0</v>
      </c>
      <c r="K6" s="164" t="s">
        <v>3034</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38702.28</v>
      </c>
      <c r="G7" s="1854"/>
      <c r="H7" s="349"/>
      <c r="I7" s="3152"/>
      <c r="J7" s="351"/>
      <c r="K7" s="352"/>
      <c r="L7" s="347" t="s">
        <v>1406</v>
      </c>
      <c r="M7" s="348">
        <f ca="1">F7</f>
        <v>38702.28</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43962</v>
      </c>
      <c r="D13" s="1334" t="s">
        <v>1415</v>
      </c>
      <c r="E13" s="1334" t="s">
        <v>1416</v>
      </c>
      <c r="F13" s="1335">
        <f ca="1">INDIRECT("'数据-取费表'!y"&amp;$G$1)</f>
        <v>0.93</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30962</v>
      </c>
      <c r="D14" s="1803" t="s">
        <v>1418</v>
      </c>
      <c r="E14" s="1797"/>
      <c r="F14" s="364"/>
      <c r="G14" s="1854"/>
      <c r="H14" s="1204" t="s">
        <v>1035</v>
      </c>
      <c r="I14" s="347" t="s">
        <v>1419</v>
      </c>
      <c r="J14" s="24">
        <f ca="1">C29</f>
        <v>47271</v>
      </c>
      <c r="K14" s="15"/>
      <c r="L14" s="982"/>
      <c r="M14" s="983"/>
    </row>
    <row r="15" spans="1:37" s="1861" customFormat="1" ht="18" customHeight="1" thickBot="1">
      <c r="A15" s="1204" t="s">
        <v>1036</v>
      </c>
      <c r="B15" s="347" t="s">
        <v>1420</v>
      </c>
      <c r="C15" s="24">
        <f ca="1">ROUND(C14*F15,0)</f>
        <v>1238</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1127</v>
      </c>
      <c r="K16" s="1340" t="s">
        <v>1425</v>
      </c>
      <c r="L16" s="1341"/>
      <c r="M16" s="1297"/>
    </row>
    <row r="17" spans="1:37" s="1861" customFormat="1" ht="18" customHeight="1">
      <c r="A17" s="1204" t="s">
        <v>1390</v>
      </c>
      <c r="B17" s="347" t="s">
        <v>1426</v>
      </c>
      <c r="C17" s="24">
        <f ca="1">ROUND(F17*(F43+INDIRECT("'数据-取费表'!S"&amp;$G$1))/10000,0)</f>
        <v>774</v>
      </c>
      <c r="D17" s="347" t="s">
        <v>1427</v>
      </c>
      <c r="E17" s="347" t="s">
        <v>1428</v>
      </c>
      <c r="F17" s="26">
        <f>'数据-取费表'!B35</f>
        <v>200</v>
      </c>
      <c r="G17" s="1857"/>
      <c r="H17" s="1204" t="s">
        <v>1035</v>
      </c>
      <c r="I17" s="347" t="s">
        <v>1429</v>
      </c>
      <c r="J17" s="24">
        <f ca="1">ROUND(IF(项目基本情况!B11="自然人",J5*M17,J18+J19+J20),1)</f>
        <v>417.9</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33438</v>
      </c>
      <c r="D19" s="140" t="s">
        <v>1436</v>
      </c>
      <c r="E19" s="1821"/>
      <c r="F19" s="26"/>
      <c r="G19" s="1854"/>
      <c r="H19" s="1204" t="s">
        <v>1036</v>
      </c>
      <c r="I19" s="347" t="s">
        <v>1437</v>
      </c>
      <c r="J19" s="24">
        <f ca="1">IF(K19="按租金收入计税",ROUND(J5*M19,2),ROUND(C29*M19*0.7,2))</f>
        <v>397.08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20.82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13879.46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709.1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-1127</v>
      </c>
      <c r="K25" s="1348" t="s">
        <v>1464</v>
      </c>
      <c r="L25" s="1349"/>
      <c r="M25" s="1350"/>
    </row>
    <row r="26" spans="1:37">
      <c r="A26" s="1204" t="s">
        <v>1034</v>
      </c>
      <c r="B26" s="347" t="s">
        <v>1465</v>
      </c>
      <c r="C26" s="24">
        <f ca="1">ROUND((C19+C20)*F26,0)</f>
        <v>6821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47271</v>
      </c>
      <c r="D29" s="1345"/>
      <c r="E29" s="1343"/>
      <c r="F29" s="1346"/>
      <c r="G29" s="1857"/>
      <c r="H29" s="380" t="s">
        <v>1033</v>
      </c>
      <c r="I29" s="381" t="s">
        <v>1479</v>
      </c>
      <c r="J29" s="382">
        <f ca="1">ROUND(J26/(1+F40)^F41,0)</f>
        <v>0</v>
      </c>
      <c r="K29" s="383" t="s">
        <v>1480</v>
      </c>
      <c r="L29" s="384"/>
      <c r="M29" s="385">
        <f ca="1">INDIRECT("'数据-取费表'!k"&amp;$G$1)</f>
        <v>38702.28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1741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890.3</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267.52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601.91999999999996</v>
      </c>
      <c r="D33" s="1831" t="s">
        <v>3062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20.82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13879.46</v>
      </c>
      <c r="G35" s="1854"/>
      <c r="H35" s="745"/>
      <c r="I35" s="1863"/>
      <c r="J35" s="1864"/>
      <c r="K35" s="1865"/>
      <c r="L35" s="1862"/>
      <c r="M35" s="1862"/>
    </row>
    <row r="36" spans="1:18" ht="18" customHeight="1">
      <c r="A36" s="1355" t="s">
        <v>1039</v>
      </c>
      <c r="B36" s="347" t="s">
        <v>1449</v>
      </c>
      <c r="C36" s="24">
        <f ca="1">ROUND(C29*F36,1)</f>
        <v>709.1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65.900000000000006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3275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56857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27.73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14691</v>
      </c>
      <c r="D43" s="383" t="s">
        <v>1488</v>
      </c>
      <c r="E43" s="384" t="s">
        <v>1489</v>
      </c>
      <c r="F43" s="385">
        <f ca="1">INDIRECT("'数据-取费表'!k"&amp;$G$1)</f>
        <v>38702.28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-123892</v>
      </c>
      <c r="D46" s="1875" t="str">
        <f>C2</f>
        <v>万元</v>
      </c>
      <c r="E46" s="1869"/>
      <c r="F46" s="1869"/>
      <c r="I46" s="1876" t="s">
        <v>1521</v>
      </c>
      <c r="J46" s="1877"/>
      <c r="K46" s="1878"/>
      <c r="L46" s="1879">
        <f ca="1">IF(M47="住宅",0,IF(L48&gt;J51,L60,J60))</f>
        <v>2318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40</v>
      </c>
      <c r="M47" s="1841" t="str">
        <f>IF(ISNUMBER(FIND("住宅",C1)),"住宅","非住宅")</f>
        <v>非住宅</v>
      </c>
      <c r="O47" s="1887" t="s">
        <v>1040</v>
      </c>
      <c r="P47" s="1888" t="s">
        <v>1528</v>
      </c>
      <c r="Q47" s="1889">
        <f ca="1">C40+J29</f>
        <v>56857</v>
      </c>
      <c r="R47" s="1889" t="s">
        <v>1529</v>
      </c>
    </row>
    <row r="48" spans="1:18" s="1845" customFormat="1" ht="28.5" thickBot="1">
      <c r="A48" s="1363" t="s">
        <v>1135</v>
      </c>
      <c r="B48" s="345" t="s">
        <v>1401</v>
      </c>
      <c r="C48" s="1820">
        <f ca="1">C49+C53+C55</f>
        <v>0</v>
      </c>
      <c r="D48" s="1365"/>
      <c r="E48" s="1366"/>
      <c r="F48" s="1184"/>
      <c r="G48" s="792"/>
      <c r="H48" s="793"/>
      <c r="I48" s="1890" t="s">
        <v>1530</v>
      </c>
      <c r="J48" s="1891" t="s">
        <v>3060</v>
      </c>
      <c r="K48" s="1892" t="s">
        <v>1531</v>
      </c>
      <c r="L48" s="1893">
        <f ca="1">INDIRECT("'数据-取费表'!f"&amp;$G$1)</f>
        <v>27.73</v>
      </c>
      <c r="O48" s="1887" t="s">
        <v>1041</v>
      </c>
      <c r="P48" s="1888" t="s">
        <v>1532</v>
      </c>
      <c r="Q48" s="1889">
        <f ca="1">J60</f>
        <v>2318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2014</v>
      </c>
      <c r="K49" s="1892" t="s">
        <v>1535</v>
      </c>
      <c r="L49" s="1896"/>
      <c r="O49" s="1897" t="s">
        <v>1042</v>
      </c>
      <c r="P49" s="1888" t="s">
        <v>1536</v>
      </c>
      <c r="Q49" s="1889">
        <f ca="1">C29</f>
        <v>47271</v>
      </c>
      <c r="R49" s="1889" t="s">
        <v>1529</v>
      </c>
    </row>
    <row r="50" spans="1:18" s="1845" customFormat="1" ht="13.5" thickBot="1">
      <c r="A50" s="1198"/>
      <c r="B50" s="1201"/>
      <c r="C50" s="1371"/>
      <c r="D50" s="1175"/>
      <c r="E50" s="1280" t="s">
        <v>1406</v>
      </c>
      <c r="F50" s="1281">
        <f ca="1">F7</f>
        <v>38702.28</v>
      </c>
      <c r="H50" s="793"/>
      <c r="I50" s="1890" t="s">
        <v>1537</v>
      </c>
      <c r="J50" s="1898">
        <f>SUMPRODUCT((I63:I65=J47)*(J62:L62=J48)*(J63:L65))</f>
        <v>60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-3588</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27.73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27.73</v>
      </c>
      <c r="K53" s="3149" t="s">
        <v>1548</v>
      </c>
      <c r="L53" s="3150"/>
      <c r="O53" s="1887" t="s">
        <v>1046</v>
      </c>
      <c r="P53" s="1888" t="s">
        <v>1549</v>
      </c>
      <c r="Q53" s="1889">
        <f ca="1">Q47+Q48</f>
        <v>59175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43962</v>
      </c>
      <c r="D56" s="1917"/>
      <c r="E56" s="1918"/>
      <c r="F56" s="1910"/>
      <c r="I56" s="1919" t="s">
        <v>1554</v>
      </c>
      <c r="J56" s="1920" t="s">
        <v>3139</v>
      </c>
      <c r="K56" s="1890" t="s">
        <v>1555</v>
      </c>
      <c r="L56" s="1893" t="str">
        <f ca="1">IF(L48&lt;J51,"——",L48-J53)</f>
        <v>——</v>
      </c>
      <c r="O56" s="1887" t="s">
        <v>1040</v>
      </c>
      <c r="P56" s="1888" t="s">
        <v>1528</v>
      </c>
      <c r="Q56" s="1889">
        <f ca="1">C40+J29</f>
        <v>56857</v>
      </c>
      <c r="R56" s="1889" t="s">
        <v>1529</v>
      </c>
    </row>
    <row r="57" spans="1:18" s="1845" customFormat="1" ht="24.75" thickBot="1">
      <c r="A57" s="1921"/>
      <c r="B57" s="1172" t="s">
        <v>1478</v>
      </c>
      <c r="C57" s="282">
        <f ca="1">C29</f>
        <v>47271</v>
      </c>
      <c r="D57" s="1922"/>
      <c r="E57" s="1923"/>
      <c r="F57" s="1924"/>
      <c r="I57" s="1925" t="s">
        <v>1556</v>
      </c>
      <c r="J57" s="1926">
        <f ca="1">IF(OR(M47="住宅",J51&lt;L48,J56="是"),"——",J51-L48)</f>
        <v>28.27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4767</v>
      </c>
      <c r="D58" s="1182" t="s">
        <v>1425</v>
      </c>
      <c r="E58" s="1183"/>
      <c r="F58" s="1184"/>
      <c r="I58" s="1925" t="s">
        <v>1560</v>
      </c>
      <c r="J58" s="1927">
        <f ca="1">IF(J55&lt;0.4,0.4,J55)</f>
        <v>0.47099999999999997</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3991.6</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22265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2318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3970.76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20.82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56857</v>
      </c>
      <c r="R62" s="1889" t="s">
        <v>1047</v>
      </c>
    </row>
    <row r="63" spans="1:18" s="1845" customFormat="1" ht="13.5" thickBot="1">
      <c r="A63" s="372"/>
      <c r="B63" s="1178"/>
      <c r="C63" s="29"/>
      <c r="D63" s="1188"/>
      <c r="E63" s="1172" t="s">
        <v>1499</v>
      </c>
      <c r="F63" s="348">
        <f t="shared" ca="1" si="0"/>
        <v>13879.46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709.1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65.900000000000006</v>
      </c>
      <c r="D65" s="1186" t="s">
        <v>1454</v>
      </c>
      <c r="E65" s="1172" t="s">
        <v>1455</v>
      </c>
      <c r="F65" s="376">
        <f t="shared" ca="1" si="0"/>
        <v>1.5E-3</v>
      </c>
      <c r="I65" s="1932" t="s">
        <v>1579</v>
      </c>
      <c r="J65" s="1933">
        <v>40</v>
      </c>
      <c r="K65" s="1933">
        <v>30</v>
      </c>
      <c r="L65" s="1933">
        <v>50</v>
      </c>
      <c r="M65" s="1935">
        <v>0.02</v>
      </c>
      <c r="O65" s="1887" t="s">
        <v>1040</v>
      </c>
      <c r="P65" s="1888" t="s">
        <v>1580</v>
      </c>
      <c r="Q65" s="1889">
        <f ca="1">C40+J29</f>
        <v>56857</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-4767</v>
      </c>
      <c r="D67" s="1185" t="s">
        <v>1464</v>
      </c>
      <c r="E67" s="1190"/>
      <c r="F67" s="1191"/>
      <c r="O67" s="1897" t="s">
        <v>1042</v>
      </c>
      <c r="P67" s="1888" t="s">
        <v>1562</v>
      </c>
      <c r="Q67" s="1936">
        <f ca="1">L51</f>
        <v>-3588</v>
      </c>
      <c r="R67" s="1889" t="s">
        <v>1582</v>
      </c>
    </row>
    <row r="68" spans="1:18" s="1845" customFormat="1" ht="16.5" thickBot="1">
      <c r="A68" s="1169" t="s">
        <v>1032</v>
      </c>
      <c r="B68" s="1170" t="s">
        <v>1485</v>
      </c>
      <c r="C68" s="346">
        <f ca="1">ROUND(C67*(1-((1+F70)/(1+F68))^F69)/(F68-F70),0)</f>
        <v>-67035</v>
      </c>
      <c r="D68" s="1187" t="s">
        <v>1469</v>
      </c>
      <c r="E68" s="1172" t="s">
        <v>1470</v>
      </c>
      <c r="F68" s="357">
        <f ca="1">F40</f>
        <v>5.5E-2</v>
      </c>
      <c r="O68" s="1897" t="s">
        <v>1043</v>
      </c>
      <c r="P68" s="1937" t="s">
        <v>1583</v>
      </c>
      <c r="Q68" s="1889">
        <f ca="1">ROUND(Q69-Q70*Q71,0)</f>
        <v>-242</v>
      </c>
      <c r="R68" s="1889" t="s">
        <v>1051</v>
      </c>
    </row>
    <row r="69" spans="1:18" s="1845" customFormat="1" ht="13.5" thickBot="1">
      <c r="A69" s="1173"/>
      <c r="B69" s="1174"/>
      <c r="C69" s="351"/>
      <c r="D69" s="1192" t="s">
        <v>1473</v>
      </c>
      <c r="E69" s="1172" t="s">
        <v>1474</v>
      </c>
      <c r="F69" s="379">
        <f ca="1">F41</f>
        <v>27.73</v>
      </c>
      <c r="O69" s="1897" t="s">
        <v>1048</v>
      </c>
      <c r="P69" s="1937" t="s">
        <v>1584</v>
      </c>
      <c r="Q69" s="1889">
        <f ca="1">C39</f>
        <v>3275</v>
      </c>
      <c r="R69" s="1889" t="s">
        <v>1529</v>
      </c>
    </row>
    <row r="70" spans="1:18" s="1845" customFormat="1" ht="13.5" thickBot="1">
      <c r="A70" s="1176"/>
      <c r="B70" s="1177"/>
      <c r="C70" s="355"/>
      <c r="D70" s="1188"/>
      <c r="E70" s="1172" t="s">
        <v>1477</v>
      </c>
      <c r="F70" s="1278"/>
      <c r="O70" s="1897" t="s">
        <v>1049</v>
      </c>
      <c r="P70" s="1937" t="s">
        <v>1585</v>
      </c>
      <c r="Q70" s="1889">
        <f ca="1">C13</f>
        <v>43962</v>
      </c>
      <c r="R70" s="1889" t="s">
        <v>1529</v>
      </c>
    </row>
    <row r="71" spans="1:18" s="1845" customFormat="1" ht="13.5" thickBot="1">
      <c r="A71" s="1193" t="s">
        <v>1033</v>
      </c>
      <c r="B71" s="1194" t="s">
        <v>1487</v>
      </c>
      <c r="C71" s="382">
        <f ca="1">ROUND(C68*10000/F71,0)</f>
        <v>-17321</v>
      </c>
      <c r="D71" s="1195" t="s">
        <v>1488</v>
      </c>
      <c r="E71" s="1196" t="s">
        <v>1489</v>
      </c>
      <c r="F71" s="385">
        <f ca="1">F43</f>
        <v>38702.28</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3517</v>
      </c>
      <c r="D75" s="1845"/>
      <c r="E75" s="1845"/>
      <c r="F75" s="1845"/>
      <c r="K75" s="1871"/>
      <c r="L75" s="1845"/>
      <c r="O75" s="1887" t="s">
        <v>1046</v>
      </c>
      <c r="P75" s="1888" t="s">
        <v>1549</v>
      </c>
      <c r="Q75" s="1889">
        <f ca="1">Q65+Q66</f>
        <v>56857</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-7.4000000000000066E-2</v>
      </c>
    </row>
    <row r="80" spans="1:18">
      <c r="B80" s="386" t="s">
        <v>1511</v>
      </c>
      <c r="C80" s="318">
        <f ca="1">ROUND(C75/C39,3)</f>
        <v>1.0740000000000001</v>
      </c>
    </row>
    <row r="81" spans="2:3">
      <c r="B81" s="314" t="s">
        <v>1512</v>
      </c>
      <c r="C81" s="282"/>
    </row>
    <row r="82" spans="2:3">
      <c r="B82" s="317" t="s">
        <v>1513</v>
      </c>
      <c r="C82" s="319">
        <f ca="1">1-C83</f>
        <v>0.22699999999999998</v>
      </c>
    </row>
    <row r="83" spans="2:3">
      <c r="B83" s="317" t="s">
        <v>1514</v>
      </c>
      <c r="C83" s="318">
        <f ca="1">ROUND(C13/C40,3)</f>
        <v>0.77300000000000002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1" t="s">
        <v>1403</v>
      </c>
      <c r="C6" s="1299">
        <f ca="1">ROUND(F6*F8*F7*(1-F9),0)</f>
        <v>0</v>
      </c>
      <c r="D6" s="164" t="s">
        <v>3032</v>
      </c>
      <c r="E6" s="347" t="s">
        <v>1405</v>
      </c>
      <c r="F6" s="348">
        <f ca="1">INDIRECT("'数据-取费表'!u"&amp;$G$1)</f>
        <v>0</v>
      </c>
      <c r="G6" s="1854"/>
      <c r="H6" s="1294" t="s">
        <v>1035</v>
      </c>
      <c r="I6" s="3151" t="s">
        <v>1403</v>
      </c>
      <c r="J6" s="346">
        <f ca="1">ROUND(M6*M8*M7*(1-M9),0)</f>
        <v>0</v>
      </c>
      <c r="K6" s="1837" t="s">
        <v>3033</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4"/>
      <c r="H7" s="349"/>
      <c r="I7" s="3152"/>
      <c r="J7" s="351"/>
      <c r="K7" s="352"/>
      <c r="L7" s="347" t="s">
        <v>1406</v>
      </c>
      <c r="M7" s="348">
        <f ca="1">F7</f>
        <v>0</v>
      </c>
    </row>
    <row r="8" spans="1:37" ht="18" customHeight="1">
      <c r="A8" s="349"/>
      <c r="B8" s="3152"/>
      <c r="C8" s="351"/>
      <c r="D8" s="352"/>
      <c r="E8" s="347" t="s">
        <v>1407</v>
      </c>
      <c r="F8" s="348">
        <f ca="1">INDIRECT("'数据-取费表'!ai"&amp;$G$1)</f>
        <v>0</v>
      </c>
      <c r="G8" s="1854"/>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9" t="s">
        <v>1548</v>
      </c>
      <c r="L53" s="315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59175</v>
      </c>
      <c r="C2" s="2572" t="s">
        <v>2520</v>
      </c>
      <c r="D2" s="2573" t="s">
        <v>2521</v>
      </c>
      <c r="E2" s="2574">
        <f>SUM(E6:E13)</f>
        <v>38702.28</v>
      </c>
    </row>
    <row r="3" spans="1:6" ht="15.75">
      <c r="A3" s="2570" t="s">
        <v>1395</v>
      </c>
      <c r="B3" s="2571">
        <f ca="1">ROUND(B2*10000/E2,0)</f>
        <v>15290</v>
      </c>
      <c r="C3" s="2572" t="s">
        <v>2528</v>
      </c>
      <c r="D3" s="2575"/>
      <c r="E3" s="2576"/>
    </row>
    <row r="4" spans="1:6" ht="15.75">
      <c r="A4" s="2577"/>
      <c r="B4" s="2575"/>
      <c r="C4" s="2575"/>
      <c r="D4" s="2575"/>
      <c r="E4" s="2576"/>
    </row>
    <row r="5" spans="1:6" ht="15">
      <c r="A5" s="2578" t="s">
        <v>2522</v>
      </c>
      <c r="B5" s="3154" t="s">
        <v>2523</v>
      </c>
      <c r="C5" s="3154"/>
      <c r="D5" s="2579"/>
      <c r="E5" s="2580" t="s">
        <v>2524</v>
      </c>
      <c r="F5" s="2581" t="s">
        <v>2525</v>
      </c>
    </row>
    <row r="6" spans="1:6">
      <c r="A6" s="2582" t="str">
        <f>'数据-取费表'!AN6</f>
        <v>收益法</v>
      </c>
      <c r="B6" s="2581">
        <f ca="1">IF(F6="是",'数据-取费表'!AO6,0)</f>
        <v>59175</v>
      </c>
      <c r="C6" s="2572" t="s">
        <v>2520</v>
      </c>
      <c r="D6" s="2575"/>
      <c r="E6" s="2583">
        <f>IF(OR(A6=0,F6="否"),0,'数据-取费表'!K6+'数据-取费表'!S6)</f>
        <v>38702.28</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0" sqref="B40"/>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8360</v>
      </c>
      <c r="E1" s="3174"/>
      <c r="F1" s="3174"/>
      <c r="G1" s="3174"/>
      <c r="H1" s="3174"/>
      <c r="I1" s="3175"/>
    </row>
    <row r="2" spans="1:9">
      <c r="A2" s="3161" t="s">
        <v>1077</v>
      </c>
      <c r="B2" s="3162" t="s">
        <v>1078</v>
      </c>
      <c r="C2" s="3162"/>
      <c r="D2" s="1304" t="s">
        <v>1079</v>
      </c>
      <c r="E2" s="1304" t="s">
        <v>1080</v>
      </c>
      <c r="F2" s="1304" t="s">
        <v>1081</v>
      </c>
      <c r="G2" s="1304" t="s">
        <v>1082</v>
      </c>
      <c r="H2" s="1304" t="s">
        <v>1083</v>
      </c>
      <c r="I2" s="1305" t="s">
        <v>1084</v>
      </c>
    </row>
    <row r="3" spans="1:9">
      <c r="A3" s="3161"/>
      <c r="B3" s="3162" t="s">
        <v>1085</v>
      </c>
      <c r="C3" s="3162"/>
      <c r="D3" s="1306">
        <f>100+169+36+1</f>
        <v>306</v>
      </c>
      <c r="E3" s="1304">
        <v>700</v>
      </c>
      <c r="F3" s="1307">
        <v>0.8</v>
      </c>
      <c r="G3" s="1307">
        <v>0.75</v>
      </c>
      <c r="H3" s="1308">
        <v>365</v>
      </c>
      <c r="I3" s="1309">
        <f>ROUND(D3*E3*F3*G3*H3/10000,0)</f>
        <v>4691</v>
      </c>
    </row>
    <row r="4" spans="1:9">
      <c r="A4" s="3161"/>
      <c r="B4" s="3162" t="s">
        <v>1086</v>
      </c>
      <c r="C4" s="3162"/>
      <c r="D4" s="1306"/>
      <c r="E4" s="1304"/>
      <c r="F4" s="1307"/>
      <c r="G4" s="1307"/>
      <c r="H4" s="1308"/>
      <c r="I4" s="1309">
        <f t="shared" ref="I4:I9" si="0">ROUND(D4*E4*F4*G4*H4/10000,0)</f>
        <v>0</v>
      </c>
    </row>
    <row r="5" spans="1:9">
      <c r="A5" s="3161"/>
      <c r="B5" s="3162" t="s">
        <v>1087</v>
      </c>
      <c r="C5" s="3162"/>
      <c r="D5" s="1306"/>
      <c r="E5" s="1304"/>
      <c r="F5" s="1307"/>
      <c r="G5" s="1307"/>
      <c r="H5" s="1308"/>
      <c r="I5" s="1309">
        <f t="shared" si="0"/>
        <v>0</v>
      </c>
    </row>
    <row r="6" spans="1:9">
      <c r="A6" s="3161"/>
      <c r="B6" s="3162" t="s">
        <v>1088</v>
      </c>
      <c r="C6" s="3162"/>
      <c r="D6" s="1306"/>
      <c r="E6" s="1304"/>
      <c r="F6" s="1307"/>
      <c r="G6" s="1307"/>
      <c r="H6" s="1308"/>
      <c r="I6" s="1309">
        <f t="shared" si="0"/>
        <v>0</v>
      </c>
    </row>
    <row r="7" spans="1:9">
      <c r="A7" s="3161"/>
      <c r="B7" s="3162" t="s">
        <v>1089</v>
      </c>
      <c r="C7" s="3162"/>
      <c r="D7" s="1306"/>
      <c r="E7" s="1304"/>
      <c r="F7" s="1307"/>
      <c r="G7" s="1307"/>
      <c r="H7" s="1308"/>
      <c r="I7" s="1309">
        <f t="shared" si="0"/>
        <v>0</v>
      </c>
    </row>
    <row r="8" spans="1:9">
      <c r="A8" s="3161"/>
      <c r="B8" s="3162" t="s">
        <v>1090</v>
      </c>
      <c r="C8" s="3162"/>
      <c r="D8" s="1306"/>
      <c r="E8" s="1304"/>
      <c r="F8" s="1307"/>
      <c r="G8" s="1307"/>
      <c r="H8" s="1308"/>
      <c r="I8" s="1309">
        <f t="shared" si="0"/>
        <v>0</v>
      </c>
    </row>
    <row r="9" spans="1:9">
      <c r="A9" s="3161"/>
      <c r="B9" s="3162" t="s">
        <v>1091</v>
      </c>
      <c r="C9" s="3162"/>
      <c r="D9" s="1306"/>
      <c r="E9" s="1304"/>
      <c r="F9" s="1307"/>
      <c r="G9" s="1307"/>
      <c r="H9" s="1308"/>
      <c r="I9" s="1309">
        <f t="shared" si="0"/>
        <v>0</v>
      </c>
    </row>
    <row r="10" spans="1:9">
      <c r="A10" s="3161"/>
      <c r="B10" s="3163" t="s">
        <v>1092</v>
      </c>
      <c r="C10" s="3163"/>
      <c r="D10" s="1310"/>
      <c r="E10" s="1310" t="e">
        <f>ROUND(D1*10000/D10/H9,0)</f>
        <v>#DIV/0!</v>
      </c>
      <c r="F10" s="1311"/>
      <c r="G10" s="1311"/>
      <c r="H10" s="1312"/>
      <c r="I10" s="1313">
        <f>SUM(I3:I9)</f>
        <v>4691</v>
      </c>
    </row>
    <row r="11" spans="1:9" ht="14.25">
      <c r="A11" s="3161" t="s">
        <v>1093</v>
      </c>
      <c r="B11" s="3162" t="s">
        <v>1094</v>
      </c>
      <c r="C11" s="3162"/>
      <c r="D11" s="1306" t="s">
        <v>1095</v>
      </c>
      <c r="E11" s="1306" t="s">
        <v>1096</v>
      </c>
      <c r="F11" s="1307" t="s">
        <v>1097</v>
      </c>
      <c r="G11" s="1307" t="s">
        <v>1083</v>
      </c>
      <c r="H11" s="1314" t="s">
        <v>1098</v>
      </c>
      <c r="I11" s="1305" t="s">
        <v>1084</v>
      </c>
    </row>
    <row r="12" spans="1:9">
      <c r="A12" s="3161"/>
      <c r="B12" s="3162" t="s">
        <v>1099</v>
      </c>
      <c r="C12" s="3162"/>
      <c r="D12" s="1306"/>
      <c r="E12" s="1306"/>
      <c r="F12" s="1307"/>
      <c r="G12" s="1308"/>
      <c r="H12" s="1315"/>
      <c r="I12" s="1305">
        <v>3000</v>
      </c>
    </row>
    <row r="13" spans="1:9">
      <c r="A13" s="3161"/>
      <c r="B13" s="3162" t="s">
        <v>1100</v>
      </c>
      <c r="C13" s="3162"/>
      <c r="D13" s="1306"/>
      <c r="E13" s="1306"/>
      <c r="F13" s="1307"/>
      <c r="G13" s="1308"/>
      <c r="H13" s="1315"/>
      <c r="I13" s="1305">
        <f>ROUND(D13*E13*F13*G13/10000,0)</f>
        <v>0</v>
      </c>
    </row>
    <row r="14" spans="1:9">
      <c r="A14" s="3161"/>
      <c r="B14" s="3162" t="s">
        <v>1101</v>
      </c>
      <c r="C14" s="3162"/>
      <c r="D14" s="1306"/>
      <c r="E14" s="1306"/>
      <c r="F14" s="1307"/>
      <c r="G14" s="1308"/>
      <c r="H14" s="1315"/>
      <c r="I14" s="1305">
        <f>ROUND(D14*E14*F14*G14/10000,0)</f>
        <v>0</v>
      </c>
    </row>
    <row r="15" spans="1:9">
      <c r="A15" s="3161"/>
      <c r="B15" s="3163" t="s">
        <v>1092</v>
      </c>
      <c r="C15" s="3163"/>
      <c r="D15" s="1310"/>
      <c r="E15" s="1310">
        <f>SUM(E12:E14)</f>
        <v>0</v>
      </c>
      <c r="F15" s="1311"/>
      <c r="G15" s="1308"/>
      <c r="H15" s="1315"/>
      <c r="I15" s="1316">
        <f>SUM(I12:I14)</f>
        <v>3000</v>
      </c>
    </row>
    <row r="16" spans="1:9" ht="24">
      <c r="A16" s="3161" t="s">
        <v>1102</v>
      </c>
      <c r="B16" s="3162" t="s">
        <v>1103</v>
      </c>
      <c r="C16" s="3162"/>
      <c r="D16" s="1306" t="s">
        <v>1079</v>
      </c>
      <c r="E16" s="1317" t="s">
        <v>1104</v>
      </c>
      <c r="F16" s="1307" t="s">
        <v>1105</v>
      </c>
      <c r="G16" s="1308" t="s">
        <v>1083</v>
      </c>
      <c r="H16" s="1314" t="s">
        <v>1098</v>
      </c>
      <c r="I16" s="1305" t="s">
        <v>1084</v>
      </c>
    </row>
    <row r="17" spans="1:9" ht="14.25">
      <c r="A17" s="3161"/>
      <c r="B17" s="3162" t="s">
        <v>1106</v>
      </c>
      <c r="C17" s="3162"/>
      <c r="D17" s="1306"/>
      <c r="E17" s="1306"/>
      <c r="F17" s="1307"/>
      <c r="G17" s="1308"/>
      <c r="H17" s="1318"/>
      <c r="I17" s="1319">
        <v>200</v>
      </c>
    </row>
    <row r="18" spans="1:9" ht="14.25">
      <c r="A18" s="3161"/>
      <c r="B18" s="3162" t="s">
        <v>1107</v>
      </c>
      <c r="C18" s="3162"/>
      <c r="D18" s="1306"/>
      <c r="E18" s="1306"/>
      <c r="F18" s="1307"/>
      <c r="G18" s="1308"/>
      <c r="H18" s="1318"/>
      <c r="I18" s="1319">
        <f>ROUND(D18*E18*F18*G18/10000,0)</f>
        <v>0</v>
      </c>
    </row>
    <row r="19" spans="1:9" ht="14.25">
      <c r="A19" s="3161"/>
      <c r="B19" s="3162" t="s">
        <v>1108</v>
      </c>
      <c r="C19" s="3162"/>
      <c r="D19" s="1306"/>
      <c r="E19" s="1306"/>
      <c r="F19" s="1307"/>
      <c r="G19" s="1308"/>
      <c r="H19" s="1318"/>
      <c r="I19" s="1319">
        <f>ROUND(D19*E19*F19*G19/10000,0)</f>
        <v>0</v>
      </c>
    </row>
    <row r="20" spans="1:9">
      <c r="A20" s="3161"/>
      <c r="B20" s="3163" t="s">
        <v>1092</v>
      </c>
      <c r="C20" s="3163"/>
      <c r="D20" s="1310">
        <f>SUM(D17:D19)</f>
        <v>0</v>
      </c>
      <c r="E20" s="1310"/>
      <c r="F20" s="1311"/>
      <c r="G20" s="1308"/>
      <c r="H20" s="1315"/>
      <c r="I20" s="1316">
        <f>SUM(I17:I19)</f>
        <v>200</v>
      </c>
    </row>
    <row r="21" spans="1:9">
      <c r="A21" s="3161" t="s">
        <v>1109</v>
      </c>
      <c r="B21" s="3164"/>
      <c r="C21" s="3164"/>
      <c r="D21" s="3164"/>
      <c r="E21" s="3164"/>
      <c r="F21" s="3164"/>
      <c r="G21" s="3164"/>
      <c r="H21" s="1768">
        <v>0.1</v>
      </c>
      <c r="I21" s="1313">
        <f>ROUND(I10*H21,0)</f>
        <v>469</v>
      </c>
    </row>
    <row r="22" spans="1:9" ht="14.25">
      <c r="A22" s="3165" t="s">
        <v>1110</v>
      </c>
      <c r="B22" s="3166"/>
      <c r="C22" s="3167"/>
      <c r="D22" s="1320" t="s">
        <v>1111</v>
      </c>
      <c r="E22" s="1320" t="s">
        <v>1112</v>
      </c>
      <c r="F22" s="1321" t="s">
        <v>1113</v>
      </c>
      <c r="G22" s="1321" t="s">
        <v>1114</v>
      </c>
      <c r="H22" s="1314" t="s">
        <v>1115</v>
      </c>
      <c r="I22" s="1305" t="s">
        <v>1116</v>
      </c>
    </row>
    <row r="23" spans="1:9" ht="14.25" thickBot="1">
      <c r="A23" s="3168"/>
      <c r="B23" s="3169"/>
      <c r="C23" s="3170"/>
      <c r="D23" s="1322"/>
      <c r="E23" s="1322"/>
      <c r="F23" s="1322"/>
      <c r="G23" s="1323"/>
      <c r="H23" s="1324"/>
      <c r="I23" s="1325">
        <f>ROUND(E23*D23*F23*(1-G23)/10000,0)</f>
        <v>0</v>
      </c>
    </row>
    <row r="26" spans="1:9">
      <c r="A26" s="1326" t="s">
        <v>1117</v>
      </c>
      <c r="B26" s="1326"/>
      <c r="C26" s="1326"/>
      <c r="D26" s="1326"/>
      <c r="E26" s="3158">
        <f>C27-C30-C31-C32</f>
        <v>5016</v>
      </c>
      <c r="F26" s="3158"/>
      <c r="G26" s="3158"/>
      <c r="H26" s="1740" t="s">
        <v>1340</v>
      </c>
    </row>
    <row r="27" spans="1:9">
      <c r="A27" s="1327">
        <v>1</v>
      </c>
      <c r="B27" s="1328" t="s">
        <v>1118</v>
      </c>
      <c r="C27" s="1328">
        <f>C28+C29</f>
        <v>8360</v>
      </c>
      <c r="D27" s="1328"/>
      <c r="E27" s="3159"/>
      <c r="F27" s="3159"/>
      <c r="G27" s="3159"/>
    </row>
    <row r="28" spans="1:9">
      <c r="A28" s="1329" t="s">
        <v>1119</v>
      </c>
      <c r="B28" s="1328" t="s">
        <v>1120</v>
      </c>
      <c r="C28" s="1328">
        <f>I10</f>
        <v>4691</v>
      </c>
      <c r="D28" s="1328"/>
      <c r="E28" s="3159"/>
      <c r="F28" s="3159"/>
      <c r="G28" s="3159"/>
    </row>
    <row r="29" spans="1:9">
      <c r="A29" s="1329" t="s">
        <v>1121</v>
      </c>
      <c r="B29" s="1328" t="s">
        <v>1122</v>
      </c>
      <c r="C29" s="1328">
        <f>I15+I20+I21</f>
        <v>3669</v>
      </c>
      <c r="D29" s="1328"/>
      <c r="E29" s="1328" t="s">
        <v>1123</v>
      </c>
      <c r="F29" s="1328"/>
      <c r="G29" s="1328"/>
    </row>
    <row r="30" spans="1:9">
      <c r="A30" s="1327">
        <v>2</v>
      </c>
      <c r="B30" s="1328" t="s">
        <v>1124</v>
      </c>
      <c r="C30" s="1328">
        <f>C27*D30</f>
        <v>1672</v>
      </c>
      <c r="D30" s="1330">
        <v>0.2</v>
      </c>
      <c r="E30" s="1328" t="s">
        <v>1125</v>
      </c>
      <c r="F30" s="1328"/>
      <c r="G30" s="1328"/>
    </row>
    <row r="31" spans="1:9">
      <c r="A31" s="1327">
        <v>3</v>
      </c>
      <c r="B31" s="1328" t="s">
        <v>1126</v>
      </c>
      <c r="C31" s="1328">
        <f>C27*D31</f>
        <v>836</v>
      </c>
      <c r="D31" s="1330">
        <v>0.1</v>
      </c>
      <c r="E31" s="1328" t="s">
        <v>1127</v>
      </c>
      <c r="F31" s="1328"/>
      <c r="G31" s="1328"/>
    </row>
    <row r="32" spans="1:9">
      <c r="A32" s="1327">
        <v>4</v>
      </c>
      <c r="B32" s="1328" t="s">
        <v>1128</v>
      </c>
      <c r="C32" s="1328">
        <f>C27*D32</f>
        <v>836</v>
      </c>
      <c r="D32" s="1330">
        <v>0.1</v>
      </c>
      <c r="E32" s="3160"/>
      <c r="F32" s="3160"/>
      <c r="G32" s="3160"/>
    </row>
    <row r="33" spans="1:7" hidden="1">
      <c r="A33" s="3155" t="s">
        <v>1129</v>
      </c>
      <c r="B33" s="3156"/>
      <c r="C33" s="3156"/>
      <c r="D33" s="3157"/>
      <c r="E33" s="3158"/>
      <c r="F33" s="3158"/>
      <c r="G33" s="3158"/>
    </row>
    <row r="34" spans="1:7" hidden="1">
      <c r="A34" s="1331">
        <v>1</v>
      </c>
      <c r="B34" s="1328" t="s">
        <v>1130</v>
      </c>
      <c r="C34" s="1328"/>
      <c r="D34" s="1328"/>
      <c r="E34" s="3159"/>
      <c r="F34" s="3159"/>
      <c r="G34" s="3159"/>
    </row>
    <row r="35" spans="1:7" hidden="1">
      <c r="A35" s="1331">
        <v>2</v>
      </c>
      <c r="B35" s="1328" t="s">
        <v>1131</v>
      </c>
      <c r="C35" s="1328"/>
      <c r="D35" s="1328"/>
      <c r="E35" s="3159"/>
      <c r="F35" s="3159"/>
      <c r="G35" s="3159"/>
    </row>
    <row r="36" spans="1:7" hidden="1">
      <c r="A36" s="1331">
        <v>3</v>
      </c>
      <c r="B36" s="1328" t="s">
        <v>1132</v>
      </c>
      <c r="C36" s="1328"/>
      <c r="D36" s="1328"/>
      <c r="E36" s="3159"/>
      <c r="F36" s="3159"/>
      <c r="G36" s="3159"/>
    </row>
    <row r="37" spans="1:7" hidden="1">
      <c r="A37" s="1331">
        <v>4</v>
      </c>
      <c r="B37" s="1328" t="s">
        <v>1133</v>
      </c>
      <c r="C37" s="1328"/>
      <c r="D37" s="1328"/>
      <c r="E37" s="3159"/>
      <c r="F37" s="3159"/>
      <c r="G37" s="3159"/>
    </row>
    <row r="38" spans="1:7" hidden="1">
      <c r="A38" s="3155" t="s">
        <v>1134</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2535</v>
      </c>
      <c r="D3" s="399">
        <f>IF(D1="",'数据-汇总表'!E3,SUMIF('数据-汇总表'!$C19:$C33,D1,'数据-汇总表'!$E19:$E33))</f>
        <v>38702.28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194" t="s">
        <v>2537</v>
      </c>
      <c r="D4" s="3195"/>
      <c r="E4" s="3196" t="s">
        <v>2538</v>
      </c>
      <c r="F4" s="3197"/>
      <c r="G4" s="3194" t="s">
        <v>2539</v>
      </c>
      <c r="H4" s="3195"/>
      <c r="I4" s="3194" t="s">
        <v>2540</v>
      </c>
      <c r="J4" s="3195"/>
      <c r="K4" s="2602" t="s">
        <v>2541</v>
      </c>
      <c r="L4" s="1133"/>
      <c r="M4" s="1134"/>
      <c r="N4" s="1134"/>
      <c r="O4" s="1134"/>
      <c r="P4" s="3198" t="s">
        <v>2542</v>
      </c>
      <c r="Q4" s="3199"/>
      <c r="R4" s="3204" t="s">
        <v>2538</v>
      </c>
      <c r="S4" s="3205"/>
      <c r="T4" s="3204" t="s">
        <v>2539</v>
      </c>
      <c r="U4" s="3205"/>
      <c r="V4" s="3210" t="s">
        <v>2540</v>
      </c>
      <c r="W4" s="3210"/>
      <c r="X4" s="1816"/>
      <c r="Y4" s="3204" t="s">
        <v>2542</v>
      </c>
      <c r="Z4" s="3205"/>
      <c r="AA4" s="3191" t="s">
        <v>2538</v>
      </c>
      <c r="AB4" s="3191" t="s">
        <v>2539</v>
      </c>
      <c r="AC4" s="3191" t="s">
        <v>2540</v>
      </c>
    </row>
    <row r="5" spans="1:29" ht="15">
      <c r="A5" s="404"/>
      <c r="B5" s="405"/>
      <c r="C5" s="3213" t="s">
        <v>2543</v>
      </c>
      <c r="D5" s="3214"/>
      <c r="E5" s="3220" t="s">
        <v>2544</v>
      </c>
      <c r="F5" s="3221"/>
      <c r="G5" s="3213" t="s">
        <v>2545</v>
      </c>
      <c r="H5" s="3214"/>
      <c r="I5" s="3213" t="s">
        <v>2546</v>
      </c>
      <c r="J5" s="3214"/>
      <c r="K5" s="2603"/>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2547</v>
      </c>
      <c r="D6" s="3212"/>
      <c r="E6" s="3218" t="s">
        <v>2547</v>
      </c>
      <c r="F6" s="3219"/>
      <c r="G6" s="3211" t="s">
        <v>2547</v>
      </c>
      <c r="H6" s="3212"/>
      <c r="I6" s="3211" t="s">
        <v>2547</v>
      </c>
      <c r="J6" s="3212"/>
      <c r="K6" s="2603" t="s">
        <v>2548</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2549</v>
      </c>
      <c r="B7" s="409"/>
      <c r="C7" s="410">
        <f>'数据-取费表'!B2</f>
        <v>43341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15" t="s">
        <v>2550</v>
      </c>
      <c r="Q7" s="3217"/>
      <c r="R7" s="770" t="s">
        <v>23</v>
      </c>
      <c r="S7" s="771">
        <f t="shared" ref="S7:S15" si="0">F7</f>
        <v>0</v>
      </c>
      <c r="T7" s="770" t="s">
        <v>23</v>
      </c>
      <c r="U7" s="771">
        <f t="shared" ref="U7:U15" si="1">H7</f>
        <v>0</v>
      </c>
      <c r="V7" s="770" t="s">
        <v>23</v>
      </c>
      <c r="W7" s="771">
        <f t="shared" ref="W7:W15" si="2">J7</f>
        <v>0</v>
      </c>
      <c r="X7" s="772"/>
      <c r="Y7" s="3215" t="s">
        <v>2550</v>
      </c>
      <c r="Z7" s="3216"/>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15" t="s">
        <v>2553</v>
      </c>
      <c r="Q8" s="3216"/>
      <c r="R8" s="770" t="s">
        <v>23</v>
      </c>
      <c r="S8" s="771">
        <f t="shared" si="0"/>
        <v>0</v>
      </c>
      <c r="T8" s="770" t="s">
        <v>23</v>
      </c>
      <c r="U8" s="771">
        <f t="shared" si="1"/>
        <v>0</v>
      </c>
      <c r="V8" s="770" t="s">
        <v>23</v>
      </c>
      <c r="W8" s="771">
        <f t="shared" si="2"/>
        <v>0</v>
      </c>
      <c r="X8" s="772"/>
      <c r="Y8" s="3215" t="s">
        <v>2553</v>
      </c>
      <c r="Z8" s="321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0"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0"/>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0"/>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0"/>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9.75">
      <c r="A15" s="440" t="s">
        <v>2560</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8" t="s">
        <v>2561</v>
      </c>
      <c r="Q15" s="1813" t="str">
        <f t="shared" si="6"/>
        <v>居住社区成熟度</v>
      </c>
      <c r="R15" s="774" t="s">
        <v>21</v>
      </c>
      <c r="S15" s="775">
        <f t="shared" si="0"/>
        <v>100</v>
      </c>
      <c r="T15" s="774" t="s">
        <v>21</v>
      </c>
      <c r="U15" s="775">
        <f t="shared" si="1"/>
        <v>100</v>
      </c>
      <c r="V15" s="774" t="s">
        <v>21</v>
      </c>
      <c r="W15" s="775">
        <f t="shared" si="2"/>
        <v>100</v>
      </c>
      <c r="X15" s="1816"/>
      <c r="Y15" s="3181"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89"/>
      <c r="Q16" s="1813"/>
      <c r="R16" s="774"/>
      <c r="S16" s="775"/>
      <c r="T16" s="774"/>
      <c r="U16" s="775"/>
      <c r="V16" s="774"/>
      <c r="W16" s="775"/>
      <c r="X16" s="1816"/>
      <c r="Y16" s="3182"/>
      <c r="Z16" s="1817"/>
      <c r="AA16" s="1814">
        <v>1</v>
      </c>
      <c r="AB16" s="1814">
        <v>1</v>
      </c>
      <c r="AC16" s="1814">
        <v>1</v>
      </c>
    </row>
    <row r="17" spans="1:29" ht="99.75">
      <c r="A17" s="428"/>
      <c r="B17" s="451" t="s">
        <v>2099</v>
      </c>
      <c r="C17" s="2613"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9"/>
      <c r="Q17" s="1813" t="str">
        <f>B17</f>
        <v>交通便捷度</v>
      </c>
      <c r="R17" s="774" t="s">
        <v>21</v>
      </c>
      <c r="S17" s="775">
        <f>F17</f>
        <v>100</v>
      </c>
      <c r="T17" s="774" t="s">
        <v>21</v>
      </c>
      <c r="U17" s="775">
        <f>H17</f>
        <v>100</v>
      </c>
      <c r="V17" s="774" t="s">
        <v>21</v>
      </c>
      <c r="W17" s="775">
        <f>J17</f>
        <v>100</v>
      </c>
      <c r="X17" s="1816"/>
      <c r="Y17" s="318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89"/>
      <c r="Q18" s="1813"/>
      <c r="R18" s="774"/>
      <c r="S18" s="775"/>
      <c r="T18" s="774"/>
      <c r="U18" s="775"/>
      <c r="V18" s="774"/>
      <c r="W18" s="775"/>
      <c r="X18" s="1816"/>
      <c r="Y18" s="3182"/>
      <c r="Z18" s="1817"/>
      <c r="AA18" s="1814">
        <v>1</v>
      </c>
      <c r="AB18" s="1814">
        <v>1</v>
      </c>
      <c r="AC18" s="1814">
        <v>1</v>
      </c>
    </row>
    <row r="19" spans="1:29" ht="99.75">
      <c r="A19" s="428"/>
      <c r="B19" s="451" t="s">
        <v>2097</v>
      </c>
      <c r="C19" s="2613"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9"/>
      <c r="Q19" s="1813" t="str">
        <f>B19</f>
        <v>公共配套设施</v>
      </c>
      <c r="R19" s="774" t="s">
        <v>21</v>
      </c>
      <c r="S19" s="775">
        <f>F19</f>
        <v>100</v>
      </c>
      <c r="T19" s="774" t="s">
        <v>21</v>
      </c>
      <c r="U19" s="775">
        <f>H19</f>
        <v>100</v>
      </c>
      <c r="V19" s="774" t="s">
        <v>21</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89"/>
      <c r="Q20" s="1813"/>
      <c r="R20" s="774"/>
      <c r="S20" s="775"/>
      <c r="T20" s="774"/>
      <c r="U20" s="775"/>
      <c r="V20" s="774"/>
      <c r="W20" s="775"/>
      <c r="X20" s="1816"/>
      <c r="Y20" s="3182"/>
      <c r="Z20" s="1817"/>
      <c r="AA20" s="1814">
        <v>1</v>
      </c>
      <c r="AB20" s="1814">
        <v>1</v>
      </c>
      <c r="AC20" s="1814">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89"/>
      <c r="Q22" s="1813"/>
      <c r="R22" s="774"/>
      <c r="S22" s="775"/>
      <c r="T22" s="774"/>
      <c r="U22" s="775"/>
      <c r="V22" s="774"/>
      <c r="W22" s="775"/>
      <c r="X22" s="1816"/>
      <c r="Y22" s="3182"/>
      <c r="Z22" s="1817"/>
      <c r="AA22" s="1814">
        <v>1</v>
      </c>
      <c r="AB22" s="1814">
        <v>1</v>
      </c>
      <c r="AC22" s="1814">
        <v>1</v>
      </c>
    </row>
    <row r="23" spans="1:29" ht="99.75">
      <c r="A23" s="428"/>
      <c r="B23" s="451" t="s">
        <v>2104</v>
      </c>
      <c r="C23" s="2613"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9"/>
      <c r="Q23" s="1813" t="str">
        <f>B23</f>
        <v>自然及人文环境</v>
      </c>
      <c r="R23" s="774" t="s">
        <v>21</v>
      </c>
      <c r="S23" s="775">
        <f>F23</f>
        <v>100</v>
      </c>
      <c r="T23" s="774" t="s">
        <v>21</v>
      </c>
      <c r="U23" s="775">
        <f>H23</f>
        <v>100</v>
      </c>
      <c r="V23" s="774" t="s">
        <v>21</v>
      </c>
      <c r="W23" s="775">
        <f>J23</f>
        <v>100</v>
      </c>
      <c r="X23" s="1816"/>
      <c r="Y23" s="318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89"/>
      <c r="Q24" s="1813"/>
      <c r="R24" s="774"/>
      <c r="S24" s="775"/>
      <c r="T24" s="774"/>
      <c r="U24" s="775"/>
      <c r="V24" s="774"/>
      <c r="W24" s="775"/>
      <c r="X24" s="1816"/>
      <c r="Y24" s="3182"/>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8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89"/>
      <c r="Q26" s="1813" t="str">
        <f t="shared" si="11"/>
        <v>朝向</v>
      </c>
      <c r="R26" s="774" t="s">
        <v>21</v>
      </c>
      <c r="S26" s="775">
        <f t="shared" si="12"/>
        <v>100</v>
      </c>
      <c r="T26" s="774" t="s">
        <v>21</v>
      </c>
      <c r="U26" s="775">
        <f t="shared" si="13"/>
        <v>100</v>
      </c>
      <c r="V26" s="774" t="s">
        <v>21</v>
      </c>
      <c r="W26" s="775">
        <f t="shared" si="14"/>
        <v>100</v>
      </c>
      <c r="X26" s="1816"/>
      <c r="Y26" s="318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89"/>
      <c r="Q27" s="1798">
        <f t="shared" si="11"/>
        <v>111</v>
      </c>
      <c r="R27" s="770" t="s">
        <v>21</v>
      </c>
      <c r="S27" s="771">
        <f t="shared" si="12"/>
        <v>100</v>
      </c>
      <c r="T27" s="770" t="s">
        <v>21</v>
      </c>
      <c r="U27" s="771">
        <f t="shared" si="13"/>
        <v>100</v>
      </c>
      <c r="V27" s="770" t="s">
        <v>21</v>
      </c>
      <c r="W27" s="771">
        <f t="shared" si="14"/>
        <v>100</v>
      </c>
      <c r="X27" s="772"/>
      <c r="Y27" s="318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89"/>
      <c r="Q28" s="1813">
        <f t="shared" si="11"/>
        <v>111</v>
      </c>
      <c r="R28" s="774" t="s">
        <v>21</v>
      </c>
      <c r="S28" s="775">
        <f t="shared" si="12"/>
        <v>100</v>
      </c>
      <c r="T28" s="774" t="s">
        <v>21</v>
      </c>
      <c r="U28" s="775">
        <f t="shared" si="13"/>
        <v>100</v>
      </c>
      <c r="V28" s="774" t="s">
        <v>21</v>
      </c>
      <c r="W28" s="775">
        <f t="shared" si="14"/>
        <v>100</v>
      </c>
      <c r="X28" s="1816"/>
      <c r="Y28" s="318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89"/>
      <c r="Q29" s="1813">
        <f t="shared" si="11"/>
        <v>111</v>
      </c>
      <c r="R29" s="774" t="s">
        <v>21</v>
      </c>
      <c r="S29" s="775">
        <f t="shared" si="12"/>
        <v>100</v>
      </c>
      <c r="T29" s="774" t="s">
        <v>21</v>
      </c>
      <c r="U29" s="775">
        <f t="shared" si="13"/>
        <v>100</v>
      </c>
      <c r="V29" s="774" t="s">
        <v>21</v>
      </c>
      <c r="W29" s="775">
        <f t="shared" si="14"/>
        <v>100</v>
      </c>
      <c r="X29" s="1816"/>
      <c r="Y29" s="318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89"/>
      <c r="Q30" s="1813">
        <f t="shared" si="11"/>
        <v>111</v>
      </c>
      <c r="R30" s="774" t="s">
        <v>21</v>
      </c>
      <c r="S30" s="775">
        <f t="shared" si="12"/>
        <v>100</v>
      </c>
      <c r="T30" s="774" t="s">
        <v>21</v>
      </c>
      <c r="U30" s="775">
        <f t="shared" si="13"/>
        <v>100</v>
      </c>
      <c r="V30" s="774" t="s">
        <v>21</v>
      </c>
      <c r="W30" s="775">
        <f t="shared" si="14"/>
        <v>100</v>
      </c>
      <c r="X30" s="1816"/>
      <c r="Y30" s="318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89"/>
      <c r="Q31" s="1813">
        <f t="shared" si="11"/>
        <v>111</v>
      </c>
      <c r="R31" s="774" t="s">
        <v>21</v>
      </c>
      <c r="S31" s="775">
        <f t="shared" si="12"/>
        <v>100</v>
      </c>
      <c r="T31" s="774" t="s">
        <v>21</v>
      </c>
      <c r="U31" s="775">
        <f t="shared" si="13"/>
        <v>100</v>
      </c>
      <c r="V31" s="774" t="s">
        <v>21</v>
      </c>
      <c r="W31" s="775">
        <f t="shared" si="14"/>
        <v>100</v>
      </c>
      <c r="X31" s="1816"/>
      <c r="Y31" s="3182"/>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83" t="s">
        <v>2566</v>
      </c>
      <c r="Q32" s="1813" t="str">
        <f t="shared" si="11"/>
        <v>建筑类型</v>
      </c>
      <c r="R32" s="774" t="s">
        <v>21</v>
      </c>
      <c r="S32" s="775">
        <f t="shared" si="12"/>
        <v>100</v>
      </c>
      <c r="T32" s="774" t="s">
        <v>21</v>
      </c>
      <c r="U32" s="775">
        <f t="shared" si="13"/>
        <v>100</v>
      </c>
      <c r="V32" s="774" t="s">
        <v>21</v>
      </c>
      <c r="W32" s="775">
        <f t="shared" si="14"/>
        <v>100</v>
      </c>
      <c r="X32" s="1816"/>
      <c r="Y32" s="3186"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84"/>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84"/>
      <c r="Q34" s="1813" t="str">
        <f t="shared" si="11"/>
        <v>建筑结构</v>
      </c>
      <c r="R34" s="774" t="s">
        <v>21</v>
      </c>
      <c r="S34" s="775">
        <f t="shared" si="12"/>
        <v>100</v>
      </c>
      <c r="T34" s="774" t="s">
        <v>21</v>
      </c>
      <c r="U34" s="775">
        <f t="shared" si="13"/>
        <v>100</v>
      </c>
      <c r="V34" s="774" t="s">
        <v>21</v>
      </c>
      <c r="W34" s="775">
        <f t="shared" si="14"/>
        <v>100</v>
      </c>
      <c r="X34" s="1816"/>
      <c r="Y34" s="3186"/>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84"/>
      <c r="Q35" s="1813" t="str">
        <f t="shared" si="11"/>
        <v>建筑品质</v>
      </c>
      <c r="R35" s="774" t="s">
        <v>21</v>
      </c>
      <c r="S35" s="775">
        <f t="shared" si="12"/>
        <v>100</v>
      </c>
      <c r="T35" s="774" t="s">
        <v>21</v>
      </c>
      <c r="U35" s="775">
        <f t="shared" si="13"/>
        <v>100</v>
      </c>
      <c r="V35" s="774" t="s">
        <v>21</v>
      </c>
      <c r="W35" s="775">
        <f t="shared" si="14"/>
        <v>100</v>
      </c>
      <c r="X35" s="1816"/>
      <c r="Y35" s="3186"/>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84"/>
      <c r="Q36" s="1813" t="str">
        <f t="shared" si="11"/>
        <v>公共部分装修</v>
      </c>
      <c r="R36" s="774" t="s">
        <v>21</v>
      </c>
      <c r="S36" s="775">
        <f t="shared" si="12"/>
        <v>100</v>
      </c>
      <c r="T36" s="774" t="s">
        <v>21</v>
      </c>
      <c r="U36" s="775">
        <f t="shared" si="13"/>
        <v>100</v>
      </c>
      <c r="V36" s="774" t="s">
        <v>21</v>
      </c>
      <c r="W36" s="775">
        <f t="shared" si="14"/>
        <v>100</v>
      </c>
      <c r="X36" s="1816"/>
      <c r="Y36" s="3186"/>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4"/>
      <c r="Q37" s="1798"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84" t="s">
        <v>2566</v>
      </c>
      <c r="Q38" s="1813" t="str">
        <f t="shared" si="11"/>
        <v>物业管理</v>
      </c>
      <c r="R38" s="774" t="s">
        <v>21</v>
      </c>
      <c r="S38" s="775">
        <f t="shared" si="12"/>
        <v>100</v>
      </c>
      <c r="T38" s="774" t="s">
        <v>21</v>
      </c>
      <c r="U38" s="775">
        <f t="shared" si="13"/>
        <v>100</v>
      </c>
      <c r="V38" s="774" t="s">
        <v>21</v>
      </c>
      <c r="W38" s="775">
        <f t="shared" si="14"/>
        <v>100</v>
      </c>
      <c r="X38" s="1816"/>
      <c r="Y38" s="3186"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84"/>
      <c r="Q39" s="1813" t="str">
        <f t="shared" si="11"/>
        <v>市政基础设施</v>
      </c>
      <c r="R39" s="774" t="s">
        <v>21</v>
      </c>
      <c r="S39" s="775">
        <f t="shared" si="12"/>
        <v>100</v>
      </c>
      <c r="T39" s="774" t="s">
        <v>21</v>
      </c>
      <c r="U39" s="775">
        <f t="shared" si="13"/>
        <v>100</v>
      </c>
      <c r="V39" s="774" t="s">
        <v>21</v>
      </c>
      <c r="W39" s="775">
        <f t="shared" si="14"/>
        <v>100</v>
      </c>
      <c r="X39" s="1816"/>
      <c r="Y39" s="3186"/>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84"/>
      <c r="Q40" s="1813" t="str">
        <f t="shared" si="11"/>
        <v>房型</v>
      </c>
      <c r="R40" s="774" t="s">
        <v>21</v>
      </c>
      <c r="S40" s="775">
        <f t="shared" si="12"/>
        <v>100</v>
      </c>
      <c r="T40" s="774" t="s">
        <v>21</v>
      </c>
      <c r="U40" s="775">
        <f t="shared" si="13"/>
        <v>100</v>
      </c>
      <c r="V40" s="774" t="s">
        <v>21</v>
      </c>
      <c r="W40" s="775">
        <f t="shared" si="14"/>
        <v>100</v>
      </c>
      <c r="X40" s="1816"/>
      <c r="Y40" s="3186"/>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84"/>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84"/>
      <c r="Q42" s="1813" t="str">
        <f t="shared" si="11"/>
        <v>内部装修</v>
      </c>
      <c r="R42" s="774" t="s">
        <v>21</v>
      </c>
      <c r="S42" s="775">
        <f t="shared" si="12"/>
        <v>100</v>
      </c>
      <c r="T42" s="774" t="s">
        <v>21</v>
      </c>
      <c r="U42" s="775">
        <f t="shared" si="13"/>
        <v>100</v>
      </c>
      <c r="V42" s="774" t="s">
        <v>21</v>
      </c>
      <c r="W42" s="775">
        <f t="shared" si="14"/>
        <v>100</v>
      </c>
      <c r="X42" s="1816"/>
      <c r="Y42" s="3186"/>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84"/>
      <c r="Q43" s="1813" t="str">
        <f t="shared" si="11"/>
        <v>内部装修维护情况</v>
      </c>
      <c r="R43" s="774" t="s">
        <v>21</v>
      </c>
      <c r="S43" s="775">
        <f t="shared" si="12"/>
        <v>100</v>
      </c>
      <c r="T43" s="774" t="s">
        <v>21</v>
      </c>
      <c r="U43" s="775">
        <f t="shared" si="13"/>
        <v>100</v>
      </c>
      <c r="V43" s="774" t="s">
        <v>21</v>
      </c>
      <c r="W43" s="775">
        <f t="shared" si="14"/>
        <v>100</v>
      </c>
      <c r="X43" s="1816"/>
      <c r="Y43" s="318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84"/>
      <c r="Q44" s="1798">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84"/>
      <c r="Q45" s="1813">
        <f t="shared" si="11"/>
        <v>111</v>
      </c>
      <c r="R45" s="774" t="s">
        <v>21</v>
      </c>
      <c r="S45" s="775">
        <f t="shared" si="12"/>
        <v>100</v>
      </c>
      <c r="T45" s="774" t="s">
        <v>21</v>
      </c>
      <c r="U45" s="775">
        <f t="shared" si="13"/>
        <v>100</v>
      </c>
      <c r="V45" s="774" t="s">
        <v>21</v>
      </c>
      <c r="W45" s="775">
        <f t="shared" si="14"/>
        <v>100</v>
      </c>
      <c r="X45" s="1816"/>
      <c r="Y45" s="318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85"/>
      <c r="Q46" s="1813">
        <f t="shared" si="11"/>
        <v>111</v>
      </c>
      <c r="R46" s="774" t="s">
        <v>20</v>
      </c>
      <c r="S46" s="775">
        <f t="shared" si="12"/>
        <v>100</v>
      </c>
      <c r="T46" s="774" t="s">
        <v>20</v>
      </c>
      <c r="U46" s="775">
        <f t="shared" si="13"/>
        <v>100</v>
      </c>
      <c r="V46" s="774" t="s">
        <v>20</v>
      </c>
      <c r="W46" s="775">
        <f t="shared" si="14"/>
        <v>100</v>
      </c>
      <c r="X46" s="1816"/>
      <c r="Y46" s="318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179" t="str">
        <f>A47</f>
        <v>成交单价（元/平方米）</v>
      </c>
      <c r="Q47" s="3179"/>
      <c r="R47" s="3180">
        <f>E47</f>
        <v>0</v>
      </c>
      <c r="S47" s="3180"/>
      <c r="T47" s="3180">
        <f>G47</f>
        <v>0</v>
      </c>
      <c r="U47" s="3180"/>
      <c r="V47" s="3180">
        <f>I47</f>
        <v>0</v>
      </c>
      <c r="W47" s="318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c r="E1" s="2663"/>
      <c r="F1" s="2590"/>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2"/>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38702.28</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210" t="s">
        <v>2649</v>
      </c>
      <c r="AC4" s="3191" t="s">
        <v>2650</v>
      </c>
    </row>
    <row r="5" spans="1:29" ht="15">
      <c r="A5" s="404"/>
      <c r="B5" s="405"/>
      <c r="C5" s="3213" t="s">
        <v>2543</v>
      </c>
      <c r="D5" s="3214"/>
      <c r="E5" s="3220" t="s">
        <v>2544</v>
      </c>
      <c r="F5" s="3221"/>
      <c r="G5" s="3213" t="s">
        <v>2545</v>
      </c>
      <c r="H5" s="3214"/>
      <c r="I5" s="3213" t="s">
        <v>2546</v>
      </c>
      <c r="J5" s="3214"/>
      <c r="K5" s="610"/>
      <c r="L5" s="1133"/>
      <c r="M5" s="1134"/>
      <c r="N5" s="1134"/>
      <c r="O5" s="1134"/>
      <c r="P5" s="3200"/>
      <c r="Q5" s="3201"/>
      <c r="R5" s="3206"/>
      <c r="S5" s="3207"/>
      <c r="T5" s="3206"/>
      <c r="U5" s="3207"/>
      <c r="V5" s="3210"/>
      <c r="W5" s="3210"/>
      <c r="X5" s="1816"/>
      <c r="Y5" s="3206"/>
      <c r="Z5" s="3207"/>
      <c r="AA5" s="3192"/>
      <c r="AB5" s="3210"/>
      <c r="AC5" s="3192"/>
    </row>
    <row r="6" spans="1:29" ht="15.75" thickBot="1">
      <c r="A6" s="406"/>
      <c r="B6" s="407"/>
      <c r="C6" s="3211" t="s">
        <v>2547</v>
      </c>
      <c r="D6" s="3212"/>
      <c r="E6" s="3218" t="s">
        <v>2547</v>
      </c>
      <c r="F6" s="3219"/>
      <c r="G6" s="3211" t="s">
        <v>2547</v>
      </c>
      <c r="H6" s="3212"/>
      <c r="I6" s="3211" t="s">
        <v>2547</v>
      </c>
      <c r="J6" s="3212"/>
      <c r="K6" s="610" t="s">
        <v>2548</v>
      </c>
      <c r="L6" s="1133"/>
      <c r="M6" s="1134"/>
      <c r="N6" s="1134"/>
      <c r="O6" s="1134"/>
      <c r="P6" s="3202"/>
      <c r="Q6" s="3203"/>
      <c r="R6" s="3206"/>
      <c r="S6" s="3207"/>
      <c r="T6" s="3208"/>
      <c r="U6" s="3209"/>
      <c r="V6" s="3210"/>
      <c r="W6" s="3210"/>
      <c r="X6" s="1816"/>
      <c r="Y6" s="3208"/>
      <c r="Z6" s="3209"/>
      <c r="AA6" s="3193"/>
      <c r="AB6" s="3210"/>
      <c r="AC6" s="3193"/>
    </row>
    <row r="7" spans="1:29" s="117" customFormat="1" ht="15.75" thickBot="1">
      <c r="A7" s="408" t="s">
        <v>2549</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5" t="s">
        <v>2550</v>
      </c>
      <c r="Q7" s="3217"/>
      <c r="R7" s="770" t="s">
        <v>17</v>
      </c>
      <c r="S7" s="771">
        <f t="shared" ref="S7:S15" si="0">F7</f>
        <v>0</v>
      </c>
      <c r="T7" s="770" t="s">
        <v>17</v>
      </c>
      <c r="U7" s="771">
        <f t="shared" ref="U7:U15" si="1">H7</f>
        <v>0</v>
      </c>
      <c r="V7" s="770" t="s">
        <v>17</v>
      </c>
      <c r="W7" s="771">
        <f t="shared" ref="W7:W15" si="2">J7</f>
        <v>0</v>
      </c>
      <c r="X7" s="772"/>
      <c r="Y7" s="3215" t="s">
        <v>2550</v>
      </c>
      <c r="Z7" s="321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5" t="s">
        <v>2553</v>
      </c>
      <c r="Q8" s="3216"/>
      <c r="R8" s="770" t="s">
        <v>17</v>
      </c>
      <c r="S8" s="771">
        <f t="shared" si="0"/>
        <v>0</v>
      </c>
      <c r="T8" s="770" t="s">
        <v>17</v>
      </c>
      <c r="U8" s="771">
        <f t="shared" si="1"/>
        <v>0</v>
      </c>
      <c r="V8" s="770" t="s">
        <v>17</v>
      </c>
      <c r="W8" s="771">
        <f t="shared" si="2"/>
        <v>0</v>
      </c>
      <c r="X8" s="772"/>
      <c r="Y8" s="3215" t="s">
        <v>2553</v>
      </c>
      <c r="Z8" s="321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85.5">
      <c r="A15" s="440" t="s">
        <v>2560</v>
      </c>
      <c r="B15" s="69" t="s">
        <v>2654</v>
      </c>
      <c r="C15" s="2609"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8" t="s">
        <v>2561</v>
      </c>
      <c r="Q15" s="1813" t="str">
        <f t="shared" si="6"/>
        <v>商业繁华度</v>
      </c>
      <c r="R15" s="774" t="s">
        <v>17</v>
      </c>
      <c r="S15" s="775">
        <f t="shared" si="0"/>
        <v>100</v>
      </c>
      <c r="T15" s="774" t="s">
        <v>17</v>
      </c>
      <c r="U15" s="775">
        <f t="shared" si="1"/>
        <v>100</v>
      </c>
      <c r="V15" s="774" t="s">
        <v>17</v>
      </c>
      <c r="W15" s="775">
        <f t="shared" si="2"/>
        <v>100</v>
      </c>
      <c r="X15" s="1816"/>
      <c r="Y15" s="3181"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9"/>
      <c r="Q16" s="1813"/>
      <c r="R16" s="774"/>
      <c r="S16" s="775"/>
      <c r="T16" s="774"/>
      <c r="U16" s="775"/>
      <c r="V16" s="774"/>
      <c r="W16" s="775"/>
      <c r="X16" s="1816"/>
      <c r="Y16" s="3182"/>
      <c r="Z16" s="1817"/>
      <c r="AA16" s="1814">
        <v>1</v>
      </c>
      <c r="AB16" s="1814">
        <v>1</v>
      </c>
      <c r="AC16" s="1814">
        <v>1</v>
      </c>
    </row>
    <row r="17" spans="1:29" ht="99.75">
      <c r="A17" s="428"/>
      <c r="B17" s="451" t="s">
        <v>2099</v>
      </c>
      <c r="C17" s="2613"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9"/>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89"/>
      <c r="Q18" s="1813"/>
      <c r="R18" s="774"/>
      <c r="S18" s="775"/>
      <c r="T18" s="774"/>
      <c r="U18" s="775"/>
      <c r="V18" s="774"/>
      <c r="W18" s="775"/>
      <c r="X18" s="1816"/>
      <c r="Y18" s="3182"/>
      <c r="Z18" s="1817"/>
      <c r="AA18" s="1814">
        <v>1</v>
      </c>
      <c r="AB18" s="1814">
        <v>1</v>
      </c>
      <c r="AC18" s="1814">
        <v>1</v>
      </c>
    </row>
    <row r="19" spans="1:29" ht="99.75">
      <c r="A19" s="428"/>
      <c r="B19" s="451" t="s">
        <v>2655</v>
      </c>
      <c r="C19" s="2613"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9"/>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89"/>
      <c r="Q20" s="1813"/>
      <c r="R20" s="774"/>
      <c r="S20" s="775"/>
      <c r="T20" s="774"/>
      <c r="U20" s="775"/>
      <c r="V20" s="774"/>
      <c r="W20" s="775"/>
      <c r="X20" s="1816"/>
      <c r="Y20" s="3182"/>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89"/>
      <c r="Q22" s="1813"/>
      <c r="R22" s="774"/>
      <c r="S22" s="775"/>
      <c r="T22" s="774"/>
      <c r="U22" s="775"/>
      <c r="V22" s="774"/>
      <c r="W22" s="775"/>
      <c r="X22" s="1816"/>
      <c r="Y22" s="3182"/>
      <c r="Z22" s="1817"/>
      <c r="AA22" s="1814">
        <v>1</v>
      </c>
      <c r="AB22" s="1814">
        <v>1</v>
      </c>
      <c r="AC22" s="1814">
        <v>1</v>
      </c>
    </row>
    <row r="23" spans="1:29" ht="99.75">
      <c r="A23" s="428"/>
      <c r="B23" s="451" t="s">
        <v>2104</v>
      </c>
      <c r="C23" s="2670"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9"/>
      <c r="Q23" s="1813" t="str">
        <f>B23</f>
        <v>自然及人文环境</v>
      </c>
      <c r="R23" s="774" t="s">
        <v>17</v>
      </c>
      <c r="S23" s="775">
        <f>F23</f>
        <v>100</v>
      </c>
      <c r="T23" s="774" t="s">
        <v>17</v>
      </c>
      <c r="U23" s="775">
        <f>H23</f>
        <v>100</v>
      </c>
      <c r="V23" s="774" t="s">
        <v>17</v>
      </c>
      <c r="W23" s="775">
        <f>J23</f>
        <v>100</v>
      </c>
      <c r="X23" s="1816"/>
      <c r="Y23" s="318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89"/>
      <c r="Q24" s="1813"/>
      <c r="R24" s="774"/>
      <c r="S24" s="775"/>
      <c r="T24" s="774"/>
      <c r="U24" s="775"/>
      <c r="V24" s="774"/>
      <c r="W24" s="775"/>
      <c r="X24" s="1816"/>
      <c r="Y24" s="3182"/>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9"/>
      <c r="Q25" s="1813" t="str">
        <f t="shared" ref="Q25:Q46" si="11">B25</f>
        <v>临街状况</v>
      </c>
      <c r="R25" s="774" t="s">
        <v>17</v>
      </c>
      <c r="S25" s="775">
        <f>F25</f>
        <v>100</v>
      </c>
      <c r="T25" s="774" t="s">
        <v>17</v>
      </c>
      <c r="U25" s="775">
        <f>H25</f>
        <v>100</v>
      </c>
      <c r="V25" s="774" t="s">
        <v>17</v>
      </c>
      <c r="W25" s="775">
        <f>J25</f>
        <v>100</v>
      </c>
      <c r="X25" s="1816"/>
      <c r="Y25" s="3182"/>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9"/>
      <c r="Q26" s="1813" t="str">
        <f t="shared" si="11"/>
        <v>平面位置/可视性</v>
      </c>
      <c r="R26" s="774" t="s">
        <v>17</v>
      </c>
      <c r="S26" s="775">
        <f>F26</f>
        <v>100</v>
      </c>
      <c r="T26" s="774" t="s">
        <v>17</v>
      </c>
      <c r="U26" s="775">
        <f>H26</f>
        <v>100</v>
      </c>
      <c r="V26" s="774" t="s">
        <v>17</v>
      </c>
      <c r="W26" s="775">
        <f>J26</f>
        <v>100</v>
      </c>
      <c r="X26" s="1816"/>
      <c r="Y26" s="3182"/>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89"/>
      <c r="Q27" s="1798" t="str">
        <f t="shared" si="11"/>
        <v>人流量</v>
      </c>
      <c r="R27" s="770" t="s">
        <v>17</v>
      </c>
      <c r="S27" s="771">
        <f>F27</f>
        <v>100</v>
      </c>
      <c r="T27" s="770" t="s">
        <v>17</v>
      </c>
      <c r="U27" s="771">
        <f>H27</f>
        <v>100</v>
      </c>
      <c r="V27" s="770" t="s">
        <v>17</v>
      </c>
      <c r="W27" s="771">
        <f>J27</f>
        <v>100</v>
      </c>
      <c r="X27" s="772"/>
      <c r="Y27" s="3182"/>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9"/>
      <c r="Q29" s="1813">
        <f t="shared" si="11"/>
        <v>111</v>
      </c>
      <c r="R29" s="774" t="s">
        <v>17</v>
      </c>
      <c r="S29" s="775">
        <f t="shared" si="12"/>
        <v>100</v>
      </c>
      <c r="T29" s="774" t="s">
        <v>17</v>
      </c>
      <c r="U29" s="775">
        <f t="shared" si="13"/>
        <v>100</v>
      </c>
      <c r="V29" s="774" t="s">
        <v>17</v>
      </c>
      <c r="W29" s="775">
        <f t="shared" si="14"/>
        <v>100</v>
      </c>
      <c r="X29" s="1816"/>
      <c r="Y29" s="318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9"/>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9"/>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1814">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83" t="s">
        <v>2566</v>
      </c>
      <c r="Q32" s="1813" t="str">
        <f t="shared" si="11"/>
        <v>商业类型</v>
      </c>
      <c r="R32" s="774" t="s">
        <v>17</v>
      </c>
      <c r="S32" s="775">
        <f t="shared" si="12"/>
        <v>100</v>
      </c>
      <c r="T32" s="774" t="s">
        <v>17</v>
      </c>
      <c r="U32" s="775">
        <f t="shared" si="13"/>
        <v>100</v>
      </c>
      <c r="V32" s="774" t="s">
        <v>17</v>
      </c>
      <c r="W32" s="775">
        <f t="shared" si="14"/>
        <v>100</v>
      </c>
      <c r="X32" s="1816"/>
      <c r="Y32" s="3186"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4"/>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84"/>
      <c r="Q34" s="1813" t="str">
        <f t="shared" si="11"/>
        <v>建筑结构</v>
      </c>
      <c r="R34" s="774" t="s">
        <v>17</v>
      </c>
      <c r="S34" s="775">
        <f t="shared" si="12"/>
        <v>100</v>
      </c>
      <c r="T34" s="774" t="s">
        <v>17</v>
      </c>
      <c r="U34" s="775">
        <f t="shared" si="13"/>
        <v>100</v>
      </c>
      <c r="V34" s="774" t="s">
        <v>17</v>
      </c>
      <c r="W34" s="775">
        <f t="shared" si="14"/>
        <v>100</v>
      </c>
      <c r="X34" s="1816"/>
      <c r="Y34" s="3186"/>
      <c r="Z34" s="1817" t="str">
        <f t="shared" si="15"/>
        <v>建筑结构</v>
      </c>
      <c r="AA34" s="1814">
        <f t="shared" si="3"/>
        <v>1</v>
      </c>
      <c r="AB34" s="1814">
        <f t="shared" si="4"/>
        <v>1</v>
      </c>
      <c r="AC34" s="1814">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84"/>
      <c r="Q35" s="1813" t="str">
        <f t="shared" si="11"/>
        <v>公共部分装修</v>
      </c>
      <c r="R35" s="774" t="s">
        <v>17</v>
      </c>
      <c r="S35" s="775">
        <f t="shared" si="12"/>
        <v>100</v>
      </c>
      <c r="T35" s="774" t="s">
        <v>17</v>
      </c>
      <c r="U35" s="775">
        <f t="shared" si="13"/>
        <v>100</v>
      </c>
      <c r="V35" s="774" t="s">
        <v>17</v>
      </c>
      <c r="W35" s="775">
        <f t="shared" si="14"/>
        <v>100</v>
      </c>
      <c r="X35" s="1816"/>
      <c r="Y35" s="3186"/>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4"/>
      <c r="Q36" s="1813" t="str">
        <f t="shared" si="11"/>
        <v>成新度</v>
      </c>
      <c r="R36" s="774" t="s">
        <v>17</v>
      </c>
      <c r="S36" s="775" t="e">
        <f t="shared" si="12"/>
        <v>#N/A</v>
      </c>
      <c r="T36" s="774" t="s">
        <v>17</v>
      </c>
      <c r="U36" s="775" t="e">
        <f t="shared" si="13"/>
        <v>#N/A</v>
      </c>
      <c r="V36" s="774" t="s">
        <v>17</v>
      </c>
      <c r="W36" s="775" t="e">
        <f t="shared" si="14"/>
        <v>#N/A</v>
      </c>
      <c r="X36" s="1816"/>
      <c r="Y36" s="3186"/>
      <c r="Z36" s="1817" t="str">
        <f t="shared" si="15"/>
        <v>成新度</v>
      </c>
      <c r="AA36" s="1814" t="e">
        <f t="shared" si="3"/>
        <v>#N/A</v>
      </c>
      <c r="AB36" s="1814" t="e">
        <f t="shared" si="4"/>
        <v>#N/A</v>
      </c>
      <c r="AC36" s="1814"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84"/>
      <c r="Q37" s="1798"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84" t="s">
        <v>2566</v>
      </c>
      <c r="Q38" s="1813" t="str">
        <f t="shared" si="11"/>
        <v>业态</v>
      </c>
      <c r="R38" s="774" t="s">
        <v>17</v>
      </c>
      <c r="S38" s="775">
        <f t="shared" si="12"/>
        <v>100</v>
      </c>
      <c r="T38" s="774" t="s">
        <v>17</v>
      </c>
      <c r="U38" s="775">
        <f t="shared" si="13"/>
        <v>100</v>
      </c>
      <c r="V38" s="774" t="s">
        <v>17</v>
      </c>
      <c r="W38" s="775">
        <f t="shared" si="14"/>
        <v>100</v>
      </c>
      <c r="X38" s="1816"/>
      <c r="Y38" s="3186"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84"/>
      <c r="Q39" s="1813" t="str">
        <f t="shared" si="11"/>
        <v>层高</v>
      </c>
      <c r="R39" s="774" t="s">
        <v>17</v>
      </c>
      <c r="S39" s="775">
        <f t="shared" si="12"/>
        <v>100</v>
      </c>
      <c r="T39" s="774" t="s">
        <v>17</v>
      </c>
      <c r="U39" s="775">
        <f t="shared" si="13"/>
        <v>100</v>
      </c>
      <c r="V39" s="774" t="s">
        <v>17</v>
      </c>
      <c r="W39" s="775">
        <f t="shared" si="14"/>
        <v>100</v>
      </c>
      <c r="X39" s="1816"/>
      <c r="Y39" s="318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4"/>
      <c r="Q40" s="1813" t="str">
        <f t="shared" si="11"/>
        <v>单套建筑面积</v>
      </c>
      <c r="R40" s="774" t="s">
        <v>17</v>
      </c>
      <c r="S40" s="775">
        <f t="shared" si="12"/>
        <v>100</v>
      </c>
      <c r="T40" s="774" t="s">
        <v>17</v>
      </c>
      <c r="U40" s="775">
        <f t="shared" si="13"/>
        <v>100</v>
      </c>
      <c r="V40" s="774" t="s">
        <v>17</v>
      </c>
      <c r="W40" s="775">
        <f t="shared" si="14"/>
        <v>100</v>
      </c>
      <c r="X40" s="1816"/>
      <c r="Y40" s="3186"/>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4"/>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4">
        <f t="shared" si="3"/>
        <v>1</v>
      </c>
      <c r="AB41" s="1814">
        <f t="shared" si="4"/>
        <v>1</v>
      </c>
      <c r="AC41" s="1814">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84"/>
      <c r="Q42" s="1813" t="str">
        <f t="shared" si="11"/>
        <v>内部装修</v>
      </c>
      <c r="R42" s="774" t="s">
        <v>17</v>
      </c>
      <c r="S42" s="775">
        <f t="shared" si="12"/>
        <v>100</v>
      </c>
      <c r="T42" s="774" t="s">
        <v>17</v>
      </c>
      <c r="U42" s="775">
        <f t="shared" si="13"/>
        <v>100</v>
      </c>
      <c r="V42" s="774" t="s">
        <v>17</v>
      </c>
      <c r="W42" s="775">
        <f t="shared" si="14"/>
        <v>100</v>
      </c>
      <c r="X42" s="1816"/>
      <c r="Y42" s="3186"/>
      <c r="Z42" s="1817" t="str">
        <f t="shared" si="15"/>
        <v>内部装修</v>
      </c>
      <c r="AA42" s="1814">
        <f t="shared" si="3"/>
        <v>1</v>
      </c>
      <c r="AB42" s="1814">
        <f t="shared" si="4"/>
        <v>1</v>
      </c>
      <c r="AC42" s="1814">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84"/>
      <c r="Q43" s="1813" t="str">
        <f t="shared" si="11"/>
        <v>内部装修维护情况</v>
      </c>
      <c r="R43" s="774" t="s">
        <v>17</v>
      </c>
      <c r="S43" s="775">
        <f t="shared" si="12"/>
        <v>100</v>
      </c>
      <c r="T43" s="774" t="s">
        <v>17</v>
      </c>
      <c r="U43" s="775">
        <f t="shared" si="13"/>
        <v>100</v>
      </c>
      <c r="V43" s="774" t="s">
        <v>17</v>
      </c>
      <c r="W43" s="775">
        <f t="shared" si="14"/>
        <v>100</v>
      </c>
      <c r="X43" s="1816"/>
      <c r="Y43" s="318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4"/>
      <c r="Q44" s="1798">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4"/>
      <c r="Q45" s="1813">
        <f t="shared" si="11"/>
        <v>111</v>
      </c>
      <c r="R45" s="774" t="s">
        <v>17</v>
      </c>
      <c r="S45" s="775">
        <f t="shared" si="12"/>
        <v>100</v>
      </c>
      <c r="T45" s="774" t="s">
        <v>17</v>
      </c>
      <c r="U45" s="775">
        <f t="shared" si="13"/>
        <v>100</v>
      </c>
      <c r="V45" s="774" t="s">
        <v>17</v>
      </c>
      <c r="W45" s="775">
        <f t="shared" si="14"/>
        <v>100</v>
      </c>
      <c r="X45" s="1816"/>
      <c r="Y45" s="318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5"/>
      <c r="Q46" s="1813">
        <f t="shared" si="11"/>
        <v>111</v>
      </c>
      <c r="R46" s="774" t="s">
        <v>17</v>
      </c>
      <c r="S46" s="775">
        <f t="shared" si="12"/>
        <v>100</v>
      </c>
      <c r="T46" s="774" t="s">
        <v>17</v>
      </c>
      <c r="U46" s="775">
        <f t="shared" si="13"/>
        <v>100</v>
      </c>
      <c r="V46" s="774" t="s">
        <v>17</v>
      </c>
      <c r="W46" s="775">
        <f t="shared" si="14"/>
        <v>100</v>
      </c>
      <c r="X46" s="1816"/>
      <c r="Y46" s="3187"/>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9" t="str">
        <f>A47</f>
        <v>成交单价（元/平方米）</v>
      </c>
      <c r="Q47" s="3179"/>
      <c r="R47" s="3210">
        <f>E47</f>
        <v>0</v>
      </c>
      <c r="S47" s="3210"/>
      <c r="T47" s="3210">
        <f>G47</f>
        <v>0</v>
      </c>
      <c r="U47" s="3210"/>
      <c r="V47" s="3210">
        <f>I47</f>
        <v>0</v>
      </c>
      <c r="W47" s="321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2"/>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38702.28</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228" t="s">
        <v>2652</v>
      </c>
      <c r="Q4" s="3229"/>
      <c r="R4" s="3232" t="s">
        <v>2648</v>
      </c>
      <c r="S4" s="3233"/>
      <c r="T4" s="3232" t="s">
        <v>2649</v>
      </c>
      <c r="U4" s="3233"/>
      <c r="V4" s="3234" t="s">
        <v>2650</v>
      </c>
      <c r="W4" s="3234"/>
      <c r="X4" s="2676"/>
      <c r="Y4" s="3232" t="s">
        <v>2652</v>
      </c>
      <c r="Z4" s="3233"/>
      <c r="AA4" s="3236" t="s">
        <v>2648</v>
      </c>
      <c r="AB4" s="3236" t="s">
        <v>2649</v>
      </c>
      <c r="AC4" s="3225" t="s">
        <v>2650</v>
      </c>
    </row>
    <row r="5" spans="1:29" ht="15">
      <c r="A5" s="404"/>
      <c r="B5" s="405"/>
      <c r="C5" s="3213" t="s">
        <v>2543</v>
      </c>
      <c r="D5" s="3214"/>
      <c r="E5" s="3220" t="s">
        <v>2544</v>
      </c>
      <c r="F5" s="3221"/>
      <c r="G5" s="3213" t="s">
        <v>2545</v>
      </c>
      <c r="H5" s="3214"/>
      <c r="I5" s="3213" t="s">
        <v>2546</v>
      </c>
      <c r="J5" s="3214"/>
      <c r="K5" s="610"/>
      <c r="L5" s="1133"/>
      <c r="M5" s="1134"/>
      <c r="N5" s="1134"/>
      <c r="O5" s="1134"/>
      <c r="P5" s="3230"/>
      <c r="Q5" s="3201"/>
      <c r="R5" s="3206"/>
      <c r="S5" s="3207"/>
      <c r="T5" s="3206"/>
      <c r="U5" s="3207"/>
      <c r="V5" s="3210"/>
      <c r="W5" s="3210"/>
      <c r="X5" s="1816"/>
      <c r="Y5" s="3206"/>
      <c r="Z5" s="3207"/>
      <c r="AA5" s="3192"/>
      <c r="AB5" s="3192"/>
      <c r="AC5" s="3226"/>
    </row>
    <row r="6" spans="1:29" ht="15.75" thickBot="1">
      <c r="A6" s="406"/>
      <c r="B6" s="407"/>
      <c r="C6" s="3211" t="s">
        <v>2547</v>
      </c>
      <c r="D6" s="3212"/>
      <c r="E6" s="3218" t="s">
        <v>2547</v>
      </c>
      <c r="F6" s="3219"/>
      <c r="G6" s="3211" t="s">
        <v>2547</v>
      </c>
      <c r="H6" s="3212"/>
      <c r="I6" s="3211" t="s">
        <v>2547</v>
      </c>
      <c r="J6" s="3212"/>
      <c r="K6" s="610" t="s">
        <v>2548</v>
      </c>
      <c r="L6" s="1133"/>
      <c r="M6" s="1134"/>
      <c r="N6" s="1134"/>
      <c r="O6" s="1134"/>
      <c r="P6" s="3231"/>
      <c r="Q6" s="3203"/>
      <c r="R6" s="3206"/>
      <c r="S6" s="3207"/>
      <c r="T6" s="3208"/>
      <c r="U6" s="3209"/>
      <c r="V6" s="3210"/>
      <c r="W6" s="3210"/>
      <c r="X6" s="1816"/>
      <c r="Y6" s="3208"/>
      <c r="Z6" s="3209"/>
      <c r="AA6" s="3193"/>
      <c r="AB6" s="3193"/>
      <c r="AC6" s="3227"/>
    </row>
    <row r="7" spans="1:29" s="117" customFormat="1" ht="15.75" thickBot="1">
      <c r="A7" s="408" t="s">
        <v>2549</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2550</v>
      </c>
      <c r="Q7" s="3217"/>
      <c r="R7" s="770" t="s">
        <v>17</v>
      </c>
      <c r="S7" s="771">
        <f t="shared" ref="S7:S15" si="0">F7</f>
        <v>0</v>
      </c>
      <c r="T7" s="770" t="s">
        <v>17</v>
      </c>
      <c r="U7" s="771">
        <f t="shared" ref="U7:U15" si="1">H7</f>
        <v>0</v>
      </c>
      <c r="V7" s="770" t="s">
        <v>17</v>
      </c>
      <c r="W7" s="771">
        <f t="shared" ref="W7:W15" si="2">J7</f>
        <v>0</v>
      </c>
      <c r="X7" s="772"/>
      <c r="Y7" s="3215" t="s">
        <v>2550</v>
      </c>
      <c r="Z7" s="3216"/>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2553</v>
      </c>
      <c r="Q8" s="3216"/>
      <c r="R8" s="770" t="s">
        <v>17</v>
      </c>
      <c r="S8" s="771">
        <f t="shared" si="0"/>
        <v>0</v>
      </c>
      <c r="T8" s="770" t="s">
        <v>17</v>
      </c>
      <c r="U8" s="771">
        <f t="shared" si="1"/>
        <v>0</v>
      </c>
      <c r="V8" s="770" t="s">
        <v>17</v>
      </c>
      <c r="W8" s="771">
        <f t="shared" si="2"/>
        <v>0</v>
      </c>
      <c r="X8" s="772"/>
      <c r="Y8" s="3215" t="s">
        <v>2553</v>
      </c>
      <c r="Z8" s="3216"/>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7">
        <f t="shared" si="5"/>
        <v>1</v>
      </c>
    </row>
    <row r="15" spans="1:29" ht="71.25">
      <c r="A15" s="440" t="s">
        <v>2560</v>
      </c>
      <c r="B15" s="629" t="s">
        <v>2688</v>
      </c>
      <c r="C15" s="2679"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8" t="s">
        <v>2561</v>
      </c>
      <c r="Q15" s="1813" t="str">
        <f t="shared" si="6"/>
        <v>办公集聚程度</v>
      </c>
      <c r="R15" s="774" t="s">
        <v>17</v>
      </c>
      <c r="S15" s="775">
        <f t="shared" si="0"/>
        <v>100</v>
      </c>
      <c r="T15" s="774" t="s">
        <v>17</v>
      </c>
      <c r="U15" s="775">
        <f t="shared" si="1"/>
        <v>100</v>
      </c>
      <c r="V15" s="774" t="s">
        <v>17</v>
      </c>
      <c r="W15" s="775">
        <f t="shared" si="2"/>
        <v>100</v>
      </c>
      <c r="X15" s="1816"/>
      <c r="Y15" s="3181" t="s">
        <v>2561</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89"/>
      <c r="Q16" s="1813"/>
      <c r="R16" s="774"/>
      <c r="S16" s="775"/>
      <c r="T16" s="774"/>
      <c r="U16" s="775"/>
      <c r="V16" s="774"/>
      <c r="W16" s="775"/>
      <c r="X16" s="1816"/>
      <c r="Y16" s="3182"/>
      <c r="Z16" s="1817"/>
      <c r="AA16" s="1814">
        <v>1</v>
      </c>
      <c r="AB16" s="1814">
        <v>1</v>
      </c>
      <c r="AC16" s="2680">
        <v>1</v>
      </c>
    </row>
    <row r="17" spans="1:29" ht="99.75">
      <c r="A17" s="428"/>
      <c r="B17" s="631" t="s">
        <v>2099</v>
      </c>
      <c r="C17" s="2681"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9"/>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89"/>
      <c r="Q18" s="1813"/>
      <c r="R18" s="774"/>
      <c r="S18" s="775"/>
      <c r="T18" s="774"/>
      <c r="U18" s="775"/>
      <c r="V18" s="774"/>
      <c r="W18" s="775"/>
      <c r="X18" s="1816"/>
      <c r="Y18" s="3182"/>
      <c r="Z18" s="1817"/>
      <c r="AA18" s="1814">
        <v>1</v>
      </c>
      <c r="AB18" s="1814">
        <v>1</v>
      </c>
      <c r="AC18" s="2680">
        <v>1</v>
      </c>
    </row>
    <row r="19" spans="1:29" ht="85.5">
      <c r="A19" s="428"/>
      <c r="B19" s="631" t="s">
        <v>2689</v>
      </c>
      <c r="C19" s="2681"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9"/>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89"/>
      <c r="Q20" s="1813"/>
      <c r="R20" s="774"/>
      <c r="S20" s="775"/>
      <c r="T20" s="774"/>
      <c r="U20" s="775"/>
      <c r="V20" s="774"/>
      <c r="W20" s="775"/>
      <c r="X20" s="1816"/>
      <c r="Y20" s="3182"/>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89"/>
      <c r="Q22" s="1813"/>
      <c r="R22" s="774"/>
      <c r="S22" s="775"/>
      <c r="T22" s="774"/>
      <c r="U22" s="775"/>
      <c r="V22" s="774"/>
      <c r="W22" s="775"/>
      <c r="X22" s="1816"/>
      <c r="Y22" s="3182"/>
      <c r="Z22" s="1817"/>
      <c r="AA22" s="1814">
        <v>1</v>
      </c>
      <c r="AB22" s="1814">
        <v>1</v>
      </c>
      <c r="AC22" s="2680">
        <v>1</v>
      </c>
    </row>
    <row r="23" spans="1:29" ht="99.75">
      <c r="A23" s="428"/>
      <c r="B23" s="631" t="s">
        <v>2691</v>
      </c>
      <c r="C23" s="2681"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9"/>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89"/>
      <c r="Q24" s="1813"/>
      <c r="R24" s="774"/>
      <c r="S24" s="775"/>
      <c r="T24" s="774"/>
      <c r="U24" s="775"/>
      <c r="V24" s="774"/>
      <c r="W24" s="775"/>
      <c r="X24" s="1816"/>
      <c r="Y24" s="3182"/>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89"/>
      <c r="Q25" s="1813" t="str">
        <f>B25</f>
        <v>毗邻道路的类型与等级</v>
      </c>
      <c r="R25" s="774" t="s">
        <v>17</v>
      </c>
      <c r="S25" s="775">
        <f>F25</f>
        <v>100</v>
      </c>
      <c r="T25" s="774" t="s">
        <v>17</v>
      </c>
      <c r="U25" s="775">
        <f>H25</f>
        <v>100</v>
      </c>
      <c r="V25" s="774" t="s">
        <v>17</v>
      </c>
      <c r="W25" s="775">
        <f>J25</f>
        <v>100</v>
      </c>
      <c r="X25" s="1816"/>
      <c r="Y25" s="318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89"/>
      <c r="Q26" s="1813"/>
      <c r="R26" s="774"/>
      <c r="S26" s="775"/>
      <c r="T26" s="774"/>
      <c r="U26" s="775"/>
      <c r="V26" s="774"/>
      <c r="W26" s="775"/>
      <c r="X26" s="1816"/>
      <c r="Y26" s="3182"/>
      <c r="Z26" s="1817"/>
      <c r="AA26" s="1814">
        <v>1</v>
      </c>
      <c r="AB26" s="1814">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9"/>
      <c r="Q27" s="1813" t="str">
        <f t="shared" ref="Q27:Q47" si="11">B27</f>
        <v>楼层</v>
      </c>
      <c r="R27" s="774" t="s">
        <v>17</v>
      </c>
      <c r="S27" s="775">
        <f>F27</f>
        <v>100</v>
      </c>
      <c r="T27" s="774" t="s">
        <v>17</v>
      </c>
      <c r="U27" s="775">
        <f>H27</f>
        <v>100</v>
      </c>
      <c r="V27" s="774" t="s">
        <v>17</v>
      </c>
      <c r="W27" s="775">
        <f>J27</f>
        <v>100</v>
      </c>
      <c r="X27" s="1816"/>
      <c r="Y27" s="3182"/>
      <c r="Z27" s="1817" t="str">
        <f>Q27</f>
        <v>楼层</v>
      </c>
      <c r="AA27" s="1814">
        <f t="shared" si="3"/>
        <v>1</v>
      </c>
      <c r="AB27" s="1814">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89"/>
      <c r="Q28" s="1798" t="str">
        <f t="shared" si="11"/>
        <v>朝向</v>
      </c>
      <c r="R28" s="770" t="s">
        <v>17</v>
      </c>
      <c r="S28" s="771">
        <f>F28</f>
        <v>100</v>
      </c>
      <c r="T28" s="770" t="s">
        <v>17</v>
      </c>
      <c r="U28" s="771">
        <f>H28</f>
        <v>100</v>
      </c>
      <c r="V28" s="770" t="s">
        <v>17</v>
      </c>
      <c r="W28" s="771">
        <f>J28</f>
        <v>100</v>
      </c>
      <c r="X28" s="772"/>
      <c r="Y28" s="318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89"/>
      <c r="Q29" s="1813">
        <f t="shared" si="11"/>
        <v>111</v>
      </c>
      <c r="R29" s="774" t="s">
        <v>17</v>
      </c>
      <c r="S29" s="775">
        <f t="shared" ref="S29:S47" si="12">F29</f>
        <v>100</v>
      </c>
      <c r="T29" s="774" t="s">
        <v>17</v>
      </c>
      <c r="U29" s="775">
        <f t="shared" ref="U29:U47" si="13">H29</f>
        <v>100</v>
      </c>
      <c r="V29" s="774" t="s">
        <v>17</v>
      </c>
      <c r="W29" s="775">
        <f t="shared" ref="W29:W47" si="14">J29</f>
        <v>100</v>
      </c>
      <c r="X29" s="1816"/>
      <c r="Y29" s="318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89"/>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89"/>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89"/>
      <c r="Q32" s="1813">
        <f t="shared" si="11"/>
        <v>111</v>
      </c>
      <c r="R32" s="774" t="s">
        <v>17</v>
      </c>
      <c r="S32" s="775">
        <f t="shared" si="12"/>
        <v>100</v>
      </c>
      <c r="T32" s="774" t="s">
        <v>17</v>
      </c>
      <c r="U32" s="775">
        <f t="shared" si="13"/>
        <v>100</v>
      </c>
      <c r="V32" s="774" t="s">
        <v>17</v>
      </c>
      <c r="W32" s="775">
        <f t="shared" si="14"/>
        <v>100</v>
      </c>
      <c r="X32" s="1816"/>
      <c r="Y32" s="3182"/>
      <c r="Z32" s="1817">
        <f t="shared" si="15"/>
        <v>111</v>
      </c>
      <c r="AA32" s="1814">
        <f t="shared" si="3"/>
        <v>1</v>
      </c>
      <c r="AB32" s="1814">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83" t="s">
        <v>2566</v>
      </c>
      <c r="Q33" s="1813" t="str">
        <f t="shared" si="11"/>
        <v>建筑类型</v>
      </c>
      <c r="R33" s="774" t="s">
        <v>17</v>
      </c>
      <c r="S33" s="775">
        <f t="shared" si="12"/>
        <v>100</v>
      </c>
      <c r="T33" s="774" t="s">
        <v>17</v>
      </c>
      <c r="U33" s="775">
        <f t="shared" si="13"/>
        <v>100</v>
      </c>
      <c r="V33" s="774" t="s">
        <v>17</v>
      </c>
      <c r="W33" s="775">
        <f t="shared" si="14"/>
        <v>100</v>
      </c>
      <c r="X33" s="1816"/>
      <c r="Y33" s="3186" t="s">
        <v>2566</v>
      </c>
      <c r="Z33" s="1817" t="str">
        <f t="shared" si="15"/>
        <v>建筑类型</v>
      </c>
      <c r="AA33" s="1814">
        <f t="shared" si="3"/>
        <v>1</v>
      </c>
      <c r="AB33" s="1814">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4"/>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4" t="e">
        <f t="shared" si="3"/>
        <v>#N/A</v>
      </c>
      <c r="AB34" s="1814"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4"/>
      <c r="Q35" s="1813" t="str">
        <f t="shared" si="11"/>
        <v>建筑结构</v>
      </c>
      <c r="R35" s="774" t="s">
        <v>17</v>
      </c>
      <c r="S35" s="775">
        <f t="shared" si="12"/>
        <v>100</v>
      </c>
      <c r="T35" s="774" t="s">
        <v>17</v>
      </c>
      <c r="U35" s="775">
        <f t="shared" si="13"/>
        <v>100</v>
      </c>
      <c r="V35" s="774" t="s">
        <v>17</v>
      </c>
      <c r="W35" s="775">
        <f t="shared" si="14"/>
        <v>100</v>
      </c>
      <c r="X35" s="1816"/>
      <c r="Y35" s="3186"/>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4"/>
      <c r="Q36" s="1813" t="str">
        <f t="shared" si="11"/>
        <v>公共部分装修</v>
      </c>
      <c r="R36" s="774" t="s">
        <v>17</v>
      </c>
      <c r="S36" s="775">
        <f t="shared" si="12"/>
        <v>100</v>
      </c>
      <c r="T36" s="774" t="s">
        <v>17</v>
      </c>
      <c r="U36" s="775">
        <f t="shared" si="13"/>
        <v>100</v>
      </c>
      <c r="V36" s="774" t="s">
        <v>17</v>
      </c>
      <c r="W36" s="775">
        <f t="shared" si="14"/>
        <v>100</v>
      </c>
      <c r="X36" s="1816"/>
      <c r="Y36" s="3186"/>
      <c r="Z36" s="1817" t="str">
        <f t="shared" si="15"/>
        <v>公共部分装修</v>
      </c>
      <c r="AA36" s="1814">
        <f t="shared" si="3"/>
        <v>1</v>
      </c>
      <c r="AB36" s="1814">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4"/>
      <c r="Q37" s="1813" t="str">
        <f t="shared" si="11"/>
        <v>成新度</v>
      </c>
      <c r="R37" s="774" t="s">
        <v>17</v>
      </c>
      <c r="S37" s="775" t="e">
        <f t="shared" si="12"/>
        <v>#N/A</v>
      </c>
      <c r="T37" s="774" t="s">
        <v>17</v>
      </c>
      <c r="U37" s="775" t="e">
        <f t="shared" si="13"/>
        <v>#N/A</v>
      </c>
      <c r="V37" s="774" t="s">
        <v>17</v>
      </c>
      <c r="W37" s="775" t="e">
        <f t="shared" si="14"/>
        <v>#N/A</v>
      </c>
      <c r="X37" s="1816"/>
      <c r="Y37" s="3186"/>
      <c r="Z37" s="1817" t="str">
        <f t="shared" si="15"/>
        <v>成新度</v>
      </c>
      <c r="AA37" s="1814" t="e">
        <f t="shared" si="3"/>
        <v>#N/A</v>
      </c>
      <c r="AB37" s="1814"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4"/>
      <c r="Q38" s="1798"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4" t="s">
        <v>2566</v>
      </c>
      <c r="Q39" s="1813" t="str">
        <f t="shared" si="11"/>
        <v>物业管理</v>
      </c>
      <c r="R39" s="774" t="s">
        <v>17</v>
      </c>
      <c r="S39" s="775">
        <f t="shared" si="12"/>
        <v>100</v>
      </c>
      <c r="T39" s="774" t="s">
        <v>17</v>
      </c>
      <c r="U39" s="775">
        <f t="shared" si="13"/>
        <v>100</v>
      </c>
      <c r="V39" s="774" t="s">
        <v>17</v>
      </c>
      <c r="W39" s="775">
        <f t="shared" si="14"/>
        <v>100</v>
      </c>
      <c r="X39" s="1816"/>
      <c r="Y39" s="3186"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4"/>
      <c r="Q40" s="1813" t="str">
        <f t="shared" si="11"/>
        <v>市政基础设施</v>
      </c>
      <c r="R40" s="774" t="s">
        <v>17</v>
      </c>
      <c r="S40" s="775">
        <f t="shared" si="12"/>
        <v>100</v>
      </c>
      <c r="T40" s="774" t="s">
        <v>17</v>
      </c>
      <c r="U40" s="775">
        <f t="shared" si="13"/>
        <v>100</v>
      </c>
      <c r="V40" s="774" t="s">
        <v>17</v>
      </c>
      <c r="W40" s="775">
        <f t="shared" si="14"/>
        <v>100</v>
      </c>
      <c r="X40" s="1816"/>
      <c r="Y40" s="3186"/>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4"/>
      <c r="Q41" s="1813" t="str">
        <f t="shared" si="11"/>
        <v>层高</v>
      </c>
      <c r="R41" s="774" t="s">
        <v>17</v>
      </c>
      <c r="S41" s="775">
        <f t="shared" si="12"/>
        <v>100</v>
      </c>
      <c r="T41" s="774" t="s">
        <v>17</v>
      </c>
      <c r="U41" s="775">
        <f t="shared" si="13"/>
        <v>100</v>
      </c>
      <c r="V41" s="774" t="s">
        <v>17</v>
      </c>
      <c r="W41" s="775">
        <f t="shared" si="14"/>
        <v>100</v>
      </c>
      <c r="X41" s="1816"/>
      <c r="Y41" s="3186"/>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4"/>
      <c r="Q43" s="1813" t="str">
        <f t="shared" si="11"/>
        <v>内部装修</v>
      </c>
      <c r="R43" s="774" t="s">
        <v>17</v>
      </c>
      <c r="S43" s="775">
        <f t="shared" si="12"/>
        <v>100</v>
      </c>
      <c r="T43" s="774" t="s">
        <v>17</v>
      </c>
      <c r="U43" s="775">
        <f t="shared" si="13"/>
        <v>100</v>
      </c>
      <c r="V43" s="774" t="s">
        <v>17</v>
      </c>
      <c r="W43" s="775">
        <f t="shared" si="14"/>
        <v>100</v>
      </c>
      <c r="X43" s="1816"/>
      <c r="Y43" s="3186"/>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84"/>
      <c r="Q44" s="1813" t="str">
        <f t="shared" si="11"/>
        <v>内部装修维护情况</v>
      </c>
      <c r="R44" s="774" t="s">
        <v>17</v>
      </c>
      <c r="S44" s="775">
        <f t="shared" si="12"/>
        <v>100</v>
      </c>
      <c r="T44" s="774" t="s">
        <v>17</v>
      </c>
      <c r="U44" s="775">
        <f t="shared" si="13"/>
        <v>100</v>
      </c>
      <c r="V44" s="774" t="s">
        <v>17</v>
      </c>
      <c r="W44" s="775">
        <f t="shared" si="14"/>
        <v>100</v>
      </c>
      <c r="X44" s="1816"/>
      <c r="Y44" s="318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4"/>
      <c r="Q45" s="1798">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4"/>
      <c r="Q46" s="1813">
        <f t="shared" si="11"/>
        <v>111</v>
      </c>
      <c r="R46" s="774" t="s">
        <v>17</v>
      </c>
      <c r="S46" s="775">
        <f t="shared" si="12"/>
        <v>100</v>
      </c>
      <c r="T46" s="774" t="s">
        <v>17</v>
      </c>
      <c r="U46" s="775">
        <f t="shared" si="13"/>
        <v>100</v>
      </c>
      <c r="V46" s="774" t="s">
        <v>17</v>
      </c>
      <c r="W46" s="775">
        <f t="shared" si="14"/>
        <v>100</v>
      </c>
      <c r="X46" s="1816"/>
      <c r="Y46" s="318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5"/>
      <c r="Q47" s="1813">
        <f t="shared" si="11"/>
        <v>111</v>
      </c>
      <c r="R47" s="774" t="s">
        <v>17</v>
      </c>
      <c r="S47" s="775">
        <f t="shared" si="12"/>
        <v>100</v>
      </c>
      <c r="T47" s="774" t="s">
        <v>17</v>
      </c>
      <c r="U47" s="775">
        <f t="shared" si="13"/>
        <v>100</v>
      </c>
      <c r="V47" s="774" t="s">
        <v>17</v>
      </c>
      <c r="W47" s="775">
        <f t="shared" si="14"/>
        <v>100</v>
      </c>
      <c r="X47" s="1816"/>
      <c r="Y47" s="3187"/>
      <c r="Z47" s="1817">
        <f t="shared" si="15"/>
        <v>111</v>
      </c>
      <c r="AA47" s="1814">
        <f t="shared" si="3"/>
        <v>1</v>
      </c>
      <c r="AB47" s="1814">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90" t="str">
        <f>A48</f>
        <v>成交单价（元/平方米）</v>
      </c>
      <c r="Q48" s="3179"/>
      <c r="R48" s="3180">
        <f>E48</f>
        <v>0</v>
      </c>
      <c r="S48" s="3180"/>
      <c r="T48" s="3180">
        <f>G48</f>
        <v>0</v>
      </c>
      <c r="U48" s="3180"/>
      <c r="V48" s="3180">
        <f>I48</f>
        <v>0</v>
      </c>
      <c r="W48" s="318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22" t="str">
        <f>A50</f>
        <v>估价对象XX用房的比较价值（楼面单价，元/平方米）</v>
      </c>
      <c r="Q50" s="3223"/>
      <c r="R50" s="3224" t="e">
        <f>IF(F1="售价",ROUND(AVERAGE(R49:V49),0),ROUND(AVERAGE(R49:V49),1))</f>
        <v>#DIV/0!</v>
      </c>
      <c r="S50" s="3224"/>
      <c r="T50" s="3224"/>
      <c r="U50" s="3224"/>
      <c r="V50" s="3224"/>
      <c r="W50" s="322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192" t="s">
        <v>2649</v>
      </c>
      <c r="AC4" s="3191" t="s">
        <v>2650</v>
      </c>
    </row>
    <row r="5" spans="1:29" ht="15">
      <c r="A5" s="404"/>
      <c r="B5" s="405"/>
      <c r="C5" s="3213" t="s">
        <v>2543</v>
      </c>
      <c r="D5" s="3214"/>
      <c r="E5" s="3220" t="s">
        <v>2544</v>
      </c>
      <c r="F5" s="3221"/>
      <c r="G5" s="3213" t="s">
        <v>2545</v>
      </c>
      <c r="H5" s="3214"/>
      <c r="I5" s="3213" t="s">
        <v>2546</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2547</v>
      </c>
      <c r="D6" s="3212"/>
      <c r="E6" s="3218" t="s">
        <v>2547</v>
      </c>
      <c r="F6" s="3219"/>
      <c r="G6" s="3211" t="s">
        <v>2547</v>
      </c>
      <c r="H6" s="3212"/>
      <c r="I6" s="3211" t="s">
        <v>2547</v>
      </c>
      <c r="J6" s="3212"/>
      <c r="K6" s="610" t="s">
        <v>2548</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2549</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5" t="s">
        <v>2550</v>
      </c>
      <c r="Q7" s="3217"/>
      <c r="R7" s="770" t="s">
        <v>17</v>
      </c>
      <c r="S7" s="771">
        <f t="shared" ref="S7:S15" si="0">F7</f>
        <v>0</v>
      </c>
      <c r="T7" s="770" t="s">
        <v>17</v>
      </c>
      <c r="U7" s="771">
        <f t="shared" ref="U7:U15" si="1">H7</f>
        <v>0</v>
      </c>
      <c r="V7" s="770" t="s">
        <v>17</v>
      </c>
      <c r="W7" s="771">
        <f t="shared" ref="W7:W15" si="2">J7</f>
        <v>0</v>
      </c>
      <c r="X7" s="772"/>
      <c r="Y7" s="3215" t="s">
        <v>2550</v>
      </c>
      <c r="Z7" s="321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5" t="s">
        <v>2553</v>
      </c>
      <c r="Q8" s="3216"/>
      <c r="R8" s="770" t="s">
        <v>17</v>
      </c>
      <c r="S8" s="771">
        <f t="shared" si="0"/>
        <v>0</v>
      </c>
      <c r="T8" s="770" t="s">
        <v>17</v>
      </c>
      <c r="U8" s="771">
        <f t="shared" si="1"/>
        <v>0</v>
      </c>
      <c r="V8" s="770" t="s">
        <v>17</v>
      </c>
      <c r="W8" s="771">
        <f t="shared" si="2"/>
        <v>0</v>
      </c>
      <c r="X8" s="772"/>
      <c r="Y8" s="3215" t="s">
        <v>2553</v>
      </c>
      <c r="Z8" s="321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9"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2561</v>
      </c>
      <c r="Q15" s="1813" t="str">
        <f t="shared" si="6"/>
        <v>产业集聚程度</v>
      </c>
      <c r="R15" s="774" t="s">
        <v>17</v>
      </c>
      <c r="S15" s="775">
        <f t="shared" si="0"/>
        <v>100</v>
      </c>
      <c r="T15" s="774" t="s">
        <v>17</v>
      </c>
      <c r="U15" s="775">
        <f t="shared" si="1"/>
        <v>100</v>
      </c>
      <c r="V15" s="774" t="s">
        <v>17</v>
      </c>
      <c r="W15" s="775">
        <f t="shared" si="2"/>
        <v>100</v>
      </c>
      <c r="X15" s="1816"/>
      <c r="Y15" s="318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2"/>
      <c r="Q16" s="1813"/>
      <c r="R16" s="774"/>
      <c r="S16" s="775"/>
      <c r="T16" s="774"/>
      <c r="U16" s="775"/>
      <c r="V16" s="774"/>
      <c r="W16" s="775"/>
      <c r="X16" s="1816"/>
      <c r="Y16" s="3182"/>
      <c r="Z16" s="1817"/>
      <c r="AA16" s="1814">
        <v>1</v>
      </c>
      <c r="AB16" s="1814">
        <v>1</v>
      </c>
      <c r="AC16" s="1814">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82"/>
      <c r="Q18" s="1813"/>
      <c r="R18" s="774"/>
      <c r="S18" s="775"/>
      <c r="T18" s="774"/>
      <c r="U18" s="775"/>
      <c r="V18" s="774"/>
      <c r="W18" s="775"/>
      <c r="X18" s="1816"/>
      <c r="Y18" s="3182"/>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82"/>
      <c r="Q20" s="1813"/>
      <c r="R20" s="774"/>
      <c r="S20" s="775"/>
      <c r="T20" s="774"/>
      <c r="U20" s="775"/>
      <c r="V20" s="774"/>
      <c r="W20" s="775"/>
      <c r="X20" s="1816"/>
      <c r="Y20" s="3182"/>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82"/>
      <c r="Q22" s="1813"/>
      <c r="R22" s="774"/>
      <c r="S22" s="775"/>
      <c r="T22" s="774"/>
      <c r="U22" s="775"/>
      <c r="V22" s="774"/>
      <c r="W22" s="775"/>
      <c r="X22" s="1816"/>
      <c r="Y22" s="3182"/>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82"/>
      <c r="Q24" s="1813"/>
      <c r="R24" s="774"/>
      <c r="S24" s="775"/>
      <c r="T24" s="774"/>
      <c r="U24" s="775"/>
      <c r="V24" s="774"/>
      <c r="W24" s="775"/>
      <c r="X24" s="1816"/>
      <c r="Y24" s="318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3">
        <f>B25</f>
        <v>111</v>
      </c>
      <c r="R25" s="774" t="s">
        <v>17</v>
      </c>
      <c r="S25" s="775">
        <f>F25</f>
        <v>100</v>
      </c>
      <c r="T25" s="774" t="s">
        <v>17</v>
      </c>
      <c r="U25" s="775">
        <f>H25</f>
        <v>100</v>
      </c>
      <c r="V25" s="774" t="s">
        <v>17</v>
      </c>
      <c r="W25" s="775">
        <f>J25</f>
        <v>100</v>
      </c>
      <c r="X25" s="1816"/>
      <c r="Y25" s="318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3">
        <f t="shared" ref="Q26:Q40" si="11">B26</f>
        <v>111</v>
      </c>
      <c r="R26" s="774" t="s">
        <v>17</v>
      </c>
      <c r="S26" s="775">
        <f>F26</f>
        <v>100</v>
      </c>
      <c r="T26" s="774" t="s">
        <v>17</v>
      </c>
      <c r="U26" s="775">
        <f>H26</f>
        <v>100</v>
      </c>
      <c r="V26" s="774" t="s">
        <v>17</v>
      </c>
      <c r="W26" s="775">
        <f>J26</f>
        <v>100</v>
      </c>
      <c r="X26" s="1816"/>
      <c r="Y26" s="318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8">
        <f t="shared" si="11"/>
        <v>111</v>
      </c>
      <c r="R27" s="770" t="s">
        <v>17</v>
      </c>
      <c r="S27" s="771">
        <f>F27</f>
        <v>100</v>
      </c>
      <c r="T27" s="770" t="s">
        <v>17</v>
      </c>
      <c r="U27" s="771">
        <f>H27</f>
        <v>100</v>
      </c>
      <c r="V27" s="770" t="s">
        <v>17</v>
      </c>
      <c r="W27" s="771">
        <f>J27</f>
        <v>100</v>
      </c>
      <c r="X27" s="772"/>
      <c r="Y27" s="318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3">
        <f t="shared" si="11"/>
        <v>111</v>
      </c>
      <c r="R28" s="774" t="s">
        <v>17</v>
      </c>
      <c r="S28" s="775">
        <f t="shared" ref="S28:S40" si="12">F28</f>
        <v>100</v>
      </c>
      <c r="T28" s="774" t="s">
        <v>17</v>
      </c>
      <c r="U28" s="775">
        <f t="shared" ref="U28:U40" si="13">H28</f>
        <v>100</v>
      </c>
      <c r="V28" s="774" t="s">
        <v>17</v>
      </c>
      <c r="W28" s="775">
        <f t="shared" ref="W28:W40" si="14">J28</f>
        <v>100</v>
      </c>
      <c r="X28" s="1816"/>
      <c r="Y28" s="3182"/>
      <c r="Z28" s="1817">
        <f t="shared" ref="Z28:Z40" si="15">Q28</f>
        <v>111</v>
      </c>
      <c r="AA28" s="1814">
        <f t="shared" si="3"/>
        <v>1</v>
      </c>
      <c r="AB28" s="1814">
        <f t="shared" si="4"/>
        <v>1</v>
      </c>
      <c r="AC28" s="1814">
        <f t="shared" si="5"/>
        <v>1</v>
      </c>
    </row>
    <row r="29" spans="1:29" ht="1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37" t="s">
        <v>2566</v>
      </c>
      <c r="Q29" s="1813" t="str">
        <f t="shared" si="11"/>
        <v>建筑类型</v>
      </c>
      <c r="R29" s="774" t="s">
        <v>17</v>
      </c>
      <c r="S29" s="775">
        <f t="shared" si="12"/>
        <v>100</v>
      </c>
      <c r="T29" s="774" t="s">
        <v>17</v>
      </c>
      <c r="U29" s="775">
        <f t="shared" si="13"/>
        <v>100</v>
      </c>
      <c r="V29" s="774" t="s">
        <v>17</v>
      </c>
      <c r="W29" s="775">
        <f t="shared" si="14"/>
        <v>100</v>
      </c>
      <c r="X29" s="1816"/>
      <c r="Y29" s="318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3" t="str">
        <f t="shared" si="11"/>
        <v>建筑结构</v>
      </c>
      <c r="R31" s="774" t="s">
        <v>17</v>
      </c>
      <c r="S31" s="775">
        <f t="shared" si="12"/>
        <v>100</v>
      </c>
      <c r="T31" s="774" t="s">
        <v>17</v>
      </c>
      <c r="U31" s="775">
        <f t="shared" si="13"/>
        <v>100</v>
      </c>
      <c r="V31" s="774" t="s">
        <v>17</v>
      </c>
      <c r="W31" s="775">
        <f t="shared" si="14"/>
        <v>100</v>
      </c>
      <c r="X31" s="1816"/>
      <c r="Y31" s="318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3" t="str">
        <f t="shared" si="11"/>
        <v>公共部分装修</v>
      </c>
      <c r="R32" s="774" t="s">
        <v>17</v>
      </c>
      <c r="S32" s="775">
        <f t="shared" si="12"/>
        <v>100</v>
      </c>
      <c r="T32" s="774" t="s">
        <v>17</v>
      </c>
      <c r="U32" s="775">
        <f t="shared" si="13"/>
        <v>100</v>
      </c>
      <c r="V32" s="774" t="s">
        <v>17</v>
      </c>
      <c r="W32" s="775">
        <f t="shared" si="14"/>
        <v>100</v>
      </c>
      <c r="X32" s="1816"/>
      <c r="Y32" s="318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6"/>
      <c r="Q33" s="1813" t="str">
        <f t="shared" si="11"/>
        <v>成新度</v>
      </c>
      <c r="R33" s="774" t="s">
        <v>17</v>
      </c>
      <c r="S33" s="775" t="e">
        <f t="shared" si="12"/>
        <v>#N/A</v>
      </c>
      <c r="T33" s="774" t="s">
        <v>17</v>
      </c>
      <c r="U33" s="775" t="e">
        <f t="shared" si="13"/>
        <v>#N/A</v>
      </c>
      <c r="V33" s="774" t="s">
        <v>17</v>
      </c>
      <c r="W33" s="775" t="e">
        <f t="shared" si="14"/>
        <v>#N/A</v>
      </c>
      <c r="X33" s="1816"/>
      <c r="Y33" s="318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8"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2566</v>
      </c>
      <c r="Q35" s="1813" t="str">
        <f t="shared" si="11"/>
        <v>市政基础设施</v>
      </c>
      <c r="R35" s="774" t="s">
        <v>17</v>
      </c>
      <c r="S35" s="775">
        <f t="shared" si="12"/>
        <v>100</v>
      </c>
      <c r="T35" s="774" t="s">
        <v>17</v>
      </c>
      <c r="U35" s="775">
        <f t="shared" si="13"/>
        <v>100</v>
      </c>
      <c r="V35" s="774" t="s">
        <v>17</v>
      </c>
      <c r="W35" s="775">
        <f t="shared" si="14"/>
        <v>100</v>
      </c>
      <c r="X35" s="1816"/>
      <c r="Y35" s="318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3" t="str">
        <f t="shared" si="11"/>
        <v>内部装修</v>
      </c>
      <c r="R36" s="774" t="s">
        <v>17</v>
      </c>
      <c r="S36" s="775">
        <f t="shared" si="12"/>
        <v>100</v>
      </c>
      <c r="T36" s="774" t="s">
        <v>17</v>
      </c>
      <c r="U36" s="775">
        <f t="shared" si="13"/>
        <v>100</v>
      </c>
      <c r="V36" s="774" t="s">
        <v>17</v>
      </c>
      <c r="W36" s="775">
        <f t="shared" si="14"/>
        <v>100</v>
      </c>
      <c r="X36" s="1816"/>
      <c r="Y36" s="318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3" t="str">
        <f t="shared" si="11"/>
        <v>内部装修状况</v>
      </c>
      <c r="R37" s="774" t="s">
        <v>17</v>
      </c>
      <c r="S37" s="775">
        <f t="shared" si="12"/>
        <v>100</v>
      </c>
      <c r="T37" s="774" t="s">
        <v>17</v>
      </c>
      <c r="U37" s="775">
        <f t="shared" si="13"/>
        <v>100</v>
      </c>
      <c r="V37" s="774" t="s">
        <v>17</v>
      </c>
      <c r="W37" s="775">
        <f t="shared" si="14"/>
        <v>100</v>
      </c>
      <c r="X37" s="1816"/>
      <c r="Y37" s="318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3">
        <f t="shared" si="11"/>
        <v>111</v>
      </c>
      <c r="R39" s="774" t="s">
        <v>17</v>
      </c>
      <c r="S39" s="775">
        <f t="shared" si="12"/>
        <v>100</v>
      </c>
      <c r="T39" s="774" t="s">
        <v>17</v>
      </c>
      <c r="U39" s="775">
        <f t="shared" si="13"/>
        <v>100</v>
      </c>
      <c r="V39" s="774" t="s">
        <v>17</v>
      </c>
      <c r="W39" s="775">
        <f t="shared" si="14"/>
        <v>100</v>
      </c>
      <c r="X39" s="1816"/>
      <c r="Y39" s="318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7"/>
      <c r="Q40" s="1813">
        <f t="shared" si="11"/>
        <v>111</v>
      </c>
      <c r="R40" s="774" t="s">
        <v>17</v>
      </c>
      <c r="S40" s="775">
        <f t="shared" si="12"/>
        <v>100</v>
      </c>
      <c r="T40" s="774" t="s">
        <v>17</v>
      </c>
      <c r="U40" s="775">
        <f t="shared" si="13"/>
        <v>100</v>
      </c>
      <c r="V40" s="774" t="s">
        <v>17</v>
      </c>
      <c r="W40" s="775">
        <f t="shared" si="14"/>
        <v>100</v>
      </c>
      <c r="X40" s="1816"/>
      <c r="Y40" s="318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9" t="str">
        <f>A41</f>
        <v>成交单价（元/平方米）</v>
      </c>
      <c r="Q41" s="3179"/>
      <c r="R41" s="3180">
        <f>E41</f>
        <v>0</v>
      </c>
      <c r="S41" s="3180"/>
      <c r="T41" s="3180">
        <f>G41</f>
        <v>0</v>
      </c>
      <c r="U41" s="3180"/>
      <c r="V41" s="3180">
        <f>I41</f>
        <v>0</v>
      </c>
      <c r="W41" s="318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76" t="str">
        <f>A43</f>
        <v>估价对象XX用房的比较价值（楼面单价，元/平方米）</v>
      </c>
      <c r="Q43" s="3177"/>
      <c r="R43" s="3178" t="e">
        <f>IF(F1="售价",ROUND(AVERAGE(R42:V42),0),ROUND(AVERAGE(R42:V42),1))</f>
        <v>#DIV/0!</v>
      </c>
      <c r="S43" s="3178"/>
      <c r="T43" s="3178"/>
      <c r="U43" s="3178"/>
      <c r="V43" s="3178"/>
      <c r="W43" s="317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2018年8月29日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0"/>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192" t="s">
        <v>2649</v>
      </c>
      <c r="AC4" s="3191" t="s">
        <v>2650</v>
      </c>
    </row>
    <row r="5" spans="1:29" ht="15">
      <c r="A5" s="404"/>
      <c r="B5" s="405"/>
      <c r="C5" s="3213" t="s">
        <v>2543</v>
      </c>
      <c r="D5" s="3214"/>
      <c r="E5" s="3220" t="s">
        <v>2544</v>
      </c>
      <c r="F5" s="3221"/>
      <c r="G5" s="3213" t="s">
        <v>2545</v>
      </c>
      <c r="H5" s="3214"/>
      <c r="I5" s="3213" t="s">
        <v>2546</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2547</v>
      </c>
      <c r="D6" s="3212"/>
      <c r="E6" s="3218" t="s">
        <v>2547</v>
      </c>
      <c r="F6" s="3219"/>
      <c r="G6" s="3211" t="s">
        <v>2547</v>
      </c>
      <c r="H6" s="3212"/>
      <c r="I6" s="3211" t="s">
        <v>2547</v>
      </c>
      <c r="J6" s="3212"/>
      <c r="K6" s="610" t="s">
        <v>2548</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2549</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5" t="s">
        <v>2550</v>
      </c>
      <c r="Q7" s="3217"/>
      <c r="R7" s="770" t="s">
        <v>17</v>
      </c>
      <c r="S7" s="771">
        <f t="shared" ref="S7:S14" si="0">F7</f>
        <v>0</v>
      </c>
      <c r="T7" s="770" t="s">
        <v>17</v>
      </c>
      <c r="U7" s="771">
        <f t="shared" ref="U7:U14" si="1">H7</f>
        <v>0</v>
      </c>
      <c r="V7" s="770" t="s">
        <v>17</v>
      </c>
      <c r="W7" s="771">
        <f t="shared" ref="W7:W14" si="2">J7</f>
        <v>0</v>
      </c>
      <c r="X7" s="772"/>
      <c r="Y7" s="3215" t="s">
        <v>2550</v>
      </c>
      <c r="Z7" s="321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5" t="s">
        <v>2553</v>
      </c>
      <c r="Q8" s="3216"/>
      <c r="R8" s="770" t="s">
        <v>17</v>
      </c>
      <c r="S8" s="771">
        <f t="shared" si="0"/>
        <v>0</v>
      </c>
      <c r="T8" s="770" t="s">
        <v>17</v>
      </c>
      <c r="U8" s="771">
        <f t="shared" si="1"/>
        <v>0</v>
      </c>
      <c r="V8" s="770" t="s">
        <v>17</v>
      </c>
      <c r="W8" s="771">
        <f t="shared" si="2"/>
        <v>0</v>
      </c>
      <c r="X8" s="772"/>
      <c r="Y8" s="3215" t="s">
        <v>2553</v>
      </c>
      <c r="Z8" s="321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9" t="s">
        <v>2556</v>
      </c>
      <c r="Q9" s="1798" t="str">
        <f t="shared" ref="Q9:Q14" si="6">B9</f>
        <v>用途</v>
      </c>
      <c r="R9" s="770" t="s">
        <v>17</v>
      </c>
      <c r="S9" s="771">
        <f t="shared" si="0"/>
        <v>100</v>
      </c>
      <c r="T9" s="770" t="s">
        <v>17</v>
      </c>
      <c r="U9" s="771">
        <f t="shared" si="1"/>
        <v>100</v>
      </c>
      <c r="V9" s="770" t="s">
        <v>17</v>
      </c>
      <c r="W9" s="771">
        <f t="shared" si="2"/>
        <v>100</v>
      </c>
      <c r="X9" s="772"/>
      <c r="Y9" s="300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99.75">
      <c r="A14" s="401" t="s">
        <v>2560</v>
      </c>
      <c r="B14" s="629" t="s">
        <v>2710</v>
      </c>
      <c r="C14" s="2699"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2561</v>
      </c>
      <c r="Q14" s="1813" t="str">
        <f t="shared" si="6"/>
        <v>交通便捷度</v>
      </c>
      <c r="R14" s="774" t="s">
        <v>17</v>
      </c>
      <c r="S14" s="775">
        <f t="shared" si="0"/>
        <v>100</v>
      </c>
      <c r="T14" s="774" t="s">
        <v>17</v>
      </c>
      <c r="U14" s="775">
        <f t="shared" si="1"/>
        <v>100</v>
      </c>
      <c r="V14" s="774" t="s">
        <v>17</v>
      </c>
      <c r="W14" s="775">
        <f t="shared" si="2"/>
        <v>100</v>
      </c>
      <c r="X14" s="1816"/>
      <c r="Y14" s="318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2"/>
      <c r="Q15" s="1813"/>
      <c r="R15" s="774"/>
      <c r="S15" s="775"/>
      <c r="T15" s="774"/>
      <c r="U15" s="775"/>
      <c r="V15" s="774"/>
      <c r="W15" s="775"/>
      <c r="X15" s="1816"/>
      <c r="Y15" s="3182"/>
      <c r="Z15" s="1817"/>
      <c r="AA15" s="1814">
        <v>1</v>
      </c>
      <c r="AB15" s="1814">
        <v>1</v>
      </c>
      <c r="AC15" s="1814">
        <v>1</v>
      </c>
    </row>
    <row r="16" spans="1:29" ht="99.75">
      <c r="A16" s="404"/>
      <c r="B16" s="631" t="s">
        <v>2689</v>
      </c>
      <c r="C16" s="2613"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82"/>
      <c r="Q17" s="1813"/>
      <c r="R17" s="774"/>
      <c r="S17" s="775"/>
      <c r="T17" s="774"/>
      <c r="U17" s="775"/>
      <c r="V17" s="774"/>
      <c r="W17" s="775"/>
      <c r="X17" s="1816"/>
      <c r="Y17" s="3182"/>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82"/>
      <c r="Q19" s="1813"/>
      <c r="R19" s="774"/>
      <c r="S19" s="775"/>
      <c r="T19" s="774"/>
      <c r="U19" s="775"/>
      <c r="V19" s="774"/>
      <c r="W19" s="775"/>
      <c r="X19" s="1816"/>
      <c r="Y19" s="3182"/>
      <c r="Z19" s="1817"/>
      <c r="AA19" s="1814">
        <v>1</v>
      </c>
      <c r="AB19" s="1814">
        <v>1</v>
      </c>
      <c r="AC19" s="1814">
        <v>1</v>
      </c>
    </row>
    <row r="20" spans="1:29" ht="99.75">
      <c r="A20" s="404"/>
      <c r="B20" s="631" t="s">
        <v>2711</v>
      </c>
      <c r="C20" s="2613"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2"/>
      <c r="Q21" s="1813"/>
      <c r="R21" s="774"/>
      <c r="S21" s="775"/>
      <c r="T21" s="774"/>
      <c r="U21" s="775"/>
      <c r="V21" s="774"/>
      <c r="W21" s="775"/>
      <c r="X21" s="1816"/>
      <c r="Y21" s="318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3">
        <f t="shared" ref="Q24:Q36"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3" t="str">
        <f t="shared" si="11"/>
        <v>公共部分装修</v>
      </c>
      <c r="R28" s="774" t="s">
        <v>17</v>
      </c>
      <c r="S28" s="775">
        <f t="shared" si="12"/>
        <v>100</v>
      </c>
      <c r="T28" s="774" t="s">
        <v>17</v>
      </c>
      <c r="U28" s="775">
        <f t="shared" si="13"/>
        <v>100</v>
      </c>
      <c r="V28" s="774" t="s">
        <v>17</v>
      </c>
      <c r="W28" s="775">
        <f t="shared" si="14"/>
        <v>100</v>
      </c>
      <c r="X28" s="1816"/>
      <c r="Y28" s="318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3" t="str">
        <f t="shared" si="11"/>
        <v>成新率</v>
      </c>
      <c r="R29" s="774" t="s">
        <v>17</v>
      </c>
      <c r="S29" s="775" t="e">
        <f t="shared" si="12"/>
        <v>#N/A</v>
      </c>
      <c r="T29" s="774" t="s">
        <v>17</v>
      </c>
      <c r="U29" s="775" t="e">
        <f t="shared" si="13"/>
        <v>#N/A</v>
      </c>
      <c r="V29" s="774" t="s">
        <v>17</v>
      </c>
      <c r="W29" s="775" t="e">
        <f t="shared" si="14"/>
        <v>#N/A</v>
      </c>
      <c r="X29" s="1816"/>
      <c r="Y29" s="318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3" t="str">
        <f t="shared" si="11"/>
        <v>物业等级</v>
      </c>
      <c r="R30" s="774" t="s">
        <v>17</v>
      </c>
      <c r="S30" s="775">
        <f t="shared" si="12"/>
        <v>100</v>
      </c>
      <c r="T30" s="774" t="s">
        <v>17</v>
      </c>
      <c r="U30" s="775">
        <f t="shared" si="13"/>
        <v>100</v>
      </c>
      <c r="V30" s="774" t="s">
        <v>17</v>
      </c>
      <c r="W30" s="775">
        <f t="shared" si="14"/>
        <v>100</v>
      </c>
      <c r="X30" s="1816"/>
      <c r="Y30" s="318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8"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2566</v>
      </c>
      <c r="Q32" s="1813" t="str">
        <f t="shared" si="11"/>
        <v>车位类型</v>
      </c>
      <c r="R32" s="774" t="s">
        <v>17</v>
      </c>
      <c r="S32" s="775">
        <f t="shared" si="12"/>
        <v>100</v>
      </c>
      <c r="T32" s="774" t="s">
        <v>17</v>
      </c>
      <c r="U32" s="775">
        <f t="shared" si="13"/>
        <v>100</v>
      </c>
      <c r="V32" s="774" t="s">
        <v>17</v>
      </c>
      <c r="W32" s="775">
        <f t="shared" si="14"/>
        <v>100</v>
      </c>
      <c r="X32" s="1816"/>
      <c r="Y32" s="318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3" t="str">
        <f t="shared" si="11"/>
        <v>是否直接入户</v>
      </c>
      <c r="R33" s="774" t="s">
        <v>17</v>
      </c>
      <c r="S33" s="775">
        <f t="shared" si="12"/>
        <v>100</v>
      </c>
      <c r="T33" s="774" t="s">
        <v>17</v>
      </c>
      <c r="U33" s="775">
        <f t="shared" si="13"/>
        <v>100</v>
      </c>
      <c r="V33" s="774" t="s">
        <v>17</v>
      </c>
      <c r="W33" s="775">
        <f t="shared" si="14"/>
        <v>100</v>
      </c>
      <c r="X33" s="1816"/>
      <c r="Y33" s="318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3">
        <f t="shared" si="11"/>
        <v>111</v>
      </c>
      <c r="R36" s="774" t="s">
        <v>17</v>
      </c>
      <c r="S36" s="775">
        <f t="shared" si="12"/>
        <v>100</v>
      </c>
      <c r="T36" s="774" t="s">
        <v>17</v>
      </c>
      <c r="U36" s="775">
        <f t="shared" si="13"/>
        <v>100</v>
      </c>
      <c r="V36" s="774" t="s">
        <v>17</v>
      </c>
      <c r="W36" s="775">
        <f t="shared" si="14"/>
        <v>100</v>
      </c>
      <c r="X36" s="1816"/>
      <c r="Y36" s="3186"/>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79" t="str">
        <f>A37</f>
        <v>成交单价</v>
      </c>
      <c r="Q37" s="3179"/>
      <c r="R37" s="3180">
        <f>E37</f>
        <v>0</v>
      </c>
      <c r="S37" s="3180"/>
      <c r="T37" s="3180">
        <f>G37</f>
        <v>0</v>
      </c>
      <c r="U37" s="3180"/>
      <c r="V37" s="3180">
        <f>I37</f>
        <v>0</v>
      </c>
      <c r="W37" s="318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76" t="str">
        <f>A39</f>
        <v>估价对象XX用房的比较价值（楼面单价，元/平方米）</v>
      </c>
      <c r="Q39" s="3177"/>
      <c r="R39" s="3178" t="e">
        <f>IF(F1="售价",ROUND(AVERAGE(R38:V38),0),ROUND(AVERAGE(R38:V38),1))</f>
        <v>#DIV/0!</v>
      </c>
      <c r="S39" s="3178"/>
      <c r="T39" s="3178"/>
      <c r="U39" s="3178"/>
      <c r="V39" s="3178"/>
      <c r="W39" s="317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192" t="s">
        <v>2649</v>
      </c>
      <c r="AC4" s="3191" t="s">
        <v>2650</v>
      </c>
    </row>
    <row r="5" spans="1:29" ht="15">
      <c r="A5" s="404"/>
      <c r="B5" s="405"/>
      <c r="C5" s="3213" t="s">
        <v>2543</v>
      </c>
      <c r="D5" s="3214"/>
      <c r="E5" s="3220" t="s">
        <v>2544</v>
      </c>
      <c r="F5" s="3221"/>
      <c r="G5" s="3213" t="s">
        <v>2545</v>
      </c>
      <c r="H5" s="3214"/>
      <c r="I5" s="3213" t="s">
        <v>2546</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2547</v>
      </c>
      <c r="D6" s="3212"/>
      <c r="E6" s="3218" t="s">
        <v>2547</v>
      </c>
      <c r="F6" s="3219"/>
      <c r="G6" s="3211" t="s">
        <v>2547</v>
      </c>
      <c r="H6" s="3212"/>
      <c r="I6" s="3211" t="s">
        <v>2547</v>
      </c>
      <c r="J6" s="3212"/>
      <c r="K6" s="610" t="s">
        <v>2548</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2549</v>
      </c>
      <c r="B7" s="409"/>
      <c r="C7" s="410">
        <f>'数据-取费表'!B2</f>
        <v>43341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15" t="s">
        <v>2550</v>
      </c>
      <c r="Q7" s="3217"/>
      <c r="R7" s="770" t="s">
        <v>17</v>
      </c>
      <c r="S7" s="771">
        <f t="shared" ref="S7:S14" si="0">F7</f>
        <v>0</v>
      </c>
      <c r="T7" s="770" t="s">
        <v>17</v>
      </c>
      <c r="U7" s="771">
        <f t="shared" ref="U7:U14" si="1">H7</f>
        <v>0</v>
      </c>
      <c r="V7" s="770" t="s">
        <v>17</v>
      </c>
      <c r="W7" s="771">
        <f t="shared" ref="W7:W14" si="2">J7</f>
        <v>0</v>
      </c>
      <c r="X7" s="772"/>
      <c r="Y7" s="3215" t="s">
        <v>2550</v>
      </c>
      <c r="Z7" s="321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5" t="s">
        <v>2553</v>
      </c>
      <c r="Q8" s="3216"/>
      <c r="R8" s="770" t="s">
        <v>17</v>
      </c>
      <c r="S8" s="771">
        <f t="shared" si="0"/>
        <v>0</v>
      </c>
      <c r="T8" s="770" t="s">
        <v>17</v>
      </c>
      <c r="U8" s="771">
        <f t="shared" si="1"/>
        <v>0</v>
      </c>
      <c r="V8" s="770" t="s">
        <v>17</v>
      </c>
      <c r="W8" s="771">
        <f t="shared" si="2"/>
        <v>0</v>
      </c>
      <c r="X8" s="772"/>
      <c r="Y8" s="3215" t="s">
        <v>2553</v>
      </c>
      <c r="Z8" s="321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9" t="s">
        <v>2556</v>
      </c>
      <c r="Q9" s="1798" t="str">
        <f t="shared" ref="Q9:Q14" si="6">B9</f>
        <v>用途</v>
      </c>
      <c r="R9" s="770" t="s">
        <v>17</v>
      </c>
      <c r="S9" s="771">
        <f t="shared" si="0"/>
        <v>100</v>
      </c>
      <c r="T9" s="770" t="s">
        <v>17</v>
      </c>
      <c r="U9" s="771">
        <f t="shared" si="1"/>
        <v>100</v>
      </c>
      <c r="V9" s="770" t="s">
        <v>17</v>
      </c>
      <c r="W9" s="771">
        <f t="shared" si="2"/>
        <v>100</v>
      </c>
      <c r="X9" s="772"/>
      <c r="Y9" s="300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99.75">
      <c r="A14" s="440" t="s">
        <v>2560</v>
      </c>
      <c r="B14" s="69" t="s">
        <v>2710</v>
      </c>
      <c r="C14" s="2699"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2561</v>
      </c>
      <c r="Q14" s="1813" t="str">
        <f t="shared" si="6"/>
        <v>交通便捷度</v>
      </c>
      <c r="R14" s="774" t="s">
        <v>17</v>
      </c>
      <c r="S14" s="775">
        <f t="shared" si="0"/>
        <v>100</v>
      </c>
      <c r="T14" s="774" t="s">
        <v>17</v>
      </c>
      <c r="U14" s="775">
        <f t="shared" si="1"/>
        <v>100</v>
      </c>
      <c r="V14" s="774" t="s">
        <v>17</v>
      </c>
      <c r="W14" s="775">
        <f t="shared" si="2"/>
        <v>100</v>
      </c>
      <c r="X14" s="1816"/>
      <c r="Y14" s="318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2"/>
      <c r="Q15" s="1813"/>
      <c r="R15" s="774"/>
      <c r="S15" s="775"/>
      <c r="T15" s="774"/>
      <c r="U15" s="775"/>
      <c r="V15" s="774"/>
      <c r="W15" s="775"/>
      <c r="X15" s="1816"/>
      <c r="Y15" s="3182"/>
      <c r="Z15" s="1817"/>
      <c r="AA15" s="1814">
        <v>1</v>
      </c>
      <c r="AB15" s="1814">
        <v>1</v>
      </c>
      <c r="AC15" s="1814">
        <v>1</v>
      </c>
    </row>
    <row r="16" spans="1:29" ht="99.75">
      <c r="A16" s="428"/>
      <c r="B16" s="451" t="s">
        <v>2689</v>
      </c>
      <c r="C16" s="2613"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82"/>
      <c r="Q17" s="1813"/>
      <c r="R17" s="774"/>
      <c r="S17" s="775"/>
      <c r="T17" s="774"/>
      <c r="U17" s="775"/>
      <c r="V17" s="774"/>
      <c r="W17" s="775"/>
      <c r="X17" s="1816"/>
      <c r="Y17" s="3182"/>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82"/>
      <c r="Q19" s="1813"/>
      <c r="R19" s="774"/>
      <c r="S19" s="775"/>
      <c r="T19" s="774"/>
      <c r="U19" s="775"/>
      <c r="V19" s="774"/>
      <c r="W19" s="775"/>
      <c r="X19" s="1816"/>
      <c r="Y19" s="3182"/>
      <c r="Z19" s="1817"/>
      <c r="AA19" s="1814">
        <v>1</v>
      </c>
      <c r="AB19" s="1814">
        <v>1</v>
      </c>
      <c r="AC19" s="1814">
        <v>1</v>
      </c>
    </row>
    <row r="20" spans="1:29" ht="99.75">
      <c r="A20" s="428"/>
      <c r="B20" s="451" t="s">
        <v>2711</v>
      </c>
      <c r="C20" s="2613"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2"/>
      <c r="Q21" s="1813"/>
      <c r="R21" s="774"/>
      <c r="S21" s="775"/>
      <c r="T21" s="774"/>
      <c r="U21" s="775"/>
      <c r="V21" s="774"/>
      <c r="W21" s="775"/>
      <c r="X21" s="1816"/>
      <c r="Y21" s="318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3">
        <f t="shared" ref="Q24:Q34"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3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3" t="str">
        <f t="shared" si="11"/>
        <v>物业等级</v>
      </c>
      <c r="R28" s="774" t="s">
        <v>17</v>
      </c>
      <c r="S28" s="775">
        <f t="shared" si="12"/>
        <v>100</v>
      </c>
      <c r="T28" s="774" t="s">
        <v>17</v>
      </c>
      <c r="U28" s="775">
        <f t="shared" si="13"/>
        <v>100</v>
      </c>
      <c r="V28" s="774" t="s">
        <v>17</v>
      </c>
      <c r="W28" s="775">
        <f t="shared" si="14"/>
        <v>100</v>
      </c>
      <c r="X28" s="1816"/>
      <c r="Y28" s="318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3" t="str">
        <f t="shared" si="11"/>
        <v>有无电梯</v>
      </c>
      <c r="R29" s="774" t="s">
        <v>17</v>
      </c>
      <c r="S29" s="775">
        <f t="shared" si="12"/>
        <v>100</v>
      </c>
      <c r="T29" s="774" t="s">
        <v>17</v>
      </c>
      <c r="U29" s="775">
        <f t="shared" si="13"/>
        <v>100</v>
      </c>
      <c r="V29" s="774" t="s">
        <v>17</v>
      </c>
      <c r="W29" s="775">
        <f t="shared" si="14"/>
        <v>100</v>
      </c>
      <c r="X29" s="1816"/>
      <c r="Y29" s="318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3" t="str">
        <f t="shared" si="11"/>
        <v>建筑面积</v>
      </c>
      <c r="R30" s="774" t="s">
        <v>17</v>
      </c>
      <c r="S30" s="775" t="e">
        <f t="shared" si="12"/>
        <v>#N/A</v>
      </c>
      <c r="T30" s="774" t="s">
        <v>17</v>
      </c>
      <c r="U30" s="775" t="e">
        <f t="shared" si="13"/>
        <v>#N/A</v>
      </c>
      <c r="V30" s="774" t="s">
        <v>17</v>
      </c>
      <c r="W30" s="775" t="e">
        <f t="shared" si="14"/>
        <v>#N/A</v>
      </c>
      <c r="X30" s="1816"/>
      <c r="Y30" s="318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8"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2566</v>
      </c>
      <c r="Q32" s="1813">
        <f t="shared" si="11"/>
        <v>111</v>
      </c>
      <c r="R32" s="774" t="s">
        <v>17</v>
      </c>
      <c r="S32" s="775">
        <f t="shared" si="12"/>
        <v>100</v>
      </c>
      <c r="T32" s="774" t="s">
        <v>17</v>
      </c>
      <c r="U32" s="775">
        <f t="shared" si="13"/>
        <v>100</v>
      </c>
      <c r="V32" s="774" t="s">
        <v>17</v>
      </c>
      <c r="W32" s="775">
        <f t="shared" si="14"/>
        <v>100</v>
      </c>
      <c r="X32" s="1816"/>
      <c r="Y32" s="3186"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3">
        <f t="shared" si="11"/>
        <v>111</v>
      </c>
      <c r="R33" s="774" t="s">
        <v>17</v>
      </c>
      <c r="S33" s="775">
        <f t="shared" si="12"/>
        <v>100</v>
      </c>
      <c r="T33" s="774" t="s">
        <v>17</v>
      </c>
      <c r="U33" s="775">
        <f t="shared" si="13"/>
        <v>100</v>
      </c>
      <c r="V33" s="774" t="s">
        <v>17</v>
      </c>
      <c r="W33" s="775">
        <f t="shared" si="14"/>
        <v>100</v>
      </c>
      <c r="X33" s="1816"/>
      <c r="Y33" s="318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9" t="str">
        <f>A35</f>
        <v>成交单价（元/平方米）</v>
      </c>
      <c r="Q35" s="3179"/>
      <c r="R35" s="3180">
        <f>E35</f>
        <v>0</v>
      </c>
      <c r="S35" s="3180"/>
      <c r="T35" s="3180">
        <f>G35</f>
        <v>0</v>
      </c>
      <c r="U35" s="3180"/>
      <c r="V35" s="3180">
        <f>I35</f>
        <v>0</v>
      </c>
      <c r="W35" s="318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76" t="str">
        <f>A37</f>
        <v>估价对象XX用房的比较价值（楼面单价，元/平方米）</v>
      </c>
      <c r="Q37" s="3177"/>
      <c r="R37" s="3178" t="e">
        <f>IF(F1="售价",ROUND(AVERAGE(R36:V36),0),ROUND(AVERAGE(R36:V36),1))</f>
        <v>#DIV/0!</v>
      </c>
      <c r="S37" s="3178"/>
      <c r="T37" s="3178"/>
      <c r="U37" s="3178"/>
      <c r="V37" s="3178"/>
      <c r="W37" s="317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70" zoomScaleNormal="70" workbookViewId="0">
      <selection activeCell="F25" sqref="F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7802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2016</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192" t="s">
        <v>2649</v>
      </c>
      <c r="AC4" s="3191" t="s">
        <v>2650</v>
      </c>
    </row>
    <row r="5" spans="1:30" ht="15">
      <c r="A5" s="404"/>
      <c r="B5" s="405"/>
      <c r="C5" s="3213" t="s">
        <v>2543</v>
      </c>
      <c r="D5" s="3214"/>
      <c r="E5" s="3220" t="str">
        <f>Sheet1!A3</f>
        <v>观山湖区宾阳大道与体育路交叉口西南、西北两侧</v>
      </c>
      <c r="F5" s="3221"/>
      <c r="G5" s="3213" t="str">
        <f>Sheet1!A4</f>
        <v>观山湖区宾阳大道与体育路交叉口西南、西北两侧</v>
      </c>
      <c r="H5" s="3214"/>
      <c r="I5" s="3213" t="str">
        <f>Sheet1!A6</f>
        <v>观山西路南侧,云潭南路西侧</v>
      </c>
      <c r="J5" s="3214"/>
      <c r="K5" s="610"/>
      <c r="L5" s="1133"/>
      <c r="M5" s="1134"/>
      <c r="N5" s="1134"/>
      <c r="O5" s="1134"/>
      <c r="P5" s="3200"/>
      <c r="Q5" s="3201"/>
      <c r="R5" s="3206"/>
      <c r="S5" s="3207"/>
      <c r="T5" s="3206"/>
      <c r="U5" s="3207"/>
      <c r="V5" s="3210"/>
      <c r="W5" s="3210"/>
      <c r="X5" s="1816"/>
      <c r="Y5" s="3206"/>
      <c r="Z5" s="3207"/>
      <c r="AA5" s="3192"/>
      <c r="AB5" s="3192"/>
      <c r="AC5" s="3192"/>
    </row>
    <row r="6" spans="1:30" ht="15.75" thickBot="1">
      <c r="A6" s="406"/>
      <c r="B6" s="407"/>
      <c r="C6" s="3211" t="s">
        <v>2547</v>
      </c>
      <c r="D6" s="3212"/>
      <c r="E6" s="3218" t="s">
        <v>2547</v>
      </c>
      <c r="F6" s="3219"/>
      <c r="G6" s="3211" t="s">
        <v>2547</v>
      </c>
      <c r="H6" s="3212"/>
      <c r="I6" s="3211" t="s">
        <v>2547</v>
      </c>
      <c r="J6" s="3212"/>
      <c r="K6" s="610" t="s">
        <v>2548</v>
      </c>
      <c r="L6" s="1133"/>
      <c r="M6" s="1134"/>
      <c r="N6" s="1134"/>
      <c r="O6" s="1134"/>
      <c r="P6" s="3202"/>
      <c r="Q6" s="3203"/>
      <c r="R6" s="3206"/>
      <c r="S6" s="3207"/>
      <c r="T6" s="3208"/>
      <c r="U6" s="3209"/>
      <c r="V6" s="3210"/>
      <c r="W6" s="3210"/>
      <c r="X6" s="1816"/>
      <c r="Y6" s="3208"/>
      <c r="Z6" s="3209"/>
      <c r="AA6" s="3193"/>
      <c r="AB6" s="3193"/>
      <c r="AC6" s="3193"/>
    </row>
    <row r="7" spans="1:30" s="117" customFormat="1" ht="15.75" thickBot="1">
      <c r="A7" s="408" t="s">
        <v>2549</v>
      </c>
      <c r="B7" s="409"/>
      <c r="C7" s="410">
        <f>'数据-取费表'!B2</f>
        <v>43341</v>
      </c>
      <c r="D7" s="411">
        <v>100</v>
      </c>
      <c r="E7" s="412" t="str">
        <f>Sheet1!H3</f>
        <v>2018-02-07</v>
      </c>
      <c r="F7" s="413">
        <f>SUMIF(70:70,YEAR(E7)&amp;"-"&amp;INT((MONTH(E7)+2)/3),71:71)</f>
        <v>98</v>
      </c>
      <c r="G7" s="2702" t="str">
        <f>Sheet1!H4</f>
        <v>2018-02-07</v>
      </c>
      <c r="H7" s="411">
        <f>SUMIF(70:70,YEAR(G7)&amp;"-"&amp;INT((MONTH(G7)+2)/3),71:71)</f>
        <v>98</v>
      </c>
      <c r="I7" s="2702" t="str">
        <f>Sheet1!H6</f>
        <v>2017-07-28</v>
      </c>
      <c r="J7" s="411">
        <f>SUMIF(70:70,YEAR(I7)&amp;"-"&amp;INT((MONTH(I7)+2)/3),71:71)</f>
        <v>96</v>
      </c>
      <c r="K7" s="611"/>
      <c r="L7" s="1135"/>
      <c r="M7" s="1136"/>
      <c r="N7" s="1136"/>
      <c r="O7" s="1136"/>
      <c r="P7" s="3215" t="s">
        <v>2550</v>
      </c>
      <c r="Q7" s="3217"/>
      <c r="R7" s="770" t="s">
        <v>17</v>
      </c>
      <c r="S7" s="771">
        <f t="shared" ref="S7:S15" si="0">F7</f>
        <v>98</v>
      </c>
      <c r="T7" s="770" t="s">
        <v>17</v>
      </c>
      <c r="U7" s="771">
        <f t="shared" ref="U7:U15" si="1">H7</f>
        <v>98</v>
      </c>
      <c r="V7" s="770" t="s">
        <v>17</v>
      </c>
      <c r="W7" s="771">
        <f t="shared" ref="W7:W15" si="2">J7</f>
        <v>96</v>
      </c>
      <c r="X7" s="772"/>
      <c r="Y7" s="3215" t="s">
        <v>2550</v>
      </c>
      <c r="Z7" s="3216"/>
      <c r="AA7" s="773">
        <f>D7/F7</f>
        <v>1.0204081632653061</v>
      </c>
      <c r="AB7" s="773">
        <f>D7/H7</f>
        <v>1.0204081632653061</v>
      </c>
      <c r="AC7" s="773">
        <f>D7/J7</f>
        <v>1.0416666666666667</v>
      </c>
    </row>
    <row r="8" spans="1:30" s="117" customFormat="1" ht="15.75" thickBot="1">
      <c r="A8" s="408" t="s">
        <v>2551</v>
      </c>
      <c r="B8" s="409"/>
      <c r="C8" s="414" t="s">
        <v>2552</v>
      </c>
      <c r="D8" s="411">
        <v>100</v>
      </c>
      <c r="E8" s="2950" t="s">
        <v>3127</v>
      </c>
      <c r="F8" s="413">
        <f>SUMIF(73:73,E8,74:74)-SUMIF(73:73,C8,74:74)+100</f>
        <v>100</v>
      </c>
      <c r="G8" s="2950" t="s">
        <v>3127</v>
      </c>
      <c r="H8" s="411">
        <f>SUMIF(73:73,G8,74:74)-SUMIF(73:73,C8,74:74)+100</f>
        <v>100</v>
      </c>
      <c r="I8" s="2950" t="s">
        <v>3127</v>
      </c>
      <c r="J8" s="411">
        <f>SUMIF(73:73,I8,74:74)-SUMIF(73:73,C8,74:74)+100</f>
        <v>100</v>
      </c>
      <c r="K8" s="611"/>
      <c r="L8" s="1135"/>
      <c r="M8" s="1136"/>
      <c r="N8" s="1136"/>
      <c r="O8" s="1136"/>
      <c r="P8" s="3215" t="s">
        <v>2553</v>
      </c>
      <c r="Q8" s="3216"/>
      <c r="R8" s="770" t="s">
        <v>17</v>
      </c>
      <c r="S8" s="771">
        <f t="shared" si="0"/>
        <v>100</v>
      </c>
      <c r="T8" s="770" t="s">
        <v>17</v>
      </c>
      <c r="U8" s="771">
        <f t="shared" si="1"/>
        <v>100</v>
      </c>
      <c r="V8" s="770" t="s">
        <v>17</v>
      </c>
      <c r="W8" s="771">
        <f t="shared" si="2"/>
        <v>100</v>
      </c>
      <c r="X8" s="772"/>
      <c r="Y8" s="3215" t="s">
        <v>2553</v>
      </c>
      <c r="Z8" s="3216"/>
      <c r="AA8" s="773">
        <f t="shared" ref="AA8:AA45" si="3">D8/F8</f>
        <v>1</v>
      </c>
      <c r="AB8" s="773">
        <f t="shared" ref="AB8:AB45" si="4">D8/H8</f>
        <v>1</v>
      </c>
      <c r="AC8" s="773">
        <f t="shared" ref="AC8:AC45" si="5">D8/J8</f>
        <v>1</v>
      </c>
    </row>
    <row r="9" spans="1:30" s="117" customFormat="1">
      <c r="A9" s="415" t="s">
        <v>2554</v>
      </c>
      <c r="B9" s="71" t="s">
        <v>2555</v>
      </c>
      <c r="C9" s="2951" t="s">
        <v>3128</v>
      </c>
      <c r="D9" s="135">
        <v>100</v>
      </c>
      <c r="E9" s="2951" t="s">
        <v>3128</v>
      </c>
      <c r="F9" s="135">
        <f>SUMIF(75:75,E9,76:76)-SUMIF(75:75,C9,76:76)+100</f>
        <v>100</v>
      </c>
      <c r="G9" s="2951" t="s">
        <v>3128</v>
      </c>
      <c r="H9" s="135">
        <f>SUMIF(75:75,G9,76:76)-SUMIF(75:75,C9,76:76)+100</f>
        <v>100</v>
      </c>
      <c r="I9" s="2951" t="s">
        <v>3128</v>
      </c>
      <c r="J9" s="135">
        <f>SUMIF(75:75,I9,76:76)-SUMIF(75:75,C9,76:76)+100</f>
        <v>100</v>
      </c>
      <c r="K9" s="611"/>
      <c r="L9" s="1135"/>
      <c r="M9" s="1136"/>
      <c r="N9" s="1136"/>
      <c r="O9" s="1137"/>
      <c r="P9" s="3179"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179"/>
      <c r="Q10" s="1798" t="str">
        <f t="shared" si="6"/>
        <v>土地使用年限（年）</v>
      </c>
      <c r="R10" s="770" t="s">
        <v>17</v>
      </c>
      <c r="S10" s="771">
        <f t="shared" si="0"/>
        <v>116</v>
      </c>
      <c r="T10" s="770" t="s">
        <v>17</v>
      </c>
      <c r="U10" s="771">
        <f t="shared" si="1"/>
        <v>116</v>
      </c>
      <c r="V10" s="770" t="s">
        <v>17</v>
      </c>
      <c r="W10" s="771">
        <f t="shared" si="2"/>
        <v>116</v>
      </c>
      <c r="X10" s="772"/>
      <c r="Y10" s="3004"/>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79"/>
      <c r="Q11" s="1798" t="str">
        <f t="shared" si="6"/>
        <v>容积率</v>
      </c>
      <c r="R11" s="770" t="s">
        <v>17</v>
      </c>
      <c r="S11" s="771">
        <f t="shared" si="0"/>
        <v>100</v>
      </c>
      <c r="T11" s="770" t="s">
        <v>17</v>
      </c>
      <c r="U11" s="771">
        <f t="shared" si="1"/>
        <v>100</v>
      </c>
      <c r="V11" s="770" t="s">
        <v>17</v>
      </c>
      <c r="W11" s="771">
        <f t="shared" si="2"/>
        <v>94</v>
      </c>
      <c r="X11" s="772"/>
      <c r="Y11" s="3004"/>
      <c r="Z11" s="55" t="str">
        <f t="shared" si="7"/>
        <v>容积率</v>
      </c>
      <c r="AA11" s="773">
        <f t="shared" si="3"/>
        <v>1</v>
      </c>
      <c r="AB11" s="773">
        <f t="shared" si="4"/>
        <v>1</v>
      </c>
      <c r="AC11" s="773">
        <f t="shared" si="5"/>
        <v>1.0638297872340425</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9"/>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9.75" hidden="1">
      <c r="A15" s="440" t="s">
        <v>2560</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1" t="s">
        <v>2561</v>
      </c>
      <c r="Q15" s="1813" t="str">
        <f t="shared" si="6"/>
        <v>居住社区成熟度</v>
      </c>
      <c r="R15" s="774" t="s">
        <v>17</v>
      </c>
      <c r="S15" s="775">
        <f t="shared" si="0"/>
        <v>100</v>
      </c>
      <c r="T15" s="774" t="s">
        <v>17</v>
      </c>
      <c r="U15" s="775">
        <f t="shared" si="1"/>
        <v>100</v>
      </c>
      <c r="V15" s="774" t="s">
        <v>17</v>
      </c>
      <c r="W15" s="775">
        <f t="shared" si="2"/>
        <v>100</v>
      </c>
      <c r="X15" s="1816"/>
      <c r="Y15" s="3181" t="s">
        <v>2561</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94.5">
      <c r="A17" s="428"/>
      <c r="B17" s="451" t="s">
        <v>2654</v>
      </c>
      <c r="C17" s="2670" t="str">
        <f>估价对象房地状况!C16</f>
        <v>周边有旺角汇、东方广场等购物场所，商业氛围较成熟，人流量较大，商业繁华度较好</v>
      </c>
      <c r="D17" s="450">
        <v>100</v>
      </c>
      <c r="E17" s="2956" t="s">
        <v>3147</v>
      </c>
      <c r="F17" s="450">
        <f>SUMIF(90:90,E18,91:91)-SUMIF(90:90,C18,91:91)+100</f>
        <v>100</v>
      </c>
      <c r="G17" s="452"/>
      <c r="H17" s="455">
        <f>SUMIF(90:90,G18,91:91)-SUMIF(90:90,C18,91:91)+100</f>
        <v>100</v>
      </c>
      <c r="I17" s="454"/>
      <c r="J17" s="455">
        <f>SUMIF(90:90,I18,91:91)-SUMIF(90:90,C18,91:91)+100</f>
        <v>100</v>
      </c>
      <c r="K17" s="673"/>
      <c r="L17" s="1143"/>
      <c r="M17" s="1134"/>
      <c r="N17" s="1134"/>
      <c r="O17" s="1142"/>
      <c r="P17" s="3182"/>
      <c r="Q17" s="1813" t="str">
        <f>B17</f>
        <v>商业繁华度</v>
      </c>
      <c r="R17" s="774" t="s">
        <v>17</v>
      </c>
      <c r="S17" s="775">
        <f>F17</f>
        <v>100</v>
      </c>
      <c r="T17" s="774" t="s">
        <v>17</v>
      </c>
      <c r="U17" s="775">
        <f>H17</f>
        <v>100</v>
      </c>
      <c r="V17" s="774" t="s">
        <v>17</v>
      </c>
      <c r="W17" s="775">
        <f>J17</f>
        <v>100</v>
      </c>
      <c r="X17" s="1816"/>
      <c r="Y17" s="318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94.5">
      <c r="A19" s="428"/>
      <c r="B19" s="451" t="s">
        <v>2688</v>
      </c>
      <c r="C19" s="2670" t="str">
        <f>估价对象房地状况!C17</f>
        <v>周边办公楼项目较多，有贵州金融城、贵阳富力中心等，入驻率较高，办公集聚程度较好</v>
      </c>
      <c r="D19" s="455">
        <v>100</v>
      </c>
      <c r="E19" s="2957" t="s">
        <v>3152</v>
      </c>
      <c r="F19" s="455">
        <f>SUMIF(92:92,E20,93:93)-SUMIF(92:92,C20,93:93)+100</f>
        <v>100</v>
      </c>
      <c r="G19" s="457"/>
      <c r="H19" s="450">
        <f>SUMIF(92:92,G20,93:93)-SUMIF(92:92,C20,93:93)+100</f>
        <v>100</v>
      </c>
      <c r="I19" s="459"/>
      <c r="J19" s="450">
        <f>SUMIF(92:92,I20,93:93)-SUMIF(92:92,C20,93:93)+100</f>
        <v>100</v>
      </c>
      <c r="K19" s="673"/>
      <c r="L19" s="1143"/>
      <c r="M19" s="1134"/>
      <c r="N19" s="1134"/>
      <c r="O19" s="1142"/>
      <c r="P19" s="3182"/>
      <c r="Q19" s="1813" t="str">
        <f>B19</f>
        <v>办公集聚程度</v>
      </c>
      <c r="R19" s="774" t="s">
        <v>17</v>
      </c>
      <c r="S19" s="775">
        <f>F19</f>
        <v>100</v>
      </c>
      <c r="T19" s="774" t="s">
        <v>17</v>
      </c>
      <c r="U19" s="775">
        <f>H19</f>
        <v>100</v>
      </c>
      <c r="V19" s="774" t="s">
        <v>17</v>
      </c>
      <c r="W19" s="775">
        <f>J19</f>
        <v>100</v>
      </c>
      <c r="X19" s="1816"/>
      <c r="Y19" s="318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82"/>
      <c r="Q20" s="1813"/>
      <c r="R20" s="774"/>
      <c r="S20" s="775"/>
      <c r="T20" s="774"/>
      <c r="U20" s="775"/>
      <c r="V20" s="774"/>
      <c r="W20" s="775"/>
      <c r="X20" s="1816"/>
      <c r="Y20" s="3182"/>
      <c r="Z20" s="1817"/>
      <c r="AA20" s="1814">
        <v>1</v>
      </c>
      <c r="AB20" s="1814">
        <v>1</v>
      </c>
      <c r="AC20" s="1814">
        <v>1</v>
      </c>
    </row>
    <row r="21" spans="1:29" ht="108.75">
      <c r="A21" s="428"/>
      <c r="B21" s="451" t="s">
        <v>2710</v>
      </c>
      <c r="C21" s="2613" t="str">
        <f>估价对象房地状况!C18</f>
        <v>临近云环路、南湖路，周边有周边有3路、18路、29路等公交线路，停车便捷度较好、综合评价交通便捷度较好</v>
      </c>
      <c r="D21" s="450">
        <v>100</v>
      </c>
      <c r="E21" s="452" t="s">
        <v>3148</v>
      </c>
      <c r="F21" s="455">
        <f>SUMIF(94:94,E22,95:95)-SUMIF(94:94,C22,95:95)+100</f>
        <v>100</v>
      </c>
      <c r="G21" s="452"/>
      <c r="H21" s="450">
        <f>SUMIF(94:94,G22,95:95)-SUMIF(94:94,C22,95:95)+100</f>
        <v>100</v>
      </c>
      <c r="I21" s="454"/>
      <c r="J21" s="450">
        <f>SUMIF(94:94,I22,95:95)-SUMIF(94:94,C22,95:95)+100</f>
        <v>100</v>
      </c>
      <c r="K21" s="673"/>
      <c r="L21" s="1143"/>
      <c r="M21" s="1134"/>
      <c r="N21" s="1134"/>
      <c r="O21" s="1142"/>
      <c r="P21" s="3182"/>
      <c r="Q21" s="1813" t="str">
        <f>B21</f>
        <v>交通便捷度</v>
      </c>
      <c r="R21" s="774" t="s">
        <v>17</v>
      </c>
      <c r="S21" s="775">
        <f>F21</f>
        <v>100</v>
      </c>
      <c r="T21" s="774" t="s">
        <v>17</v>
      </c>
      <c r="U21" s="775">
        <f>H21</f>
        <v>100</v>
      </c>
      <c r="V21" s="774" t="s">
        <v>17</v>
      </c>
      <c r="W21" s="775">
        <f>J21</f>
        <v>100</v>
      </c>
      <c r="X21" s="1816"/>
      <c r="Y21" s="318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2"/>
      <c r="Q23" s="1813" t="str">
        <f t="shared" ref="Q23:Q37" si="8">B23</f>
        <v>区域土地利用方向</v>
      </c>
      <c r="R23" s="774" t="s">
        <v>17</v>
      </c>
      <c r="S23" s="775">
        <f>F23</f>
        <v>100</v>
      </c>
      <c r="T23" s="774" t="s">
        <v>17</v>
      </c>
      <c r="U23" s="775">
        <f>H23</f>
        <v>100</v>
      </c>
      <c r="V23" s="774" t="s">
        <v>17</v>
      </c>
      <c r="W23" s="775">
        <f>J23</f>
        <v>100</v>
      </c>
      <c r="X23" s="1816"/>
      <c r="Y23" s="318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82"/>
      <c r="Q24" s="1813"/>
      <c r="R24" s="774"/>
      <c r="S24" s="775"/>
      <c r="T24" s="774"/>
      <c r="U24" s="775"/>
      <c r="V24" s="774"/>
      <c r="W24" s="775"/>
      <c r="X24" s="1816"/>
      <c r="Y24" s="3182"/>
      <c r="Z24" s="1817"/>
      <c r="AA24" s="1814"/>
      <c r="AB24" s="1814"/>
      <c r="AC24" s="1814"/>
    </row>
    <row r="25" spans="1:29" ht="108">
      <c r="A25" s="404"/>
      <c r="B25" s="1387" t="s">
        <v>2750</v>
      </c>
      <c r="C25" s="2670" t="str">
        <f>估价对象房地状况!C20</f>
        <v>区域内有泉湖公园，自然环境较好、有北京外国语大学，人文环境较好，综合评价自然及人文环境状况较好</v>
      </c>
      <c r="D25" s="450">
        <v>100</v>
      </c>
      <c r="E25" s="2956" t="s">
        <v>3149</v>
      </c>
      <c r="F25" s="450">
        <f>SUMIF(98:98,E26,99:99)-SUMIF(98:98,C26,99:99)+100</f>
        <v>100</v>
      </c>
      <c r="G25" s="452"/>
      <c r="H25" s="450">
        <f>SUMIF(98:98,G26,99:99)-SUMIF(98:98,C26,99:99)+100</f>
        <v>100</v>
      </c>
      <c r="I25" s="454"/>
      <c r="J25" s="450">
        <f>SUMIF(98:98,I26,99:99)-SUMIF(98:98,C26,99:99)+100</f>
        <v>100</v>
      </c>
      <c r="K25" s="673"/>
      <c r="L25" s="1143"/>
      <c r="M25" s="1134"/>
      <c r="N25" s="1134"/>
      <c r="O25" s="1142"/>
      <c r="P25" s="3182"/>
      <c r="Q25" s="1813" t="str">
        <f t="shared" si="8"/>
        <v>自然及人文环境状况</v>
      </c>
      <c r="R25" s="774" t="s">
        <v>17</v>
      </c>
      <c r="S25" s="775">
        <f>F25</f>
        <v>100</v>
      </c>
      <c r="T25" s="774" t="s">
        <v>17</v>
      </c>
      <c r="U25" s="775">
        <f>H25</f>
        <v>100</v>
      </c>
      <c r="V25" s="774" t="s">
        <v>17</v>
      </c>
      <c r="W25" s="775">
        <f>J25</f>
        <v>100</v>
      </c>
      <c r="X25" s="1816"/>
      <c r="Y25" s="318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82"/>
      <c r="Q26" s="1813"/>
      <c r="R26" s="774"/>
      <c r="S26" s="775"/>
      <c r="T26" s="774"/>
      <c r="U26" s="775"/>
      <c r="V26" s="774"/>
      <c r="W26" s="775"/>
      <c r="X26" s="1816"/>
      <c r="Y26" s="3182"/>
      <c r="Z26" s="1817"/>
      <c r="AA26" s="1814">
        <v>1</v>
      </c>
      <c r="AB26" s="1814">
        <v>1</v>
      </c>
      <c r="AC26" s="1814">
        <v>1</v>
      </c>
    </row>
    <row r="27" spans="1:29" s="117" customFormat="1" ht="99.75">
      <c r="A27" s="649"/>
      <c r="B27" s="1387" t="s">
        <v>2655</v>
      </c>
      <c r="C27" s="2613" t="str">
        <f>估价对象房地状况!C21</f>
        <v>周边有旺角汇、中国交通银行、观山湖区外国语实验小学、贵阳市白云区第一人民医院，公共配套设施较齐备</v>
      </c>
      <c r="D27" s="450">
        <v>100</v>
      </c>
      <c r="E27" s="2956" t="s">
        <v>3150</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2"/>
      <c r="Q27" s="1798" t="str">
        <f t="shared" si="8"/>
        <v>公共配套设施</v>
      </c>
      <c r="R27" s="770" t="s">
        <v>17</v>
      </c>
      <c r="S27" s="771">
        <f>F27</f>
        <v>100</v>
      </c>
      <c r="T27" s="770" t="s">
        <v>17</v>
      </c>
      <c r="U27" s="771">
        <f>H27</f>
        <v>100</v>
      </c>
      <c r="V27" s="770" t="s">
        <v>17</v>
      </c>
      <c r="W27" s="771">
        <f>J27</f>
        <v>100</v>
      </c>
      <c r="X27" s="772"/>
      <c r="Y27" s="318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82"/>
      <c r="Q28" s="1798"/>
      <c r="R28" s="770"/>
      <c r="S28" s="771"/>
      <c r="T28" s="770"/>
      <c r="U28" s="771"/>
      <c r="V28" s="770"/>
      <c r="W28" s="771"/>
      <c r="X28" s="772"/>
      <c r="Y28" s="3182"/>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2"/>
      <c r="Q29" s="1798"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82"/>
      <c r="Q30" s="1798"/>
      <c r="R30" s="770"/>
      <c r="S30" s="771"/>
      <c r="T30" s="770"/>
      <c r="U30" s="771"/>
      <c r="V30" s="770"/>
      <c r="W30" s="771"/>
      <c r="X30" s="772"/>
      <c r="Y30" s="318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2"/>
      <c r="Q32" s="1813" t="str">
        <f t="shared" si="8"/>
        <v>毗邻道路的类型与等级</v>
      </c>
      <c r="R32" s="774" t="s">
        <v>17</v>
      </c>
      <c r="S32" s="775">
        <f t="shared" si="10"/>
        <v>100</v>
      </c>
      <c r="T32" s="774" t="s">
        <v>17</v>
      </c>
      <c r="U32" s="775">
        <f t="shared" si="11"/>
        <v>100</v>
      </c>
      <c r="V32" s="774" t="s">
        <v>17</v>
      </c>
      <c r="W32" s="775">
        <f t="shared" si="12"/>
        <v>100</v>
      </c>
      <c r="X32" s="1816"/>
      <c r="Y32" s="318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82"/>
      <c r="Q33" s="1813"/>
      <c r="R33" s="774"/>
      <c r="S33" s="775"/>
      <c r="T33" s="774"/>
      <c r="U33" s="775"/>
      <c r="V33" s="774"/>
      <c r="W33" s="775"/>
      <c r="X33" s="1816"/>
      <c r="Y33" s="318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3" t="str">
        <f t="shared" si="8"/>
        <v>土地级别</v>
      </c>
      <c r="R34" s="774" t="s">
        <v>17</v>
      </c>
      <c r="S34" s="775">
        <f t="shared" si="10"/>
        <v>100</v>
      </c>
      <c r="T34" s="774" t="s">
        <v>17</v>
      </c>
      <c r="U34" s="775">
        <f t="shared" si="11"/>
        <v>100</v>
      </c>
      <c r="V34" s="774" t="s">
        <v>17</v>
      </c>
      <c r="W34" s="775">
        <f t="shared" si="12"/>
        <v>100</v>
      </c>
      <c r="X34" s="1816"/>
      <c r="Y34" s="318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3">
        <f t="shared" si="8"/>
        <v>111</v>
      </c>
      <c r="R35" s="774" t="s">
        <v>17</v>
      </c>
      <c r="S35" s="775">
        <f t="shared" si="10"/>
        <v>100</v>
      </c>
      <c r="T35" s="774" t="s">
        <v>17</v>
      </c>
      <c r="U35" s="775">
        <f t="shared" si="11"/>
        <v>100</v>
      </c>
      <c r="V35" s="774" t="s">
        <v>17</v>
      </c>
      <c r="W35" s="775">
        <f t="shared" si="12"/>
        <v>100</v>
      </c>
      <c r="X35" s="1816"/>
      <c r="Y35" s="318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2566</v>
      </c>
      <c r="Q36" s="1813">
        <f t="shared" si="8"/>
        <v>111</v>
      </c>
      <c r="R36" s="774" t="s">
        <v>17</v>
      </c>
      <c r="S36" s="775">
        <f t="shared" si="10"/>
        <v>100</v>
      </c>
      <c r="T36" s="774" t="s">
        <v>17</v>
      </c>
      <c r="U36" s="775">
        <f t="shared" si="11"/>
        <v>100</v>
      </c>
      <c r="V36" s="774" t="s">
        <v>17</v>
      </c>
      <c r="W36" s="775">
        <f t="shared" si="12"/>
        <v>100</v>
      </c>
      <c r="X36" s="1816"/>
      <c r="Y36" s="318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3">
        <f t="shared" si="8"/>
        <v>111</v>
      </c>
      <c r="R37" s="777" t="s">
        <v>17</v>
      </c>
      <c r="S37" s="778">
        <f t="shared" si="10"/>
        <v>100</v>
      </c>
      <c r="T37" s="777" t="s">
        <v>17</v>
      </c>
      <c r="U37" s="778">
        <f t="shared" si="11"/>
        <v>100</v>
      </c>
      <c r="V37" s="777" t="s">
        <v>17</v>
      </c>
      <c r="W37" s="778">
        <f t="shared" si="12"/>
        <v>100</v>
      </c>
      <c r="X37" s="779"/>
      <c r="Y37" s="3186"/>
      <c r="Z37" s="780">
        <f t="shared" si="13"/>
        <v>111</v>
      </c>
      <c r="AA37" s="1814">
        <f t="shared" si="3"/>
        <v>1</v>
      </c>
      <c r="AB37" s="1814">
        <f t="shared" si="4"/>
        <v>1</v>
      </c>
      <c r="AC37" s="1814">
        <f t="shared" si="5"/>
        <v>1</v>
      </c>
    </row>
    <row r="38" spans="1:29" ht="15">
      <c r="A38" s="472" t="s">
        <v>2564</v>
      </c>
      <c r="B38" s="456" t="s">
        <v>2752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186"/>
      <c r="Q38" s="1813" t="str">
        <f>B38</f>
        <v>宗地面积</v>
      </c>
      <c r="R38" s="774" t="s">
        <v>17</v>
      </c>
      <c r="S38" s="775">
        <f t="shared" si="10"/>
        <v>100</v>
      </c>
      <c r="T38" s="774" t="s">
        <v>17</v>
      </c>
      <c r="U38" s="775">
        <f t="shared" si="11"/>
        <v>100</v>
      </c>
      <c r="V38" s="774" t="s">
        <v>17</v>
      </c>
      <c r="W38" s="775">
        <f t="shared" si="12"/>
        <v>100</v>
      </c>
      <c r="X38" s="1816"/>
      <c r="Y38" s="3186"/>
      <c r="Z38" s="1817" t="str">
        <f t="shared" si="13"/>
        <v>宗地面积</v>
      </c>
      <c r="AA38" s="1814">
        <f t="shared" si="3"/>
        <v>1</v>
      </c>
      <c r="AB38" s="1814">
        <f t="shared" si="4"/>
        <v>1</v>
      </c>
      <c r="AC38" s="1814">
        <f t="shared" si="5"/>
        <v>1</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6"/>
      <c r="Q39" s="1813" t="str">
        <f t="shared" ref="Q39:Q45" si="14">B39</f>
        <v>宗地形状</v>
      </c>
      <c r="R39" s="774" t="s">
        <v>17</v>
      </c>
      <c r="S39" s="775">
        <f t="shared" si="10"/>
        <v>100</v>
      </c>
      <c r="T39" s="774" t="s">
        <v>17</v>
      </c>
      <c r="U39" s="775">
        <f t="shared" si="11"/>
        <v>100</v>
      </c>
      <c r="V39" s="774" t="s">
        <v>17</v>
      </c>
      <c r="W39" s="775">
        <f t="shared" si="12"/>
        <v>100</v>
      </c>
      <c r="X39" s="1816"/>
      <c r="Y39" s="3186"/>
      <c r="Z39" s="1817" t="str">
        <f t="shared" si="13"/>
        <v>宗地形状</v>
      </c>
      <c r="AA39" s="1814">
        <f t="shared" si="3"/>
        <v>1</v>
      </c>
      <c r="AB39" s="1814">
        <f t="shared" si="4"/>
        <v>1</v>
      </c>
      <c r="AC39" s="1814">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6"/>
      <c r="Q40" s="1813" t="str">
        <f t="shared" si="14"/>
        <v>临街宽度及深度</v>
      </c>
      <c r="R40" s="774" t="s">
        <v>17</v>
      </c>
      <c r="S40" s="775">
        <f t="shared" si="10"/>
        <v>100</v>
      </c>
      <c r="T40" s="774" t="s">
        <v>17</v>
      </c>
      <c r="U40" s="775">
        <f t="shared" si="11"/>
        <v>100</v>
      </c>
      <c r="V40" s="774" t="s">
        <v>17</v>
      </c>
      <c r="W40" s="775">
        <f t="shared" si="12"/>
        <v>100</v>
      </c>
      <c r="X40" s="1816"/>
      <c r="Y40" s="3186"/>
      <c r="Z40" s="1817" t="str">
        <f t="shared" si="13"/>
        <v>临街宽度及深度</v>
      </c>
      <c r="AA40" s="1814">
        <f t="shared" si="3"/>
        <v>1</v>
      </c>
      <c r="AB40" s="1814">
        <f t="shared" si="4"/>
        <v>1</v>
      </c>
      <c r="AC40" s="1814">
        <f t="shared" si="5"/>
        <v>1</v>
      </c>
    </row>
    <row r="41" spans="1:29" s="117" customFormat="1" ht="15">
      <c r="A41" s="473"/>
      <c r="B41" s="422" t="s">
        <v>2755</v>
      </c>
      <c r="C41" s="2952" t="s">
        <v>3129</v>
      </c>
      <c r="D41" s="136">
        <v>100</v>
      </c>
      <c r="E41" s="2952" t="s">
        <v>3130</v>
      </c>
      <c r="F41" s="435">
        <f>SUMIF(123:123,E41,124:124)-SUMIF(123:123,C41,124:124)+100</f>
        <v>94</v>
      </c>
      <c r="G41" s="2952" t="s">
        <v>3130</v>
      </c>
      <c r="H41" s="435">
        <f>SUMIF(123:123,G41,124:124)-SUMIF(123:123,C41,124:124)+100</f>
        <v>94</v>
      </c>
      <c r="I41" s="2952" t="s">
        <v>3129</v>
      </c>
      <c r="J41" s="435">
        <f>SUMIF(123:123,I41,124:124)-SUMIF(123:123,C41,124:124)+100</f>
        <v>100</v>
      </c>
      <c r="K41" s="612">
        <v>2</v>
      </c>
      <c r="L41" s="1135"/>
      <c r="M41" s="1136"/>
      <c r="N41" s="1136"/>
      <c r="O41" s="1137"/>
      <c r="P41" s="3186"/>
      <c r="Q41" s="1813" t="str">
        <f t="shared" si="14"/>
        <v>宗地开发程度</v>
      </c>
      <c r="R41" s="770" t="s">
        <v>17</v>
      </c>
      <c r="S41" s="771">
        <f t="shared" si="10"/>
        <v>94</v>
      </c>
      <c r="T41" s="770" t="s">
        <v>17</v>
      </c>
      <c r="U41" s="771">
        <f t="shared" si="11"/>
        <v>94</v>
      </c>
      <c r="V41" s="770" t="s">
        <v>17</v>
      </c>
      <c r="W41" s="771">
        <f t="shared" si="12"/>
        <v>100</v>
      </c>
      <c r="X41" s="772"/>
      <c r="Y41" s="3186"/>
      <c r="Z41" s="55" t="str">
        <f t="shared" si="13"/>
        <v>宗地开发程度</v>
      </c>
      <c r="AA41" s="773">
        <f t="shared" si="3"/>
        <v>1.0638297872340425</v>
      </c>
      <c r="AB41" s="773">
        <f t="shared" si="4"/>
        <v>1.0638297872340425</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6" t="s">
        <v>2566</v>
      </c>
      <c r="Q42" s="1813" t="str">
        <f t="shared" si="14"/>
        <v>工程地质条件</v>
      </c>
      <c r="R42" s="774" t="s">
        <v>17</v>
      </c>
      <c r="S42" s="775">
        <f t="shared" si="10"/>
        <v>100</v>
      </c>
      <c r="T42" s="774" t="s">
        <v>17</v>
      </c>
      <c r="U42" s="775">
        <f t="shared" si="11"/>
        <v>100</v>
      </c>
      <c r="V42" s="774" t="s">
        <v>17</v>
      </c>
      <c r="W42" s="775">
        <f t="shared" si="12"/>
        <v>100</v>
      </c>
      <c r="X42" s="1816"/>
      <c r="Y42" s="318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3">
        <f t="shared" si="14"/>
        <v>111</v>
      </c>
      <c r="R43" s="774" t="s">
        <v>17</v>
      </c>
      <c r="S43" s="775">
        <f t="shared" si="10"/>
        <v>100</v>
      </c>
      <c r="T43" s="774" t="s">
        <v>17</v>
      </c>
      <c r="U43" s="775">
        <f t="shared" si="11"/>
        <v>100</v>
      </c>
      <c r="V43" s="774" t="s">
        <v>17</v>
      </c>
      <c r="W43" s="775">
        <f t="shared" si="12"/>
        <v>100</v>
      </c>
      <c r="X43" s="1816"/>
      <c r="Y43" s="318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3">
        <f t="shared" si="14"/>
        <v>111</v>
      </c>
      <c r="R44" s="774" t="s">
        <v>17</v>
      </c>
      <c r="S44" s="775">
        <f t="shared" si="10"/>
        <v>100</v>
      </c>
      <c r="T44" s="774" t="s">
        <v>17</v>
      </c>
      <c r="U44" s="775">
        <f t="shared" si="11"/>
        <v>100</v>
      </c>
      <c r="V44" s="774" t="s">
        <v>17</v>
      </c>
      <c r="W44" s="775">
        <f t="shared" si="12"/>
        <v>100</v>
      </c>
      <c r="X44" s="1816"/>
      <c r="Y44" s="318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3">
        <f t="shared" si="14"/>
        <v>111</v>
      </c>
      <c r="R45" s="777" t="s">
        <v>17</v>
      </c>
      <c r="S45" s="778">
        <f t="shared" si="10"/>
        <v>100</v>
      </c>
      <c r="T45" s="777" t="s">
        <v>17</v>
      </c>
      <c r="U45" s="778">
        <f t="shared" si="11"/>
        <v>100</v>
      </c>
      <c r="V45" s="777" t="s">
        <v>17</v>
      </c>
      <c r="W45" s="778">
        <f t="shared" si="12"/>
        <v>100</v>
      </c>
      <c r="X45" s="779"/>
      <c r="Y45" s="3186"/>
      <c r="Z45" s="780">
        <f t="shared" si="13"/>
        <v>111</v>
      </c>
      <c r="AA45" s="1814">
        <f t="shared" si="3"/>
        <v>1</v>
      </c>
      <c r="AB45" s="1814">
        <f t="shared" si="4"/>
        <v>1</v>
      </c>
      <c r="AC45" s="1814">
        <f t="shared" si="5"/>
        <v>1</v>
      </c>
    </row>
    <row r="46" spans="1:29" ht="15">
      <c r="A46" s="479" t="s">
        <v>2721</v>
      </c>
      <c r="B46" s="2710" t="s">
        <v>2757</v>
      </c>
      <c r="C46" s="682" t="s">
        <v>1</v>
      </c>
      <c r="D46" s="481"/>
      <c r="E46" s="482">
        <f>Sheet1!K3</f>
        <v>1977</v>
      </c>
      <c r="F46" s="483"/>
      <c r="G46" s="484">
        <f>Sheet1!K4</f>
        <v>2134</v>
      </c>
      <c r="H46" s="485"/>
      <c r="I46" s="482">
        <f>Sheet1!K6</f>
        <v>2305</v>
      </c>
      <c r="J46" s="485"/>
      <c r="K46" s="783"/>
      <c r="L46" s="1146"/>
      <c r="M46" s="1147"/>
      <c r="N46" s="1134"/>
      <c r="O46" s="1147"/>
      <c r="P46" s="3179" t="str">
        <f>A46</f>
        <v>成交单价</v>
      </c>
      <c r="Q46" s="3179"/>
      <c r="R46" s="3210">
        <f>E46</f>
        <v>1977</v>
      </c>
      <c r="S46" s="3210"/>
      <c r="T46" s="3210">
        <f>G46</f>
        <v>2134</v>
      </c>
      <c r="U46" s="3210"/>
      <c r="V46" s="3210">
        <f>I46</f>
        <v>2305</v>
      </c>
      <c r="W46" s="3210"/>
      <c r="X46" s="759"/>
      <c r="Y46" s="781"/>
      <c r="Z46" s="759"/>
      <c r="AA46" s="759"/>
      <c r="AB46" s="759"/>
      <c r="AC46" s="759"/>
    </row>
    <row r="47" spans="1:29" ht="15.75" thickBot="1">
      <c r="A47" s="486" t="s">
        <v>2670</v>
      </c>
      <c r="B47" s="683"/>
      <c r="C47" s="490">
        <f>R48</f>
        <v>2016</v>
      </c>
      <c r="D47" s="489"/>
      <c r="E47" s="490">
        <f>R47</f>
        <v>1850</v>
      </c>
      <c r="F47" s="491"/>
      <c r="G47" s="488">
        <f>T47</f>
        <v>1997</v>
      </c>
      <c r="H47" s="489"/>
      <c r="I47" s="490">
        <f>V47</f>
        <v>2202</v>
      </c>
      <c r="J47" s="489"/>
      <c r="K47" s="784"/>
      <c r="L47" s="1146"/>
      <c r="M47" s="1147"/>
      <c r="N47" s="1147"/>
      <c r="O47" s="1147"/>
      <c r="P47" s="3179" t="str">
        <f>A47</f>
        <v>比较价值（元/平方米）</v>
      </c>
      <c r="Q47" s="3179"/>
      <c r="R47" s="3238">
        <f>ROUND(PRODUCT(R46,AA7:AA45),0)</f>
        <v>1850</v>
      </c>
      <c r="S47" s="3238"/>
      <c r="T47" s="3238">
        <f>ROUND(PRODUCT(T46,AB7:AB45),0)</f>
        <v>1997</v>
      </c>
      <c r="U47" s="3238"/>
      <c r="V47" s="3238">
        <f>ROUND(PRODUCT(V46,AC7:AC45),0)</f>
        <v>2202</v>
      </c>
      <c r="W47" s="3238"/>
      <c r="X47" s="759"/>
      <c r="Y47" s="759"/>
      <c r="Z47" s="759"/>
      <c r="AA47" s="759"/>
      <c r="AB47" s="759"/>
      <c r="AC47" s="759"/>
    </row>
    <row r="48" spans="1:29" ht="15.75" thickBot="1">
      <c r="A48" s="492" t="s">
        <v>2758</v>
      </c>
      <c r="B48" s="493"/>
      <c r="C48" s="494">
        <f>R48</f>
        <v>2016</v>
      </c>
      <c r="D48" s="494"/>
      <c r="E48" s="494"/>
      <c r="F48" s="494"/>
      <c r="G48" s="494"/>
      <c r="H48" s="494"/>
      <c r="I48" s="494"/>
      <c r="J48" s="494"/>
      <c r="K48" s="785"/>
      <c r="L48" s="1146"/>
      <c r="M48" s="1147"/>
      <c r="N48" s="1147"/>
      <c r="O48" s="1147"/>
      <c r="P48" s="3176" t="str">
        <f>A48</f>
        <v>估价对象XX用房的比较价值（楼面单价，元/平方米）</v>
      </c>
      <c r="Q48" s="3177"/>
      <c r="R48" s="3239">
        <f>ROUND(AVERAGE(R47:V47),0)</f>
        <v>2016</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6.8648648648648614E-2</v>
      </c>
      <c r="F51" s="500" t="str">
        <f>IF(OR(E51&gt;=0.3,E51&lt;=-0.3),"超过30%","")</f>
        <v/>
      </c>
      <c r="G51" s="499">
        <f>IF(G46&lt;G47,G47/G46-1,G46/G47-1)</f>
        <v>6.8602904356534822E-2</v>
      </c>
      <c r="H51" s="500" t="str">
        <f>IF(OR(G51&gt;=0.3,G51&lt;=-0.3),"超过30%","")</f>
        <v/>
      </c>
      <c r="I51" s="499">
        <f>IF(I46&lt;I47,I47/I46-1,I46/I47-1)</f>
        <v>4.6775658492279826E-2</v>
      </c>
      <c r="J51" s="500" t="str">
        <f>IF(OR(I51&gt;=0.3,I51&lt;=-0.3),"超过30%","")</f>
        <v/>
      </c>
      <c r="K51" s="1108"/>
      <c r="L51" s="1109"/>
      <c r="M51" s="1147"/>
      <c r="N51" s="1147"/>
      <c r="O51" s="1147"/>
    </row>
    <row r="52" spans="1:15" ht="13.5" customHeight="1">
      <c r="A52" s="1147"/>
      <c r="B52" s="1147"/>
      <c r="C52" s="497" t="s">
        <v>2673</v>
      </c>
      <c r="D52" s="501"/>
      <c r="E52" s="499">
        <f>IF(E47&lt;G47,G47/E47-1,E47/G47-1)</f>
        <v>7.9459459459459536E-2</v>
      </c>
      <c r="F52" s="500" t="str">
        <f>IF(OR(E52&gt;=0.2,E52&lt;=-0.2),"超过20%","")</f>
        <v/>
      </c>
      <c r="G52" s="499">
        <f>IF(G47&lt;I47,I47/G47-1,G47/I47-1)</f>
        <v>0.10265398097145728</v>
      </c>
      <c r="H52" s="500" t="str">
        <f>IF(OR(G52&gt;=0.2,G52&lt;=-0.2),"超过20%","")</f>
        <v/>
      </c>
      <c r="I52" s="499">
        <f>IF(I47&lt;E47,E47/I47-1,I47/E47-1)</f>
        <v>0.19027027027027033</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94" t="s">
        <v>2765</v>
      </c>
      <c r="H55" s="3240"/>
      <c r="I55" s="144" t="s">
        <v>2766</v>
      </c>
      <c r="J55" s="2713">
        <f>项目基本情况!F35</f>
        <v>0</v>
      </c>
      <c r="K55" s="2714" t="s">
        <v>2767</v>
      </c>
      <c r="L55" s="1109"/>
      <c r="M55" s="1147"/>
      <c r="N55" s="1147"/>
      <c r="O55" s="1147"/>
    </row>
    <row r="56" spans="1:15" s="692" customFormat="1">
      <c r="A56" s="688" t="s">
        <v>2768</v>
      </c>
      <c r="B56" s="689">
        <f>C48</f>
        <v>2016</v>
      </c>
      <c r="C56" s="690">
        <v>1</v>
      </c>
      <c r="D56" s="1166">
        <v>1</v>
      </c>
      <c r="E56" s="690">
        <f>'数据-汇总表'!E8+'数据-汇总表'!E9</f>
        <v>38702.28</v>
      </c>
      <c r="F56" s="1106">
        <f t="shared" ref="F56:F65" si="15">ROUND(B56*E56/10000,0)</f>
        <v>7802</v>
      </c>
      <c r="G56" s="3190"/>
      <c r="H56" s="3179"/>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41"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41"/>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41"/>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41"/>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5"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0</v>
      </c>
      <c r="F63" s="1106">
        <f t="shared" si="15"/>
        <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38702.28</v>
      </c>
      <c r="F66" s="697">
        <f>IF(B46="楼面地价",SUM(F56:F65),ROUND(C48*E66/10000,0))</f>
        <v>7802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2953" t="s">
        <v>3129</v>
      </c>
      <c r="D123" s="2953" t="s">
        <v>3131</v>
      </c>
      <c r="E123" s="2953" t="s">
        <v>3132</v>
      </c>
      <c r="F123" s="2953" t="s">
        <v>3130</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204" t="s">
        <v>2648</v>
      </c>
      <c r="S4" s="3205"/>
      <c r="T4" s="3204" t="s">
        <v>2649</v>
      </c>
      <c r="U4" s="3205"/>
      <c r="V4" s="3210" t="s">
        <v>2650</v>
      </c>
      <c r="W4" s="3210"/>
      <c r="X4" s="1816"/>
      <c r="Y4" s="3204" t="s">
        <v>2652</v>
      </c>
      <c r="Z4" s="3205"/>
      <c r="AA4" s="3191" t="s">
        <v>2648</v>
      </c>
      <c r="AB4" s="3192" t="s">
        <v>2649</v>
      </c>
      <c r="AC4" s="3191" t="s">
        <v>2650</v>
      </c>
    </row>
    <row r="5" spans="1:29" ht="15">
      <c r="A5" s="404"/>
      <c r="B5" s="405"/>
      <c r="C5" s="3213" t="s">
        <v>2543</v>
      </c>
      <c r="D5" s="3214"/>
      <c r="E5" s="3220" t="s">
        <v>2544</v>
      </c>
      <c r="F5" s="3221"/>
      <c r="G5" s="3213" t="s">
        <v>2545</v>
      </c>
      <c r="H5" s="3214"/>
      <c r="I5" s="3213" t="s">
        <v>2546</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42" t="s">
        <v>2798</v>
      </c>
      <c r="D6" s="3243"/>
      <c r="E6" s="3244" t="s">
        <v>2798</v>
      </c>
      <c r="F6" s="3245"/>
      <c r="G6" s="3242" t="s">
        <v>2798</v>
      </c>
      <c r="H6" s="3243"/>
      <c r="I6" s="3242" t="s">
        <v>2798</v>
      </c>
      <c r="J6" s="3243"/>
      <c r="K6" s="610" t="s">
        <v>2548</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2549</v>
      </c>
      <c r="B7" s="409"/>
      <c r="C7" s="410">
        <f>'数据-取费表'!B2</f>
        <v>43341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15" t="s">
        <v>2550</v>
      </c>
      <c r="Q7" s="3217"/>
      <c r="R7" s="770" t="s">
        <v>17</v>
      </c>
      <c r="S7" s="771">
        <f t="shared" ref="S7:S15" si="0">F7</f>
        <v>0</v>
      </c>
      <c r="T7" s="770" t="s">
        <v>17</v>
      </c>
      <c r="U7" s="771">
        <f t="shared" ref="U7:U15" si="1">H7</f>
        <v>0</v>
      </c>
      <c r="V7" s="770" t="s">
        <v>17</v>
      </c>
      <c r="W7" s="771">
        <f t="shared" ref="W7:W15" si="2">J7</f>
        <v>0</v>
      </c>
      <c r="X7" s="772"/>
      <c r="Y7" s="3215" t="s">
        <v>2550</v>
      </c>
      <c r="Z7" s="321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5" t="s">
        <v>2553</v>
      </c>
      <c r="Q8" s="3216"/>
      <c r="R8" s="770" t="s">
        <v>17</v>
      </c>
      <c r="S8" s="771">
        <f t="shared" si="0"/>
        <v>0</v>
      </c>
      <c r="T8" s="770" t="s">
        <v>17</v>
      </c>
      <c r="U8" s="771">
        <f t="shared" si="1"/>
        <v>0</v>
      </c>
      <c r="V8" s="770" t="s">
        <v>17</v>
      </c>
      <c r="W8" s="771">
        <f t="shared" si="2"/>
        <v>0</v>
      </c>
      <c r="X8" s="772"/>
      <c r="Y8" s="3215" t="s">
        <v>2553</v>
      </c>
      <c r="Z8" s="3216"/>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9" t="s">
        <v>2556</v>
      </c>
      <c r="Q9" s="1798" t="str">
        <f t="shared" ref="Q9:Q15" si="6">B9</f>
        <v>用途</v>
      </c>
      <c r="R9" s="770" t="s">
        <v>17</v>
      </c>
      <c r="S9" s="771">
        <f t="shared" si="0"/>
        <v>100</v>
      </c>
      <c r="T9" s="770" t="s">
        <v>17</v>
      </c>
      <c r="U9" s="771">
        <f t="shared" si="1"/>
        <v>100</v>
      </c>
      <c r="V9" s="770" t="s">
        <v>17</v>
      </c>
      <c r="W9" s="771">
        <f t="shared" si="2"/>
        <v>100</v>
      </c>
      <c r="X9" s="772"/>
      <c r="Y9" s="300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179"/>
      <c r="Q10" s="1798" t="str">
        <f t="shared" si="6"/>
        <v>土地使用年限（年）</v>
      </c>
      <c r="R10" s="770" t="s">
        <v>17</v>
      </c>
      <c r="S10" s="771">
        <f t="shared" si="0"/>
        <v>116</v>
      </c>
      <c r="T10" s="770" t="s">
        <v>17</v>
      </c>
      <c r="U10" s="771">
        <f t="shared" si="1"/>
        <v>116</v>
      </c>
      <c r="V10" s="770" t="s">
        <v>17</v>
      </c>
      <c r="W10" s="771">
        <f t="shared" si="2"/>
        <v>116</v>
      </c>
      <c r="X10" s="772"/>
      <c r="Y10" s="3004"/>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2561</v>
      </c>
      <c r="Q15" s="1813" t="str">
        <f t="shared" si="6"/>
        <v>产业集聚程度</v>
      </c>
      <c r="R15" s="774" t="s">
        <v>17</v>
      </c>
      <c r="S15" s="775">
        <f t="shared" si="0"/>
        <v>100</v>
      </c>
      <c r="T15" s="774" t="s">
        <v>17</v>
      </c>
      <c r="U15" s="775">
        <f t="shared" si="1"/>
        <v>100</v>
      </c>
      <c r="V15" s="774" t="s">
        <v>17</v>
      </c>
      <c r="W15" s="775">
        <f t="shared" si="2"/>
        <v>100</v>
      </c>
      <c r="X15" s="1816"/>
      <c r="Y15" s="3181"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3" t="str">
        <f t="shared" ref="Q19:Q33" si="8">B19</f>
        <v>区域土地利用方向</v>
      </c>
      <c r="R19" s="774" t="s">
        <v>17</v>
      </c>
      <c r="S19" s="775">
        <f>F19</f>
        <v>100</v>
      </c>
      <c r="T19" s="774" t="s">
        <v>17</v>
      </c>
      <c r="U19" s="775">
        <f>H19</f>
        <v>100</v>
      </c>
      <c r="V19" s="774" t="s">
        <v>17</v>
      </c>
      <c r="W19" s="775">
        <f>J19</f>
        <v>100</v>
      </c>
      <c r="X19" s="1816"/>
      <c r="Y19" s="318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82"/>
      <c r="Q20" s="1813"/>
      <c r="R20" s="774"/>
      <c r="S20" s="775"/>
      <c r="T20" s="774"/>
      <c r="U20" s="775"/>
      <c r="V20" s="774"/>
      <c r="W20" s="775"/>
      <c r="X20" s="1816"/>
      <c r="Y20" s="3182"/>
      <c r="Z20" s="1817"/>
      <c r="AA20" s="1814"/>
      <c r="AB20" s="1814"/>
      <c r="AC20" s="1814"/>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3" t="str">
        <f t="shared" si="8"/>
        <v>环境状况</v>
      </c>
      <c r="R21" s="774" t="s">
        <v>17</v>
      </c>
      <c r="S21" s="775">
        <f>F21</f>
        <v>100</v>
      </c>
      <c r="T21" s="774" t="s">
        <v>17</v>
      </c>
      <c r="U21" s="775">
        <f>H21</f>
        <v>100</v>
      </c>
      <c r="V21" s="774" t="s">
        <v>17</v>
      </c>
      <c r="W21" s="775">
        <f>J21</f>
        <v>100</v>
      </c>
      <c r="X21" s="1816"/>
      <c r="Y21" s="318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8" t="str">
        <f t="shared" si="8"/>
        <v>公共配套设施</v>
      </c>
      <c r="R23" s="770" t="s">
        <v>17</v>
      </c>
      <c r="S23" s="771">
        <f>F23</f>
        <v>100</v>
      </c>
      <c r="T23" s="770" t="s">
        <v>17</v>
      </c>
      <c r="U23" s="771">
        <f>H23</f>
        <v>100</v>
      </c>
      <c r="V23" s="770" t="s">
        <v>17</v>
      </c>
      <c r="W23" s="771">
        <f>J23</f>
        <v>100</v>
      </c>
      <c r="X23" s="772"/>
      <c r="Y23" s="318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82"/>
      <c r="Q24" s="1798"/>
      <c r="R24" s="770"/>
      <c r="S24" s="771"/>
      <c r="T24" s="770"/>
      <c r="U24" s="771"/>
      <c r="V24" s="770"/>
      <c r="W24" s="771"/>
      <c r="X24" s="772"/>
      <c r="Y24" s="3182"/>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8"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82"/>
      <c r="Q26" s="1798"/>
      <c r="R26" s="770"/>
      <c r="S26" s="771"/>
      <c r="T26" s="770"/>
      <c r="U26" s="771"/>
      <c r="V26" s="770"/>
      <c r="W26" s="771"/>
      <c r="X26" s="772"/>
      <c r="Y26" s="318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2"/>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3" t="str">
        <f t="shared" si="8"/>
        <v>毗邻道路的类型与等级</v>
      </c>
      <c r="R28" s="774" t="s">
        <v>17</v>
      </c>
      <c r="S28" s="775">
        <f t="shared" si="10"/>
        <v>100</v>
      </c>
      <c r="T28" s="774" t="s">
        <v>17</v>
      </c>
      <c r="U28" s="775">
        <f t="shared" si="11"/>
        <v>100</v>
      </c>
      <c r="V28" s="774" t="s">
        <v>17</v>
      </c>
      <c r="W28" s="775">
        <f t="shared" si="12"/>
        <v>100</v>
      </c>
      <c r="X28" s="1816"/>
      <c r="Y28" s="318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82"/>
      <c r="Q29" s="1813"/>
      <c r="R29" s="774"/>
      <c r="S29" s="775"/>
      <c r="T29" s="774"/>
      <c r="U29" s="775"/>
      <c r="V29" s="774"/>
      <c r="W29" s="775"/>
      <c r="X29" s="1816"/>
      <c r="Y29" s="318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3" t="str">
        <f t="shared" si="8"/>
        <v>土地级别</v>
      </c>
      <c r="R30" s="774" t="s">
        <v>17</v>
      </c>
      <c r="S30" s="775">
        <f t="shared" si="10"/>
        <v>100</v>
      </c>
      <c r="T30" s="774" t="s">
        <v>17</v>
      </c>
      <c r="U30" s="775">
        <f t="shared" si="11"/>
        <v>100</v>
      </c>
      <c r="V30" s="774" t="s">
        <v>17</v>
      </c>
      <c r="W30" s="775">
        <f t="shared" si="12"/>
        <v>100</v>
      </c>
      <c r="X30" s="1816"/>
      <c r="Y30" s="318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3">
        <f t="shared" si="8"/>
        <v>111</v>
      </c>
      <c r="R31" s="774" t="s">
        <v>17</v>
      </c>
      <c r="S31" s="775">
        <f t="shared" si="10"/>
        <v>100</v>
      </c>
      <c r="T31" s="774" t="s">
        <v>17</v>
      </c>
      <c r="U31" s="775">
        <f t="shared" si="11"/>
        <v>100</v>
      </c>
      <c r="V31" s="774" t="s">
        <v>17</v>
      </c>
      <c r="W31" s="775">
        <f t="shared" si="12"/>
        <v>100</v>
      </c>
      <c r="X31" s="1816"/>
      <c r="Y31" s="318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2566</v>
      </c>
      <c r="Q32" s="1813">
        <f t="shared" si="8"/>
        <v>111</v>
      </c>
      <c r="R32" s="774" t="s">
        <v>17</v>
      </c>
      <c r="S32" s="775">
        <f t="shared" si="10"/>
        <v>100</v>
      </c>
      <c r="T32" s="774" t="s">
        <v>17</v>
      </c>
      <c r="U32" s="775">
        <f t="shared" si="11"/>
        <v>100</v>
      </c>
      <c r="V32" s="774" t="s">
        <v>17</v>
      </c>
      <c r="W32" s="775">
        <f t="shared" si="12"/>
        <v>100</v>
      </c>
      <c r="X32" s="1816"/>
      <c r="Y32" s="3186"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3">
        <f t="shared" si="8"/>
        <v>111</v>
      </c>
      <c r="R33" s="777" t="s">
        <v>17</v>
      </c>
      <c r="S33" s="778">
        <f t="shared" si="10"/>
        <v>100</v>
      </c>
      <c r="T33" s="777" t="s">
        <v>17</v>
      </c>
      <c r="U33" s="778">
        <f t="shared" si="11"/>
        <v>100</v>
      </c>
      <c r="V33" s="777" t="s">
        <v>17</v>
      </c>
      <c r="W33" s="778">
        <f t="shared" si="12"/>
        <v>100</v>
      </c>
      <c r="X33" s="779"/>
      <c r="Y33" s="318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6"/>
      <c r="Q34" s="1813" t="str">
        <f>B34</f>
        <v>宗地面积</v>
      </c>
      <c r="R34" s="774" t="s">
        <v>17</v>
      </c>
      <c r="S34" s="775" t="e">
        <f t="shared" si="10"/>
        <v>#N/A</v>
      </c>
      <c r="T34" s="774" t="s">
        <v>17</v>
      </c>
      <c r="U34" s="775" t="e">
        <f t="shared" si="11"/>
        <v>#N/A</v>
      </c>
      <c r="V34" s="774" t="s">
        <v>17</v>
      </c>
      <c r="W34" s="775" t="e">
        <f t="shared" si="12"/>
        <v>#N/A</v>
      </c>
      <c r="X34" s="1816"/>
      <c r="Y34" s="3186"/>
      <c r="Z34" s="1817" t="str">
        <f t="shared" si="13"/>
        <v>宗地面积</v>
      </c>
      <c r="AA34" s="1814" t="e">
        <f t="shared" si="3"/>
        <v>#N/A</v>
      </c>
      <c r="AB34" s="1814" t="e">
        <f t="shared" si="4"/>
        <v>#N/A</v>
      </c>
      <c r="AC34" s="1814"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6"/>
      <c r="Q35" s="1813" t="str">
        <f t="shared" ref="Q35:Q40" si="14">B35</f>
        <v>宗地形状</v>
      </c>
      <c r="R35" s="774" t="s">
        <v>17</v>
      </c>
      <c r="S35" s="775">
        <f t="shared" si="10"/>
        <v>100</v>
      </c>
      <c r="T35" s="774" t="s">
        <v>17</v>
      </c>
      <c r="U35" s="775">
        <f t="shared" si="11"/>
        <v>100</v>
      </c>
      <c r="V35" s="774" t="s">
        <v>17</v>
      </c>
      <c r="W35" s="775">
        <f t="shared" si="12"/>
        <v>100</v>
      </c>
      <c r="X35" s="1816"/>
      <c r="Y35" s="3186"/>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6"/>
      <c r="Q36" s="1813"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6" t="s">
        <v>2566</v>
      </c>
      <c r="Q37" s="1813" t="str">
        <f t="shared" si="14"/>
        <v>工程地质条件</v>
      </c>
      <c r="R37" s="774" t="s">
        <v>17</v>
      </c>
      <c r="S37" s="775">
        <f t="shared" si="10"/>
        <v>100</v>
      </c>
      <c r="T37" s="774" t="s">
        <v>17</v>
      </c>
      <c r="U37" s="775">
        <f t="shared" si="11"/>
        <v>100</v>
      </c>
      <c r="V37" s="774" t="s">
        <v>17</v>
      </c>
      <c r="W37" s="775">
        <f t="shared" si="12"/>
        <v>100</v>
      </c>
      <c r="X37" s="1816"/>
      <c r="Y37" s="318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3">
        <f t="shared" si="14"/>
        <v>111</v>
      </c>
      <c r="R38" s="774" t="s">
        <v>17</v>
      </c>
      <c r="S38" s="775">
        <f t="shared" si="10"/>
        <v>100</v>
      </c>
      <c r="T38" s="774" t="s">
        <v>17</v>
      </c>
      <c r="U38" s="775">
        <f t="shared" si="11"/>
        <v>100</v>
      </c>
      <c r="V38" s="774" t="s">
        <v>17</v>
      </c>
      <c r="W38" s="775">
        <f t="shared" si="12"/>
        <v>100</v>
      </c>
      <c r="X38" s="1816"/>
      <c r="Y38" s="318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3">
        <f t="shared" si="14"/>
        <v>111</v>
      </c>
      <c r="R39" s="774" t="s">
        <v>17</v>
      </c>
      <c r="S39" s="775">
        <f t="shared" si="10"/>
        <v>100</v>
      </c>
      <c r="T39" s="774" t="s">
        <v>17</v>
      </c>
      <c r="U39" s="775">
        <f t="shared" si="11"/>
        <v>100</v>
      </c>
      <c r="V39" s="774" t="s">
        <v>17</v>
      </c>
      <c r="W39" s="775">
        <f t="shared" si="12"/>
        <v>100</v>
      </c>
      <c r="X39" s="1816"/>
      <c r="Y39" s="318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3">
        <f t="shared" si="14"/>
        <v>111</v>
      </c>
      <c r="R40" s="777" t="s">
        <v>17</v>
      </c>
      <c r="S40" s="778">
        <f t="shared" si="10"/>
        <v>100</v>
      </c>
      <c r="T40" s="777" t="s">
        <v>17</v>
      </c>
      <c r="U40" s="778">
        <f t="shared" si="11"/>
        <v>100</v>
      </c>
      <c r="V40" s="777" t="s">
        <v>17</v>
      </c>
      <c r="W40" s="778">
        <f t="shared" si="12"/>
        <v>100</v>
      </c>
      <c r="X40" s="779"/>
      <c r="Y40" s="3186"/>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179" t="str">
        <f>A41</f>
        <v>成交单价</v>
      </c>
      <c r="Q41" s="3179"/>
      <c r="R41" s="3210">
        <f>E41</f>
        <v>0</v>
      </c>
      <c r="S41" s="3210"/>
      <c r="T41" s="3210">
        <f>G41</f>
        <v>0</v>
      </c>
      <c r="U41" s="3210"/>
      <c r="V41" s="3210">
        <f>I41</f>
        <v>0</v>
      </c>
      <c r="W41" s="321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76" t="str">
        <f>A43</f>
        <v>估价对象XX用房的比较价值（楼面单价，元/平方米）</v>
      </c>
      <c r="Q43" s="3177"/>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94" t="s">
        <v>2765</v>
      </c>
      <c r="H50" s="3240"/>
      <c r="I50" s="1817" t="s">
        <v>2802</v>
      </c>
      <c r="J50" s="1817">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38702.28</v>
      </c>
      <c r="F51" s="691" t="e">
        <f t="shared" ref="F51:F60" si="15">ROUND(B51*E51/10000,0)</f>
        <v>#DIV/0!</v>
      </c>
      <c r="G51" s="3190"/>
      <c r="H51" s="3179"/>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4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0</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7" t="s">
        <v>2814</v>
      </c>
      <c r="D2" s="2728" t="s">
        <v>2815</v>
      </c>
      <c r="E2" s="2729"/>
      <c r="F2" s="2728" t="s">
        <v>2816</v>
      </c>
      <c r="G2" s="2730">
        <f>IF(E2="商业",项目基本情况!B37,IF(E2="办公",项目基本情况!C37,IF(E2="住宅",项目基本情况!D37,项目基本情况!E37)))</f>
        <v>0</v>
      </c>
      <c r="H2" s="2728" t="s">
        <v>2817</v>
      </c>
      <c r="I2" s="2730">
        <f>IF(E2="商业",项目基本情况!B38,IF(E2="办公",项目基本情况!C38,IF(E2="住宅",项目基本情况!D38,项目基本情况!E38)))</f>
        <v>0</v>
      </c>
      <c r="J2" s="2731"/>
      <c r="K2" s="1373"/>
      <c r="L2" s="2732"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7" t="s">
        <v>2820</v>
      </c>
      <c r="D3" s="2728" t="s">
        <v>2821</v>
      </c>
      <c r="E3" s="2733"/>
      <c r="F3" s="2734" t="s">
        <v>2822</v>
      </c>
      <c r="G3" s="916">
        <f>IF(F3="宗地容积率",'数据-汇总表'!I4,IF(F3="估价对象容积率",'数据-汇总表'!I6,'数据-汇总表'!I7))</f>
        <v>2.79</v>
      </c>
      <c r="H3" s="198" t="s">
        <v>2823</v>
      </c>
      <c r="I3" s="947"/>
      <c r="J3" s="2731" t="s">
        <v>2824</v>
      </c>
      <c r="K3" s="1373"/>
      <c r="L3" s="2732"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32"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2827</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2829</v>
      </c>
      <c r="B6" s="2746" t="s">
        <v>2830</v>
      </c>
      <c r="C6" s="918">
        <f>SUMIF(L1:L12,G2,M1:M12)</f>
        <v>0</v>
      </c>
      <c r="D6" s="2747" t="s">
        <v>2831</v>
      </c>
      <c r="E6" s="2748"/>
      <c r="F6" s="2748"/>
      <c r="G6" s="2749"/>
      <c r="H6" s="2749"/>
      <c r="I6" s="2749"/>
      <c r="J6" s="2750"/>
      <c r="K6" s="1845"/>
      <c r="L6" s="2732"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3" t="str">
        <f>IF(E2="商业",IF(C8="不临58条商业街","",2),"")</f>
        <v/>
      </c>
      <c r="B7" s="2751" t="s">
        <v>2833</v>
      </c>
      <c r="C7" s="919" t="e">
        <f>IF(C8="不临58条商业街",1,ROUND(1+(1.6*E8+1.2*E9+0.8*E10+0.4*E11)*C9,4))</f>
        <v>#DIV/0!</v>
      </c>
      <c r="D7" s="2752" t="s">
        <v>2834</v>
      </c>
      <c r="E7" s="948"/>
      <c r="F7" s="2753"/>
      <c r="G7" s="2754"/>
      <c r="H7" s="2754"/>
      <c r="I7" s="2754"/>
      <c r="J7" s="2755"/>
      <c r="K7" s="1845"/>
      <c r="L7" s="2732"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2.79</v>
      </c>
      <c r="AA7" s="1609"/>
      <c r="AB7" s="1609"/>
      <c r="AC7" s="1610"/>
      <c r="AD7" s="1611"/>
      <c r="AE7" s="1611"/>
      <c r="AF7" s="1611"/>
      <c r="AG7" s="1611"/>
      <c r="AH7" s="1611"/>
      <c r="AI7" s="1611"/>
      <c r="AJ7" s="1612"/>
    </row>
    <row r="8" spans="1:36" ht="15">
      <c r="A8" s="3254"/>
      <c r="B8" s="198" t="s">
        <v>2838</v>
      </c>
      <c r="C8" s="2756"/>
      <c r="D8" s="920" t="s">
        <v>139</v>
      </c>
      <c r="E8" s="921" t="e">
        <f>ROUND(C11/E7,4)</f>
        <v>#DIV/0!</v>
      </c>
      <c r="F8" s="2757" t="s">
        <v>2839</v>
      </c>
      <c r="G8" s="2758"/>
      <c r="H8" s="2758"/>
      <c r="I8" s="2758"/>
      <c r="J8" s="2759"/>
      <c r="K8" s="1373"/>
      <c r="L8" s="2732"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6" t="s">
        <v>2841</v>
      </c>
      <c r="X8" s="324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54"/>
      <c r="B9" s="198" t="s">
        <v>2854</v>
      </c>
      <c r="C9" s="922">
        <f>SUMIF(修正!C59:C119,C8,修正!E59:E119)</f>
        <v>0</v>
      </c>
      <c r="D9" s="200" t="s">
        <v>140</v>
      </c>
      <c r="E9" s="200" t="e">
        <f>ROUND(C11/E7,4)</f>
        <v>#DIV/0!</v>
      </c>
      <c r="F9" s="2757" t="s">
        <v>2855</v>
      </c>
      <c r="G9" s="2758"/>
      <c r="H9" s="2758"/>
      <c r="I9" s="2758"/>
      <c r="J9" s="2759"/>
      <c r="K9" s="1373"/>
      <c r="L9" s="2732"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4"/>
      <c r="B10" s="198" t="s">
        <v>2859</v>
      </c>
      <c r="C10" s="200">
        <f>SUMIF(修正!C59:C119,C8,修正!F59:F119)</f>
        <v>0</v>
      </c>
      <c r="D10" s="200" t="s">
        <v>141</v>
      </c>
      <c r="E10" s="200" t="e">
        <f>ROUND(C11/E7,4)</f>
        <v>#DIV/0!</v>
      </c>
      <c r="F10" s="2757" t="s">
        <v>2860</v>
      </c>
      <c r="G10" s="2758"/>
      <c r="H10" s="2758"/>
      <c r="I10" s="2758"/>
      <c r="J10" s="2759"/>
      <c r="K10" s="1373"/>
      <c r="L10" s="2732"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4"/>
      <c r="B11" s="2760" t="s">
        <v>2862</v>
      </c>
      <c r="C11" s="923">
        <f>C10/4</f>
        <v>0</v>
      </c>
      <c r="D11" s="923" t="s">
        <v>142</v>
      </c>
      <c r="E11" s="923" t="e">
        <f>ROUND(C11/E7,4)</f>
        <v>#DIV/0!</v>
      </c>
      <c r="F11" s="2761" t="s">
        <v>2863</v>
      </c>
      <c r="G11" s="2762"/>
      <c r="H11" s="2762"/>
      <c r="I11" s="2762"/>
      <c r="J11" s="2763"/>
      <c r="K11" s="1373"/>
      <c r="L11" s="2732"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8" t="s">
        <v>2865</v>
      </c>
      <c r="X11" s="1617" t="s">
        <v>2866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53" t="s">
        <v>2867</v>
      </c>
      <c r="B12" s="2764" t="s">
        <v>2868</v>
      </c>
      <c r="C12" s="919">
        <f>ROUND(C15*D15*E15*F15*G15*H15*I15*J15,4)</f>
        <v>1</v>
      </c>
      <c r="D12" s="2765" t="s">
        <v>2869</v>
      </c>
      <c r="E12" s="2766"/>
      <c r="F12" s="2766"/>
      <c r="G12" s="2767"/>
      <c r="H12" s="2767"/>
      <c r="I12" s="2767"/>
      <c r="J12" s="2768"/>
      <c r="K12" s="1373"/>
      <c r="L12" s="2769"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70" t="s">
        <v>2872</v>
      </c>
      <c r="C13" s="2771" t="s">
        <v>2873</v>
      </c>
      <c r="D13" s="1811" t="s">
        <v>2874</v>
      </c>
      <c r="E13" s="1811" t="s">
        <v>2875</v>
      </c>
      <c r="F13" s="30" t="s">
        <v>2876</v>
      </c>
      <c r="G13" s="2772" t="s">
        <v>2877</v>
      </c>
      <c r="H13" s="2772" t="s">
        <v>2877</v>
      </c>
      <c r="I13" s="2772" t="s">
        <v>2877</v>
      </c>
      <c r="J13" s="2773" t="s">
        <v>2877</v>
      </c>
      <c r="K13" s="1373"/>
      <c r="L13" s="1373"/>
      <c r="M13" s="1373"/>
      <c r="N13" s="1373"/>
      <c r="O13" s="1373"/>
      <c r="P13" s="1373"/>
      <c r="Q13" s="1373"/>
      <c r="R13" s="1605">
        <v>12</v>
      </c>
      <c r="S13" s="1606"/>
      <c r="T13" s="1605" t="e">
        <f t="shared" si="0"/>
        <v>#DIV/0!</v>
      </c>
      <c r="U13" s="1606"/>
      <c r="V13" s="1605" t="e">
        <f t="shared" si="1"/>
        <v>#DIV/0!</v>
      </c>
      <c r="W13" s="3248"/>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55"/>
      <c r="B14" s="2774"/>
      <c r="C14" s="2775"/>
      <c r="D14" s="2776"/>
      <c r="E14" s="2776"/>
      <c r="F14" s="2777"/>
      <c r="G14" s="2778" t="s">
        <v>2878</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6"/>
      <c r="B15" s="2782" t="s">
        <v>2879</v>
      </c>
      <c r="C15" s="229">
        <f>IF(C14="有",1.1,1)</f>
        <v>1</v>
      </c>
      <c r="D15" s="229">
        <f>IF(D14="有",1.1,1)</f>
        <v>1</v>
      </c>
      <c r="E15" s="229">
        <f>IF(E14="有",1.1,1)</f>
        <v>1</v>
      </c>
      <c r="F15" s="229">
        <f>IF(F14="500米范围内",1.2,IF(F14="500-1000米",1.1,1))</f>
        <v>1</v>
      </c>
      <c r="G15" s="949">
        <v>1</v>
      </c>
      <c r="H15" s="949">
        <v>1</v>
      </c>
      <c r="I15" s="949">
        <v>1</v>
      </c>
      <c r="J15" s="950">
        <v>1</v>
      </c>
      <c r="K15" s="1373"/>
      <c r="L15" s="2783" t="s">
        <v>2815</v>
      </c>
      <c r="M15" s="920" t="s">
        <v>2880</v>
      </c>
      <c r="N15" s="920" t="s">
        <v>2881</v>
      </c>
      <c r="O15" s="920" t="s">
        <v>2882</v>
      </c>
      <c r="P15" s="2784"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3" t="s">
        <v>2884</v>
      </c>
      <c r="B16" s="2751" t="s">
        <v>2885</v>
      </c>
      <c r="C16" s="1804" t="e">
        <f>ROUND(SUM(G17:J17)/C17,0)</f>
        <v>#DIV/0!</v>
      </c>
      <c r="D16" s="2785" t="s">
        <v>2886</v>
      </c>
      <c r="E16" s="2786"/>
      <c r="F16" s="2787"/>
      <c r="G16" s="2788"/>
      <c r="H16" s="2788"/>
      <c r="I16" s="2788"/>
      <c r="J16" s="2789"/>
      <c r="K16" s="1373"/>
      <c r="L16" s="2790"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4"/>
      <c r="B17" s="2791" t="s">
        <v>2888</v>
      </c>
      <c r="C17" s="924">
        <f>SUMPRODUCT((修正!A2:A5=E2)*(修正!B1:M1=G2)*(修正!B2:M5))</f>
        <v>0</v>
      </c>
      <c r="D17" s="2792"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2892</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2893</v>
      </c>
      <c r="C19" s="927" t="e">
        <f>ROUND(IF(H19="按公示增长率计算",SUMPRODUCT((地价!A3:A23=YEAR(G19)&amp;"-"&amp;ROUNDUP(MONTH(G19)/3,0))*(地价!X2:AB2=E2)*(地价!X3:AB23)),IF(H19="地价指数",M20/M19,(1+I19)^O19)),4)</f>
        <v>#DIV/0!</v>
      </c>
      <c r="D19" s="2803" t="s">
        <v>2894</v>
      </c>
      <c r="E19" s="928">
        <v>41640</v>
      </c>
      <c r="F19" s="2803" t="s">
        <v>2895</v>
      </c>
      <c r="G19" s="929">
        <f>'数据-取费表'!B2</f>
        <v>43341</v>
      </c>
      <c r="H19" s="2804" t="s">
        <v>2896</v>
      </c>
      <c r="I19" s="930" t="str">
        <f>IF(H19="季度增幅（自定义）",SUMIF(N21:N24,E2,O21:O24),"")</f>
        <v/>
      </c>
      <c r="J19" s="2801"/>
      <c r="K19" s="1380"/>
      <c r="L19" s="2805" t="s">
        <v>2897</v>
      </c>
      <c r="M19" s="1737">
        <f>ROUND(SUMIF(地价!B2:F2,E2,地价!B23:F23),0)</f>
        <v>0</v>
      </c>
      <c r="N19" s="2806"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2899</v>
      </c>
      <c r="C20" s="932" t="e">
        <f>ROUND(POWER(1+G20,J20-I20)*(POWER(1+G20,I20)-1)/(POWER(1+G20,J20)-1),4)</f>
        <v>#DIV/0!</v>
      </c>
      <c r="D20" s="2812" t="s">
        <v>2900</v>
      </c>
      <c r="E20" s="1771">
        <f ca="1">存贷款利率!D4/100</f>
        <v>4.3499999999999997E-2</v>
      </c>
      <c r="F20" s="2812" t="s">
        <v>2891</v>
      </c>
      <c r="G20" s="937">
        <f>SUMIF(M15:P15,E2,M17:P17)</f>
        <v>0</v>
      </c>
      <c r="H20" s="2812" t="s">
        <v>2901</v>
      </c>
      <c r="I20" s="938" t="e">
        <f>SUMIF('数据-取费表'!C6:C15,E2,'数据-取费表'!F6:F15)/COUNTIF('数据-取费表'!C6:C15,E2)</f>
        <v>#DIV/0!</v>
      </c>
      <c r="J20" s="939">
        <f>IF(E2="住宅",70,IF(E2="商业",40,50))</f>
        <v>50</v>
      </c>
      <c r="K20" s="1380"/>
      <c r="L20" s="2813" t="s">
        <v>2902</v>
      </c>
      <c r="M20" s="1738">
        <f>ROUND(SUMPRODUCT((地价!A4:A23=YEAR(G19)&amp;"-"&amp;ROUNDUP(MONTH(G19)/3,0))*(地价!B2:F2=E2)*(地价!B4:F23)),0)</f>
        <v>0</v>
      </c>
      <c r="N20" s="2814" t="s">
        <v>2903</v>
      </c>
      <c r="O20" s="2815" t="s">
        <v>2904</v>
      </c>
      <c r="P20" s="2816" t="s">
        <v>2905</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2906</v>
      </c>
      <c r="C21" s="940">
        <f>IF(B21="容积率修正",IF(G3&lt;=10,D22,J22),C23)</f>
        <v>0</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v>
      </c>
      <c r="E22" s="916">
        <f>ROUNDDOWN(G3,1)</f>
        <v>2.7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t="e">
        <f>ROUND(C5*C18*C19*C20*C21*C24,0)</f>
        <v>#DIV/0!</v>
      </c>
      <c r="D29" s="2851"/>
      <c r="E29" s="945" t="e">
        <f>ROUND(C29*D29/10000,0)</f>
        <v>#DIV/0!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t="e">
        <f>ROUND(IF(E2="工业",C29*M39,C29*M38),0)</f>
        <v>#DIV/0!</v>
      </c>
      <c r="D30" s="2857"/>
      <c r="E30" s="945" t="e">
        <f>ROUND(C30*D30/10000,0)</f>
        <v>#DIV/0!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3" t="s">
        <v>2933</v>
      </c>
      <c r="B33" s="2867" t="s">
        <v>2934</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71" t="s">
        <v>2935</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71" t="s">
        <v>2936</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5"/>
      <c r="B36" s="2771" t="s">
        <v>2937</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2883</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51">
      <c r="A48" s="2884" t="s">
        <v>2953</v>
      </c>
      <c r="B48" s="2887" t="str">
        <f>估价对象房地状况!C4</f>
        <v>周边有旺角汇、东方广场等购物场所，商业氛围较成熟，人流量较大，商业繁华度较好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4" t="s">
        <v>2954</v>
      </c>
      <c r="B49" s="2888" t="str">
        <f>估价对象房地状况!C18</f>
        <v>临近云环路、南湖路，周边有周边有3路、18路、29路等公交线路，停车便捷度较好、综合评价交通便捷度较好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1" t="s">
        <v>2961</v>
      </c>
      <c r="B54" s="1728" t="str">
        <f>估价对象房地状况!C21</f>
        <v>周边有旺角汇、中国交通银行、观山湖区外国语实验小学、贵阳市白云区第一人民医院，公共配套设施较齐备</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2963</v>
      </c>
      <c r="B56" s="2893" t="str">
        <f>估价对象房地状况!C20</f>
        <v>区域内有泉湖公园，自然环境较好、有北京外国语大学，人文环境较好，综合评价自然及人文环境状况较好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51">
      <c r="A59" s="2884" t="s">
        <v>2966</v>
      </c>
      <c r="B59" s="2887" t="str">
        <f>估价对象房地状况!C17</f>
        <v>周边办公楼项目较多，有贵州金融城、贵阳富力中心等，入驻率较高，办公集聚程度较好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4" t="s">
        <v>2954</v>
      </c>
      <c r="B60" s="2888" t="str">
        <f>估价对象房地状况!C18</f>
        <v>临近云环路、南湖路，周边有周边有3路、18路、29路等公交线路，停车便捷度较好、综合评价交通便捷度较好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4" t="s">
        <v>2961</v>
      </c>
      <c r="B65" s="1728" t="str">
        <f>估价对象房地状况!C21</f>
        <v>周边有旺角汇、中国交通银行、观山湖区外国语实验小学、贵阳市白云区第一人民医院，公共配套设施较齐备</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2963</v>
      </c>
      <c r="B67" s="2894" t="str">
        <f>估价对象房地状况!C20</f>
        <v>区域内有泉湖公园，自然环境较好、有北京外国语大学，人文环境较好，综合评价自然及人文环境状况较好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4" t="s">
        <v>2954</v>
      </c>
      <c r="B71" s="2888" t="str">
        <f>估价对象房地状况!C18</f>
        <v>临近云环路、南湖路，周边有周边有3路、18路、29路等公交线路，停车便捷度较好、综合评价交通便捷度较好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4" t="s">
        <v>2961</v>
      </c>
      <c r="B74" s="1728" t="str">
        <f>估价对象房地状况!C21</f>
        <v>周边有旺角汇、中国交通银行、观山湖区外国语实验小学、贵阳市白云区第一人民医院，公共配套设施较齐备</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2963</v>
      </c>
      <c r="B77" s="2887" t="str">
        <f>估价对象房地状况!C20</f>
        <v>区域内有泉湖公园，自然环境较好、有北京外国语大学，人文环境较好，综合评价自然及人文环境状况较好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2598</v>
      </c>
      <c r="K80" s="603" t="s">
        <v>2599</v>
      </c>
      <c r="L80" s="603" t="s">
        <v>2600</v>
      </c>
      <c r="M80" s="603" t="s">
        <v>2601</v>
      </c>
      <c r="N80" s="603" t="s">
        <v>2602</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7" t="s">
        <v>2975</v>
      </c>
      <c r="B90" s="3257"/>
      <c r="C90" s="3257"/>
      <c r="D90" s="3257"/>
      <c r="E90" s="3257"/>
      <c r="F90" s="3257"/>
      <c r="G90" s="3257"/>
      <c r="H90" s="3257"/>
      <c r="I90" s="3257"/>
      <c r="J90" s="3257"/>
      <c r="K90" s="2898"/>
      <c r="L90" s="2898"/>
      <c r="M90" s="2898"/>
      <c r="N90" s="2898"/>
    </row>
    <row r="91" spans="1:37">
      <c r="A91" s="3259" t="s">
        <v>2976</v>
      </c>
      <c r="B91" s="3259" t="s">
        <v>2977</v>
      </c>
      <c r="C91" s="2852" t="s">
        <v>2978</v>
      </c>
      <c r="D91" s="2853"/>
      <c r="E91" s="2853"/>
      <c r="F91" s="2853"/>
      <c r="G91" s="2853"/>
      <c r="H91" s="2853"/>
      <c r="I91" s="2853"/>
      <c r="J91" s="2899"/>
      <c r="K91" s="2900"/>
      <c r="L91" s="2900"/>
      <c r="M91" s="2900"/>
      <c r="N91" s="2900"/>
    </row>
    <row r="92" spans="1:37">
      <c r="A92" s="3259"/>
      <c r="B92" s="3259"/>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0"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1"/>
      <c r="B99" s="2901" t="s">
        <v>2858</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0" t="s">
        <v>2980</v>
      </c>
      <c r="B101" s="2905" t="s">
        <v>2981</v>
      </c>
      <c r="C101" s="2906">
        <f>$G$3</f>
        <v>2.79</v>
      </c>
      <c r="D101" s="2906">
        <f t="shared" ref="D101:N101" si="31">$G$3</f>
        <v>2.79</v>
      </c>
      <c r="E101" s="2906">
        <f t="shared" si="31"/>
        <v>2.79</v>
      </c>
      <c r="F101" s="2906">
        <f t="shared" si="31"/>
        <v>2.79</v>
      </c>
      <c r="G101" s="2906">
        <f t="shared" si="31"/>
        <v>2.79</v>
      </c>
      <c r="H101" s="2906">
        <f t="shared" si="31"/>
        <v>2.79</v>
      </c>
      <c r="I101" s="2906">
        <f t="shared" si="31"/>
        <v>2.79</v>
      </c>
      <c r="J101" s="2906">
        <f t="shared" si="31"/>
        <v>2.79</v>
      </c>
      <c r="K101" s="2906">
        <f t="shared" si="31"/>
        <v>2.79</v>
      </c>
      <c r="L101" s="2906">
        <f t="shared" si="31"/>
        <v>2.79</v>
      </c>
      <c r="M101" s="2906">
        <f t="shared" si="31"/>
        <v>2.79</v>
      </c>
      <c r="N101" s="2906">
        <f t="shared" si="31"/>
        <v>2.79</v>
      </c>
    </row>
    <row r="102" spans="1:14">
      <c r="A102" s="3261"/>
      <c r="B102" s="2901">
        <v>1</v>
      </c>
      <c r="C102" s="2902">
        <f>1.9362/C101</f>
        <v>0.69397849462365591</v>
      </c>
      <c r="D102" s="2902">
        <f>1.9362/D101</f>
        <v>0.69397849462365591</v>
      </c>
      <c r="E102" s="2902">
        <f>1.8629/E101</f>
        <v>0.6677060931899641</v>
      </c>
      <c r="F102" s="2902">
        <f>1.8629/F101</f>
        <v>0.6677060931899641</v>
      </c>
      <c r="G102" s="2902">
        <f>1.8629/G101</f>
        <v>0.6677060931899641</v>
      </c>
      <c r="H102" s="2902">
        <f>1.8629/H101</f>
        <v>0.6677060931899641</v>
      </c>
      <c r="I102" s="2902">
        <f>1.8629/I101</f>
        <v>0.6677060931899641</v>
      </c>
      <c r="J102" s="2902">
        <f>1.942/J101</f>
        <v>0.69605734767025085</v>
      </c>
      <c r="K102" s="2902">
        <f>1.942/K101</f>
        <v>0.69605734767025085</v>
      </c>
      <c r="L102" s="2902">
        <f>1.942/L101</f>
        <v>0.69605734767025085</v>
      </c>
      <c r="M102" s="2902">
        <f>1.942/M101</f>
        <v>0.69605734767025085</v>
      </c>
      <c r="N102" s="2902">
        <f>1.942/N101</f>
        <v>0.69605734767025085</v>
      </c>
    </row>
    <row r="103" spans="1:14">
      <c r="A103" s="3261"/>
      <c r="B103" s="2901">
        <v>2</v>
      </c>
      <c r="C103" s="2902">
        <f>1.4198/C101</f>
        <v>0.50888888888888884</v>
      </c>
      <c r="D103" s="2902">
        <f>1.4198/D101</f>
        <v>0.50888888888888884</v>
      </c>
      <c r="E103" s="2902">
        <f>1.3372/E101</f>
        <v>0.47928315412186379</v>
      </c>
      <c r="F103" s="2902">
        <f>1.3372/F101</f>
        <v>0.47928315412186379</v>
      </c>
      <c r="G103" s="2902">
        <f>1.3372/G101</f>
        <v>0.47928315412186379</v>
      </c>
      <c r="H103" s="2902">
        <f>1.3372/H101</f>
        <v>0.47928315412186379</v>
      </c>
      <c r="I103" s="2902">
        <f>1.3372/I101</f>
        <v>0.47928315412186379</v>
      </c>
      <c r="J103" s="2902">
        <f>1.2799/J101</f>
        <v>0.45874551971326166</v>
      </c>
      <c r="K103" s="2902">
        <f>1.2799/K101</f>
        <v>0.45874551971326166</v>
      </c>
      <c r="L103" s="2902">
        <f>1.2799/L101</f>
        <v>0.45874551971326166</v>
      </c>
      <c r="M103" s="2902">
        <f>1.2799/M101</f>
        <v>0.45874551971326166</v>
      </c>
      <c r="N103" s="2902">
        <f>1.2799/N101</f>
        <v>0.45874551971326166</v>
      </c>
    </row>
    <row r="104" spans="1:14">
      <c r="A104" s="3261"/>
      <c r="B104" s="2901">
        <v>3</v>
      </c>
      <c r="C104" s="2902">
        <f>1.1594/C101</f>
        <v>0.41555555555555557</v>
      </c>
      <c r="D104" s="2902">
        <f>1.1594/D101</f>
        <v>0.41555555555555557</v>
      </c>
      <c r="E104" s="2902">
        <f>1.0788/E101</f>
        <v>0.38666666666666666</v>
      </c>
      <c r="F104" s="2902">
        <f>1.0788/F101</f>
        <v>0.38666666666666666</v>
      </c>
      <c r="G104" s="2902">
        <f>1.0788/G101</f>
        <v>0.38666666666666666</v>
      </c>
      <c r="H104" s="2902">
        <f>1.0788/H101</f>
        <v>0.38666666666666666</v>
      </c>
      <c r="I104" s="2902">
        <f>1.0788/I101</f>
        <v>0.38666666666666666</v>
      </c>
      <c r="J104" s="2902">
        <f>1.0072/J101</f>
        <v>0.36100358422939072</v>
      </c>
      <c r="K104" s="2902">
        <f>1.0072/K101</f>
        <v>0.36100358422939072</v>
      </c>
      <c r="L104" s="2902">
        <f>1.0072/L101</f>
        <v>0.36100358422939072</v>
      </c>
      <c r="M104" s="2902">
        <f>1.0072/M101</f>
        <v>0.36100358422939072</v>
      </c>
      <c r="N104" s="2902">
        <f>1.0072/N101</f>
        <v>0.36100358422939072</v>
      </c>
    </row>
    <row r="105" spans="1:14">
      <c r="A105" s="3261"/>
      <c r="B105" s="2901">
        <v>4</v>
      </c>
      <c r="C105" s="2902">
        <f>0.9622/C101</f>
        <v>0.34487455197132616</v>
      </c>
      <c r="D105" s="2902">
        <f>0.9622/D101</f>
        <v>0.34487455197132616</v>
      </c>
      <c r="E105" s="2902">
        <f>0.8656/E101</f>
        <v>0.31025089605734768</v>
      </c>
      <c r="F105" s="2902">
        <f>0.8656/F101</f>
        <v>0.31025089605734768</v>
      </c>
      <c r="G105" s="2902">
        <f>0.8656/G101</f>
        <v>0.31025089605734768</v>
      </c>
      <c r="H105" s="2902">
        <f>0.8656/H101</f>
        <v>0.31025089605734768</v>
      </c>
      <c r="I105" s="2902">
        <f>0.8656/I101</f>
        <v>0.31025089605734768</v>
      </c>
      <c r="J105" s="2902">
        <f>0.7525/J101</f>
        <v>0.26971326164874548</v>
      </c>
      <c r="K105" s="2902">
        <f>0.7525/K101</f>
        <v>0.26971326164874548</v>
      </c>
      <c r="L105" s="2902">
        <f>0.7525/L101</f>
        <v>0.26971326164874548</v>
      </c>
      <c r="M105" s="2902">
        <f>0.7525/M101</f>
        <v>0.26971326164874548</v>
      </c>
      <c r="N105" s="2902">
        <f>0.7525/N101</f>
        <v>0.26971326164874548</v>
      </c>
    </row>
    <row r="106" spans="1:14">
      <c r="A106" s="3261"/>
      <c r="B106" s="2901">
        <v>5</v>
      </c>
      <c r="C106" s="2902">
        <f>0.8417/C101</f>
        <v>0.30168458781362006</v>
      </c>
      <c r="D106" s="2902">
        <f>0.8417/D101</f>
        <v>0.30168458781362006</v>
      </c>
      <c r="E106" s="2902">
        <f>0.7371/E101</f>
        <v>0.26419354838709674</v>
      </c>
      <c r="F106" s="2902">
        <f>0.7371/F101</f>
        <v>0.26419354838709674</v>
      </c>
      <c r="G106" s="2902">
        <f>0.7371/G101</f>
        <v>0.26419354838709674</v>
      </c>
      <c r="H106" s="2902">
        <f>0.7371/H101</f>
        <v>0.26419354838709674</v>
      </c>
      <c r="I106" s="2902">
        <f>0.7371/I101</f>
        <v>0.26419354838709674</v>
      </c>
      <c r="J106" s="2902">
        <f>0.5659/J101</f>
        <v>0.20283154121863797</v>
      </c>
      <c r="K106" s="2902">
        <f>0.5659/K101</f>
        <v>0.20283154121863797</v>
      </c>
      <c r="L106" s="2902">
        <f>0.5659/L101</f>
        <v>0.20283154121863797</v>
      </c>
      <c r="M106" s="2902">
        <f>0.5659/M101</f>
        <v>0.20283154121863797</v>
      </c>
      <c r="N106" s="2902">
        <f>0.5659/N101</f>
        <v>0.20283154121863797</v>
      </c>
    </row>
    <row r="107" spans="1:14">
      <c r="A107" s="3261"/>
      <c r="B107" s="2901">
        <v>6</v>
      </c>
      <c r="C107" s="2902">
        <f>0.7608/C101</f>
        <v>0.27268817204301077</v>
      </c>
      <c r="D107" s="2902">
        <f>0.7608/D101</f>
        <v>0.27268817204301077</v>
      </c>
      <c r="E107" s="2902">
        <f>0.6482/E101</f>
        <v>0.23232974910394266</v>
      </c>
      <c r="F107" s="2902">
        <f>0.6482/F101</f>
        <v>0.23232974910394266</v>
      </c>
      <c r="G107" s="2902">
        <f>0.6482/G101</f>
        <v>0.23232974910394266</v>
      </c>
      <c r="H107" s="2902">
        <f>0.6482/H101</f>
        <v>0.23232974910394266</v>
      </c>
      <c r="I107" s="2902">
        <f>0.6482/I101</f>
        <v>0.23232974910394266</v>
      </c>
      <c r="J107" s="2902">
        <f>0.4525/J101</f>
        <v>0.16218637992831542</v>
      </c>
      <c r="K107" s="2902">
        <f>0.4525/K101</f>
        <v>0.16218637992831542</v>
      </c>
      <c r="L107" s="2902">
        <f>0.4525/L101</f>
        <v>0.16218637992831542</v>
      </c>
      <c r="M107" s="2902">
        <f>0.4525/M101</f>
        <v>0.16218637992831542</v>
      </c>
      <c r="N107" s="2902">
        <f>0.4525/N101</f>
        <v>0.16218637992831542</v>
      </c>
    </row>
    <row r="108" spans="1:14">
      <c r="A108" s="3261"/>
      <c r="B108" s="3119"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2"/>
      <c r="B109" s="3120"/>
      <c r="C109" s="2904">
        <f>(-0.163*(C108^2)-0.59*C108+7617)*(10^(-4))/C101</f>
        <v>0.27301075268817204</v>
      </c>
      <c r="D109" s="2904">
        <f>(-0.163*(D108^2)-0.59*D108+7617)*(10^(-4))/D101</f>
        <v>0.27301075268817204</v>
      </c>
      <c r="E109" s="2904">
        <f>(-0.161*(E108^2)-7.509*E108+6533)*(10^(-4))/E101</f>
        <v>0.23415770609318995</v>
      </c>
      <c r="F109" s="2904">
        <f>(-0.161*(F108^2)-7.509*F108+6533)*(10^(-4))/F101</f>
        <v>0.23415770609318995</v>
      </c>
      <c r="G109" s="2904">
        <f>(-0.161*(G108^2)-7.509*G108+6533)*(10^(-4))/G101</f>
        <v>0.23415770609318995</v>
      </c>
      <c r="H109" s="2904">
        <f>(-0.161*(H108^2)-7.509*H108+6533)*(10^(-4))/H101</f>
        <v>0.23415770609318995</v>
      </c>
      <c r="I109" s="2904">
        <f>(-0.161*(I108^2)-7.509*I108+6533)*(10^(-4))/I101</f>
        <v>0.23415770609318995</v>
      </c>
      <c r="J109" s="2904">
        <f>(-0.214*(J108^2)-21.991*J108+4665)*(10^(-4))/J101</f>
        <v>0.16720430107526882</v>
      </c>
      <c r="K109" s="2904">
        <f>(-0.214*(K108^2)-21.991*K108+4665)*(10^(-4))/K101</f>
        <v>0.16720430107526882</v>
      </c>
      <c r="L109" s="2904">
        <f>(-0.214*(L108^2)-21.991*L108+4665)*(10^(-4))/L101</f>
        <v>0.16720430107526882</v>
      </c>
      <c r="M109" s="2904">
        <f>(-0.214*(M108^2)-21.991*M108+4665)*(10^(-4))/M101</f>
        <v>0.16720430107526882</v>
      </c>
      <c r="N109" s="2904">
        <f>(-0.214*(N108^2)-21.991*N108+4665)*(10^(-4))/N101</f>
        <v>0.16720430107526882</v>
      </c>
    </row>
    <row r="110" spans="1:14">
      <c r="A110" s="3258" t="s">
        <v>2983</v>
      </c>
      <c r="B110" s="3258"/>
      <c r="C110" s="3258"/>
      <c r="D110" s="3258"/>
      <c r="E110" s="3258"/>
      <c r="F110" s="3258"/>
      <c r="G110" s="3258"/>
      <c r="H110" s="3258"/>
      <c r="I110" s="3258"/>
      <c r="J110" s="3258"/>
      <c r="K110" s="2907"/>
      <c r="L110" s="2907"/>
      <c r="M110" s="2907"/>
      <c r="N110" s="2907"/>
    </row>
    <row r="112" spans="1:14" ht="13.5" thickBot="1"/>
    <row r="113" spans="1:13" ht="25.5" thickBot="1">
      <c r="A113" s="903" t="s">
        <v>2984</v>
      </c>
      <c r="B113" s="1290">
        <f>G3</f>
        <v>2.79</v>
      </c>
      <c r="C113" s="904" t="s">
        <v>2985</v>
      </c>
      <c r="D113" s="905">
        <f>SUMPRODUCT((A115:A118=F113)*(B114:M114=H113)*B115:M118)</f>
        <v>0</v>
      </c>
      <c r="E113" s="2730" t="s">
        <v>2815</v>
      </c>
      <c r="F113" s="2909">
        <f>E2</f>
        <v>0</v>
      </c>
      <c r="G113" s="2730" t="s">
        <v>2816</v>
      </c>
      <c r="H113" s="2909">
        <f>G2</f>
        <v>0</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2881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2882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2883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t="e">
        <f ca="1">SUMIF(B6:B13,"&lt;&gt;#ref!",B6:B13)</f>
        <v>#DIV/0!</v>
      </c>
      <c r="C2" s="2916" t="s">
        <v>2999</v>
      </c>
      <c r="D2" s="2916" t="s">
        <v>3000</v>
      </c>
      <c r="E2" s="2917">
        <f ca="1">SUMIF(E6:E13,"&lt;&gt;#ref!",E6:E13)</f>
        <v>0</v>
      </c>
    </row>
    <row r="3" spans="1:5" ht="15.75">
      <c r="A3" s="2916" t="s">
        <v>3001</v>
      </c>
      <c r="B3" s="2917" t="e">
        <f ca="1">ROUND(B2*10000/E2,0)</f>
        <v>#DIV/0!</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t="e">
        <f ca="1">SUMIF(INDIRECT("'"&amp;A6&amp;"'"&amp;"!A:A"),"总价",INDIRECT("'"&amp;A6&amp;"'"&amp;"!B:B"))</f>
        <v>#DIV/0!</v>
      </c>
      <c r="C6" s="2916" t="s">
        <v>2999</v>
      </c>
      <c r="D6" s="2918"/>
      <c r="E6" s="2581">
        <f ca="1">SUMIF(INDIRECT("'"&amp;A6&amp;"'"&amp;"!C:C"),"建筑面积",INDIRECT("'"&amp;A6&amp;"'"&amp;"!D:D"))</f>
        <v>0</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71" t="s">
        <v>1151</v>
      </c>
      <c r="H1" s="3271"/>
      <c r="I1" s="3271"/>
      <c r="J1" s="3271"/>
      <c r="K1" s="3271"/>
      <c r="L1" s="3271"/>
      <c r="N1" s="3271" t="s">
        <v>1152</v>
      </c>
      <c r="O1" s="3271"/>
      <c r="P1" s="3271"/>
      <c r="Q1" s="3271"/>
      <c r="R1" s="1449"/>
      <c r="S1" s="3271" t="s">
        <v>1153</v>
      </c>
      <c r="T1" s="3271"/>
      <c r="U1" s="3271"/>
      <c r="V1" s="3271"/>
      <c r="X1" s="3270" t="s">
        <v>1154</v>
      </c>
      <c r="Y1" s="3271"/>
      <c r="Z1" s="3271"/>
      <c r="AA1" s="3271"/>
      <c r="AB1" s="3271"/>
      <c r="AD1" s="3270" t="s">
        <v>1155</v>
      </c>
      <c r="AE1" s="3271"/>
      <c r="AF1" s="3271"/>
      <c r="AG1" s="3271"/>
      <c r="AH1" s="327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3041</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8" t="s">
        <v>3009</v>
      </c>
      <c r="D1" s="3279"/>
      <c r="E1" s="3279"/>
      <c r="F1" s="3279"/>
      <c r="G1" s="3279"/>
      <c r="H1" s="3279"/>
      <c r="I1" s="3279"/>
      <c r="J1" s="3279"/>
      <c r="K1" s="3279"/>
      <c r="L1" s="3279"/>
      <c r="M1" s="3279"/>
      <c r="N1" s="3279"/>
      <c r="O1" s="3279"/>
      <c r="P1" s="3279"/>
      <c r="Q1" s="3279"/>
      <c r="R1" s="3279"/>
      <c r="S1" s="328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6"/>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41" t="s">
        <v>33</v>
      </c>
      <c r="D22" s="3142"/>
      <c r="E22" s="3142"/>
      <c r="F22" s="3142"/>
      <c r="G22" s="3142"/>
      <c r="H22" s="3142"/>
      <c r="I22" s="3142"/>
      <c r="J22" s="3142"/>
      <c r="K22" s="3142"/>
      <c r="L22" s="3142"/>
      <c r="M22" s="3142"/>
      <c r="N22" s="3142"/>
      <c r="O22" s="3142"/>
      <c r="P22" s="3142"/>
      <c r="Q22" s="327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57790</v>
      </c>
      <c r="E5" s="1962"/>
    </row>
    <row r="6" spans="1:5" ht="15.75">
      <c r="A6" s="1962"/>
      <c r="B6" s="2962"/>
      <c r="C6" s="1965" t="s">
        <v>1624</v>
      </c>
      <c r="D6" s="1043" t="str">
        <f ca="1">NUMBERSTRING(INT(D5*10000),2)&amp;"元整"</f>
        <v>伍亿柒仟柒佰玖拾万元整</v>
      </c>
      <c r="E6" s="1962"/>
    </row>
    <row r="7" spans="1:5" ht="15.75">
      <c r="A7" s="1962"/>
      <c r="B7" s="2967"/>
      <c r="C7" s="1966" t="s">
        <v>1625</v>
      </c>
      <c r="D7" s="1044">
        <f ca="1">结果表!H102</f>
        <v>14932</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57790</v>
      </c>
      <c r="E13" s="1962"/>
    </row>
    <row r="14" spans="1:5" ht="15.75">
      <c r="A14" s="1962"/>
      <c r="B14" s="2962"/>
      <c r="C14" s="1965" t="s">
        <v>1624</v>
      </c>
      <c r="D14" s="1043" t="str">
        <f ca="1">NUMBERSTRING(INT(D13*10000),2)&amp;"元整"</f>
        <v>伍亿柒仟柒佰玖拾万元整</v>
      </c>
      <c r="E14" s="1962"/>
    </row>
    <row r="15" spans="1:5" ht="15">
      <c r="A15" s="1962"/>
      <c r="B15" s="2967"/>
      <c r="C15" s="1966" t="s">
        <v>1634</v>
      </c>
      <c r="D15" s="1055">
        <f ca="1">结果表!H108</f>
        <v>14932</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46" t="s">
        <v>121</v>
      </c>
    </row>
    <row r="43" spans="1:7" ht="13.5" customHeight="1">
      <c r="A43" s="954" t="s">
        <v>792</v>
      </c>
      <c r="B43" s="259" t="s">
        <v>1064</v>
      </c>
      <c r="C43" s="282">
        <f ca="1">ROUND(IF('数据-取费表'!B22&lt;=1,C39*F22*'数据-取费表'!B21/2,C39*(POWER((1+F22),'数据-取费表'!B21/2)-1)),0)</f>
        <v>40</v>
      </c>
      <c r="D43" s="282"/>
      <c r="E43" s="282"/>
      <c r="F43" s="283"/>
      <c r="G43" s="3147"/>
    </row>
    <row r="44" spans="1:7" ht="13.5" customHeight="1">
      <c r="A44" s="954" t="s">
        <v>793</v>
      </c>
      <c r="B44" s="259" t="s">
        <v>1066</v>
      </c>
      <c r="C44" s="282">
        <f ca="1">ROUND(IF('数据-取费表'!B22&lt;=1,C40*F22*'数据-取费表'!B21/2,C40*(POWER((1+F22),'数据-取费表'!B21/2)-1)),4)</f>
        <v>1.8E-3</v>
      </c>
      <c r="D44" s="282"/>
      <c r="E44" s="282"/>
      <c r="F44" s="283"/>
      <c r="G44" s="3148"/>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6" sqref="A6"/>
    </sheetView>
  </sheetViews>
  <sheetFormatPr defaultRowHeight="13.5"/>
  <cols>
    <col min="1" max="1" width="22.25" customWidth="1"/>
  </cols>
  <sheetData>
    <row r="1" spans="1:14">
      <c r="A1" s="1638" t="s">
        <v>3063</v>
      </c>
      <c r="B1" s="1638" t="s">
        <v>3064</v>
      </c>
      <c r="C1" s="1638" t="s">
        <v>3065</v>
      </c>
      <c r="D1" s="1638" t="s">
        <v>3066</v>
      </c>
      <c r="E1" s="1638" t="s">
        <v>3067</v>
      </c>
      <c r="F1" s="1638" t="s">
        <v>3068</v>
      </c>
      <c r="G1" s="1638" t="s">
        <v>3069</v>
      </c>
      <c r="H1" s="1638" t="s">
        <v>3070</v>
      </c>
      <c r="I1" s="1638" t="s">
        <v>3071</v>
      </c>
      <c r="J1" s="1638" t="s">
        <v>3072</v>
      </c>
      <c r="K1" s="1638" t="s">
        <v>3073</v>
      </c>
      <c r="L1" s="1638" t="s">
        <v>3074</v>
      </c>
      <c r="M1" s="1638" t="s">
        <v>3075</v>
      </c>
      <c r="N1" s="1638"/>
    </row>
    <row r="2" spans="1:14">
      <c r="A2" s="1638" t="s">
        <v>3076</v>
      </c>
      <c r="B2" s="1638" t="s">
        <v>3077</v>
      </c>
      <c r="C2" s="1638" t="s">
        <v>3078</v>
      </c>
      <c r="D2" s="1638">
        <v>22250.3</v>
      </c>
      <c r="E2" s="1638">
        <v>33375.449999999997</v>
      </c>
      <c r="F2" s="1638" t="s">
        <v>3079</v>
      </c>
      <c r="G2" s="1638" t="s">
        <v>3080</v>
      </c>
      <c r="H2" s="1638" t="s">
        <v>3081</v>
      </c>
      <c r="I2" s="1638" t="s">
        <v>1331</v>
      </c>
      <c r="J2" s="1638">
        <v>19457.88</v>
      </c>
      <c r="K2" s="1638">
        <v>5830</v>
      </c>
      <c r="L2" s="1638" t="s">
        <v>1331</v>
      </c>
      <c r="M2" s="1638" t="s">
        <v>3082</v>
      </c>
      <c r="N2" s="1638"/>
    </row>
    <row r="3" spans="1:14">
      <c r="A3" s="2958" t="s">
        <v>3153</v>
      </c>
      <c r="B3" s="2949" t="s">
        <v>3077</v>
      </c>
      <c r="C3" s="2949" t="s">
        <v>3078</v>
      </c>
      <c r="D3" s="2949">
        <v>17099.400000000001</v>
      </c>
      <c r="E3" s="2949">
        <v>42748.5</v>
      </c>
      <c r="F3" s="2949" t="s">
        <v>3084</v>
      </c>
      <c r="G3" s="2949" t="s">
        <v>3080</v>
      </c>
      <c r="H3" s="2949" t="s">
        <v>3085</v>
      </c>
      <c r="I3" s="2949">
        <v>8164.96</v>
      </c>
      <c r="J3" s="2949">
        <v>8451.3700000000008</v>
      </c>
      <c r="K3" s="2949">
        <v>1977</v>
      </c>
      <c r="L3" s="2949">
        <v>3.51</v>
      </c>
      <c r="M3" s="2949" t="s">
        <v>3086</v>
      </c>
      <c r="N3" s="2949"/>
    </row>
    <row r="4" spans="1:14">
      <c r="A4" s="2949" t="s">
        <v>3083</v>
      </c>
      <c r="B4" s="2949" t="s">
        <v>3077</v>
      </c>
      <c r="C4" s="2949" t="s">
        <v>3078</v>
      </c>
      <c r="D4" s="2949">
        <v>18658.7</v>
      </c>
      <c r="E4" s="2949">
        <v>37317.4</v>
      </c>
      <c r="F4" s="2949" t="s">
        <v>3087</v>
      </c>
      <c r="G4" s="2949" t="s">
        <v>3080</v>
      </c>
      <c r="H4" s="2949" t="s">
        <v>3085</v>
      </c>
      <c r="I4" s="2949">
        <v>7687.38</v>
      </c>
      <c r="J4" s="2949">
        <v>7963.52</v>
      </c>
      <c r="K4" s="2949">
        <v>2134</v>
      </c>
      <c r="L4" s="2949">
        <v>3.59</v>
      </c>
      <c r="M4" s="2949" t="s">
        <v>3086</v>
      </c>
      <c r="N4" s="2949"/>
    </row>
    <row r="5" spans="1:14">
      <c r="A5" s="1638" t="s">
        <v>3088</v>
      </c>
      <c r="B5" s="1638" t="s">
        <v>3077</v>
      </c>
      <c r="C5" s="1638" t="s">
        <v>3078</v>
      </c>
      <c r="D5" s="1638">
        <v>2953.7</v>
      </c>
      <c r="E5" s="1638">
        <v>2362.96</v>
      </c>
      <c r="F5" s="1638" t="s">
        <v>3089</v>
      </c>
      <c r="G5" s="1638" t="s">
        <v>3080</v>
      </c>
      <c r="H5" s="1638" t="s">
        <v>3090</v>
      </c>
      <c r="I5" s="1638">
        <v>1200</v>
      </c>
      <c r="J5" s="1638">
        <v>1256</v>
      </c>
      <c r="K5" s="1638">
        <v>5315.36</v>
      </c>
      <c r="L5" s="1638">
        <v>4.67</v>
      </c>
      <c r="M5" s="1638" t="s">
        <v>3091</v>
      </c>
      <c r="N5" s="1638"/>
    </row>
    <row r="6" spans="1:14">
      <c r="A6" s="2958" t="s">
        <v>3154</v>
      </c>
      <c r="B6" s="2949" t="s">
        <v>3077</v>
      </c>
      <c r="C6" s="2949" t="s">
        <v>3078</v>
      </c>
      <c r="D6" s="2949">
        <v>33337.599999999999</v>
      </c>
      <c r="E6" s="2949">
        <v>166688</v>
      </c>
      <c r="F6" s="2949" t="s">
        <v>3092</v>
      </c>
      <c r="G6" s="2949" t="s">
        <v>3080</v>
      </c>
      <c r="H6" s="2949" t="s">
        <v>3093</v>
      </c>
      <c r="I6" s="2949" t="s">
        <v>1331</v>
      </c>
      <c r="J6" s="2949">
        <v>38421.58</v>
      </c>
      <c r="K6" s="2949">
        <v>2305</v>
      </c>
      <c r="L6" s="2949" t="s">
        <v>1331</v>
      </c>
      <c r="M6" s="2949" t="s">
        <v>3094</v>
      </c>
      <c r="N6" s="2949"/>
    </row>
    <row r="7" spans="1:14">
      <c r="A7" s="1638" t="s">
        <v>3095</v>
      </c>
      <c r="B7" s="1638" t="s">
        <v>3077</v>
      </c>
      <c r="C7" s="1638" t="s">
        <v>3078</v>
      </c>
      <c r="D7" s="1638">
        <v>80571.39</v>
      </c>
      <c r="E7" s="1638">
        <v>120857.1</v>
      </c>
      <c r="F7" s="1638" t="s">
        <v>3096</v>
      </c>
      <c r="G7" s="1638" t="s">
        <v>3080</v>
      </c>
      <c r="H7" s="1638" t="s">
        <v>3097</v>
      </c>
      <c r="I7" s="1638">
        <v>540</v>
      </c>
      <c r="J7" s="1638">
        <v>562</v>
      </c>
      <c r="K7" s="1638">
        <v>46.5</v>
      </c>
      <c r="L7" s="1638">
        <v>4.07</v>
      </c>
      <c r="M7" s="1638" t="s">
        <v>3098</v>
      </c>
      <c r="N7" s="1638"/>
    </row>
    <row r="8" spans="1:14">
      <c r="A8" s="1638" t="s">
        <v>3099</v>
      </c>
      <c r="B8" s="1638" t="s">
        <v>3077</v>
      </c>
      <c r="C8" s="1638" t="s">
        <v>3078</v>
      </c>
      <c r="D8" s="1638">
        <v>93318.47</v>
      </c>
      <c r="E8" s="1638">
        <v>139977.70000000001</v>
      </c>
      <c r="F8" s="1638" t="s">
        <v>3096</v>
      </c>
      <c r="G8" s="1638" t="s">
        <v>3080</v>
      </c>
      <c r="H8" s="1638" t="s">
        <v>3097</v>
      </c>
      <c r="I8" s="1638">
        <v>1660</v>
      </c>
      <c r="J8" s="1638">
        <v>1718</v>
      </c>
      <c r="K8" s="1638">
        <v>122.73</v>
      </c>
      <c r="L8" s="1638">
        <v>3.49</v>
      </c>
      <c r="M8" s="1638" t="s">
        <v>3098</v>
      </c>
      <c r="N8" s="1638"/>
    </row>
    <row r="9" spans="1:14">
      <c r="A9" s="1638" t="s">
        <v>3100</v>
      </c>
      <c r="B9" s="1638" t="s">
        <v>3077</v>
      </c>
      <c r="C9" s="1638" t="s">
        <v>3078</v>
      </c>
      <c r="D9" s="1638">
        <v>41392.5</v>
      </c>
      <c r="E9" s="1638">
        <v>114243.3</v>
      </c>
      <c r="F9" s="1638" t="s">
        <v>3101</v>
      </c>
      <c r="G9" s="1638" t="s">
        <v>3080</v>
      </c>
      <c r="H9" s="1638" t="s">
        <v>3102</v>
      </c>
      <c r="I9" s="1638" t="s">
        <v>1331</v>
      </c>
      <c r="J9" s="1638">
        <v>17673.43</v>
      </c>
      <c r="K9" s="1638">
        <v>1547</v>
      </c>
      <c r="L9" s="1638" t="s">
        <v>1331</v>
      </c>
      <c r="M9" s="1638" t="s">
        <v>3103</v>
      </c>
      <c r="N9" s="1638"/>
    </row>
    <row r="10" spans="1:14">
      <c r="A10" s="1638" t="s">
        <v>3104</v>
      </c>
      <c r="B10" s="1638" t="s">
        <v>3077</v>
      </c>
      <c r="C10" s="1638" t="s">
        <v>3078</v>
      </c>
      <c r="D10" s="1638">
        <v>45681.599999999999</v>
      </c>
      <c r="E10" s="1638">
        <v>182726.39999999999</v>
      </c>
      <c r="F10" s="1638" t="s">
        <v>3105</v>
      </c>
      <c r="G10" s="1638" t="s">
        <v>3106</v>
      </c>
      <c r="H10" s="1638" t="s">
        <v>3107</v>
      </c>
      <c r="I10" s="1638" t="s">
        <v>1331</v>
      </c>
      <c r="J10" s="1638">
        <v>30040.22</v>
      </c>
      <c r="K10" s="1638">
        <v>1644</v>
      </c>
      <c r="L10" s="1638" t="s">
        <v>1331</v>
      </c>
      <c r="M10" s="1638" t="s">
        <v>3104</v>
      </c>
      <c r="N10" s="1638"/>
    </row>
    <row r="11" spans="1:14">
      <c r="A11" s="1638" t="s">
        <v>3108</v>
      </c>
      <c r="B11" s="1638" t="s">
        <v>3077</v>
      </c>
      <c r="C11" s="1638" t="s">
        <v>3078</v>
      </c>
      <c r="D11" s="1638">
        <v>218212.8</v>
      </c>
      <c r="E11" s="1638">
        <v>763744.8</v>
      </c>
      <c r="F11" s="1638" t="s">
        <v>3109</v>
      </c>
      <c r="G11" s="1638" t="s">
        <v>3080</v>
      </c>
      <c r="H11" s="1638" t="s">
        <v>3110</v>
      </c>
      <c r="I11" s="1638">
        <v>22800</v>
      </c>
      <c r="J11" s="1638">
        <v>22800</v>
      </c>
      <c r="K11" s="1638">
        <v>298.52</v>
      </c>
      <c r="L11" s="1638">
        <v>0</v>
      </c>
      <c r="M11" s="1638" t="s">
        <v>3111</v>
      </c>
      <c r="N11" s="1638"/>
    </row>
    <row r="12" spans="1:14">
      <c r="A12" s="1638" t="s">
        <v>3112</v>
      </c>
      <c r="B12" s="1638" t="s">
        <v>3077</v>
      </c>
      <c r="C12" s="1638" t="s">
        <v>3078</v>
      </c>
      <c r="D12" s="1638">
        <v>69867.600000000006</v>
      </c>
      <c r="E12" s="1638">
        <v>244536.6</v>
      </c>
      <c r="F12" s="1638" t="s">
        <v>3109</v>
      </c>
      <c r="G12" s="1638" t="s">
        <v>3080</v>
      </c>
      <c r="H12" s="1638" t="s">
        <v>3113</v>
      </c>
      <c r="I12" s="1638">
        <v>8700</v>
      </c>
      <c r="J12" s="1638">
        <v>8700</v>
      </c>
      <c r="K12" s="1638">
        <v>355.76</v>
      </c>
      <c r="L12" s="1638">
        <v>0</v>
      </c>
      <c r="M12" s="1638" t="s">
        <v>3111</v>
      </c>
      <c r="N12" s="1638"/>
    </row>
    <row r="13" spans="1:14">
      <c r="A13" s="1638" t="s">
        <v>3114</v>
      </c>
      <c r="B13" s="1638" t="s">
        <v>3077</v>
      </c>
      <c r="C13" s="1638" t="s">
        <v>3078</v>
      </c>
      <c r="D13" s="1638">
        <v>212226.6</v>
      </c>
      <c r="E13" s="1638">
        <v>636679.80000000005</v>
      </c>
      <c r="F13" s="1638" t="s">
        <v>3115</v>
      </c>
      <c r="G13" s="1638" t="s">
        <v>3080</v>
      </c>
      <c r="H13" s="1638" t="s">
        <v>3113</v>
      </c>
      <c r="I13" s="1638">
        <v>19100</v>
      </c>
      <c r="J13" s="1638">
        <v>19100</v>
      </c>
      <c r="K13" s="1638">
        <v>299.99</v>
      </c>
      <c r="L13" s="1638">
        <v>0</v>
      </c>
      <c r="M13" s="1638" t="s">
        <v>3111</v>
      </c>
      <c r="N13" s="1638"/>
    </row>
    <row r="14" spans="1:14">
      <c r="A14" s="1638" t="s">
        <v>3116</v>
      </c>
      <c r="B14" s="1638" t="s">
        <v>3077</v>
      </c>
      <c r="C14" s="1638" t="s">
        <v>3078</v>
      </c>
      <c r="D14" s="1638">
        <v>70612.3</v>
      </c>
      <c r="E14" s="1638">
        <v>247143</v>
      </c>
      <c r="F14" s="1638" t="s">
        <v>3109</v>
      </c>
      <c r="G14" s="1638" t="s">
        <v>3080</v>
      </c>
      <c r="H14" s="1638" t="s">
        <v>3117</v>
      </c>
      <c r="I14" s="1638">
        <v>18500</v>
      </c>
      <c r="J14" s="1638">
        <v>18500</v>
      </c>
      <c r="K14" s="1638">
        <v>748.54</v>
      </c>
      <c r="L14" s="1638">
        <v>0</v>
      </c>
      <c r="M14" s="1638" t="s">
        <v>3118</v>
      </c>
      <c r="N14" s="1638"/>
    </row>
    <row r="15" spans="1:14">
      <c r="A15" s="1638" t="s">
        <v>3119</v>
      </c>
      <c r="B15" s="1638" t="s">
        <v>3077</v>
      </c>
      <c r="C15" s="1638" t="s">
        <v>3078</v>
      </c>
      <c r="D15" s="1638">
        <v>66947.8</v>
      </c>
      <c r="E15" s="1638">
        <v>234317.3</v>
      </c>
      <c r="F15" s="1638" t="s">
        <v>3120</v>
      </c>
      <c r="G15" s="1638" t="s">
        <v>3080</v>
      </c>
      <c r="H15" s="1638" t="s">
        <v>3121</v>
      </c>
      <c r="I15" s="1638">
        <v>27500</v>
      </c>
      <c r="J15" s="1638">
        <v>27500</v>
      </c>
      <c r="K15" s="1638">
        <v>1173.6099999999999</v>
      </c>
      <c r="L15" s="1638">
        <v>0</v>
      </c>
      <c r="M15" s="1638" t="s">
        <v>3122</v>
      </c>
      <c r="N15" s="1638"/>
    </row>
    <row r="16" spans="1:14">
      <c r="A16" s="1638" t="s">
        <v>3123</v>
      </c>
      <c r="B16" s="1638" t="s">
        <v>3077</v>
      </c>
      <c r="C16" s="1638" t="s">
        <v>3078</v>
      </c>
      <c r="D16" s="1638">
        <v>2204.8000000000002</v>
      </c>
      <c r="E16" s="1638">
        <v>661.44</v>
      </c>
      <c r="F16" s="1638" t="s">
        <v>3124</v>
      </c>
      <c r="G16" s="1638" t="s">
        <v>3080</v>
      </c>
      <c r="H16" s="1638" t="s">
        <v>3125</v>
      </c>
      <c r="I16" s="1638">
        <v>2000</v>
      </c>
      <c r="J16" s="1638">
        <v>2000</v>
      </c>
      <c r="K16" s="1638">
        <v>30237.06</v>
      </c>
      <c r="L16" s="1638">
        <v>0</v>
      </c>
      <c r="M16" s="1638" t="s">
        <v>3126</v>
      </c>
      <c r="N16" s="1638"/>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7" t="s">
        <v>1638</v>
      </c>
      <c r="E3" s="1047" t="s">
        <v>1644</v>
      </c>
      <c r="F3" s="1047" t="s">
        <v>1638</v>
      </c>
      <c r="G3" s="1047" t="s">
        <v>1639</v>
      </c>
      <c r="H3" s="1047" t="s">
        <v>1638</v>
      </c>
      <c r="I3" s="1047" t="s">
        <v>1639</v>
      </c>
    </row>
    <row r="4" spans="1:9" ht="15">
      <c r="A4" s="1976" t="str">
        <f>项目基本情况!S2</f>
        <v>房地产</v>
      </c>
      <c r="B4" s="1047">
        <f>项目基本情况!C17</f>
        <v>38702.28</v>
      </c>
      <c r="C4" s="1047">
        <f>项目基本情况!C18</f>
        <v>13879.46</v>
      </c>
      <c r="D4" s="1047">
        <f ca="1">结果表!D118</f>
        <v>12772</v>
      </c>
      <c r="E4" s="1047">
        <f ca="1">结果表!E118</f>
        <v>3300</v>
      </c>
      <c r="F4" s="1047">
        <f ca="1">结果表!F118</f>
        <v>45018</v>
      </c>
      <c r="G4" s="1047">
        <f ca="1">结果表!G118</f>
        <v>11632</v>
      </c>
      <c r="H4" s="1047">
        <f ca="1">结果表!H118</f>
        <v>57790</v>
      </c>
      <c r="I4" s="1047">
        <f ca="1">结果表!I118</f>
        <v>14932</v>
      </c>
    </row>
    <row r="5" spans="1:9" ht="30" customHeight="1">
      <c r="A5" s="2975" t="s">
        <v>1640</v>
      </c>
      <c r="B5" s="2975"/>
      <c r="C5" s="2975"/>
      <c r="D5" s="2976" t="str">
        <f ca="1">结果表!D119</f>
        <v>壹亿贰仟柒佰柒拾贰万元整</v>
      </c>
      <c r="E5" s="2976"/>
      <c r="F5" s="2976" t="str">
        <f ca="1">结果表!F119</f>
        <v>肆亿伍仟零壹拾捌万元整</v>
      </c>
      <c r="G5" s="2976"/>
      <c r="H5" s="2976" t="str">
        <f ca="1">结果表!H119</f>
        <v>伍亿柒仟柒佰玖拾万元整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75">
      <c r="A8" s="2974" t="str">
        <f>结果表!A122</f>
        <v>房地产抵押价值</v>
      </c>
      <c r="B8" s="2974"/>
      <c r="C8" s="2974"/>
      <c r="D8" s="2974">
        <f ca="1">结果表!D122</f>
        <v>57790</v>
      </c>
      <c r="E8" s="2974"/>
      <c r="F8" s="2974"/>
      <c r="G8" s="2974"/>
      <c r="H8" s="2974"/>
      <c r="I8" s="2974"/>
    </row>
    <row r="9" spans="1:9" ht="15">
      <c r="A9" s="2975" t="s">
        <v>1640</v>
      </c>
      <c r="B9" s="2975"/>
      <c r="C9" s="2975"/>
      <c r="D9" s="2976" t="str">
        <f ca="1">结果表!D123</f>
        <v>伍亿柒仟柒佰玖拾万元整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1640</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1662</v>
      </c>
      <c r="B1" s="2988"/>
      <c r="C1" s="2988"/>
      <c r="D1" s="2988"/>
    </row>
    <row r="2" spans="1:4" ht="18">
      <c r="A2" s="2989" t="s">
        <v>1646</v>
      </c>
      <c r="B2" s="2989"/>
      <c r="C2" s="2989"/>
      <c r="D2" s="2989"/>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89" t="s">
        <v>1652</v>
      </c>
      <c r="B6" s="2989"/>
      <c r="C6" s="2989"/>
      <c r="D6" s="298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0"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3047</v>
      </c>
      <c r="B12" s="1025">
        <v>1120110054</v>
      </c>
      <c r="C12" s="2946">
        <v>43937</v>
      </c>
      <c r="D12" s="1705" t="s">
        <v>3047</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2018-09-11T06:20:42Z</dcterms:modified>
</cp:coreProperties>
</file>