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1\Desktop\2025-1-0494-P01-P12-吴琼中行重估嘉盛中心房本\P05DYGJ2\"/>
    </mc:Choice>
  </mc:AlternateContent>
  <xr:revisionPtr revIDLastSave="0" documentId="13_ncr:1_{32BB8D31-5094-40A0-B548-AE907F11D8C1}" xr6:coauthVersionLast="47" xr6:coauthVersionMax="47" xr10:uidLastSave="{00000000-0000-0000-0000-000000000000}"/>
  <bookViews>
    <workbookView xWindow="-120" yWindow="-120" windowWidth="29040" windowHeight="158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74" l="1"/>
  <c r="D14" i="74" s="1"/>
  <c r="G14" i="74" s="1"/>
  <c r="B14" i="74"/>
  <c r="F19" i="6"/>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R40" i="79"/>
  <c r="AR41" i="79" s="1"/>
  <c r="AR42" i="79" s="1"/>
  <c r="AR43" i="79" s="1"/>
  <c r="AR44" i="79" s="1"/>
  <c r="AR45" i="79" s="1"/>
  <c r="AR46" i="79" s="1"/>
  <c r="AR47" i="79" s="1"/>
  <c r="AR48" i="79" s="1"/>
  <c r="AR49" i="79" s="1"/>
  <c r="AR50" i="79" s="1"/>
  <c r="AR51" i="79" s="1"/>
  <c r="AR52" i="79" s="1"/>
  <c r="AD38" i="79"/>
  <c r="AD37" i="79"/>
  <c r="AD36" i="79"/>
  <c r="Z3" i="79"/>
  <c r="S34" i="79"/>
  <c r="AG34" i="79" s="1"/>
  <c r="S33" i="79"/>
  <c r="AG33" i="79" s="1"/>
  <c r="S35" i="79"/>
  <c r="AG35" i="79" s="1"/>
  <c r="W40" i="79"/>
  <c r="AK40" i="79" s="1"/>
  <c r="AH40" i="79"/>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X38" i="71" s="1"/>
  <c r="Q37" i="71"/>
  <c r="AB37" i="71" s="1"/>
  <c r="P37" i="71"/>
  <c r="AA37" i="71" s="1"/>
  <c r="O37" i="71"/>
  <c r="Y37" i="71" s="1"/>
  <c r="Z37" i="71" s="1"/>
  <c r="N37" i="71"/>
  <c r="B38" i="71" s="1"/>
  <c r="D37" i="71"/>
  <c r="Q36" i="71"/>
  <c r="P36" i="71"/>
  <c r="AA35" i="71" s="1"/>
  <c r="O36" i="71"/>
  <c r="N36" i="71"/>
  <c r="X36" i="71" s="1"/>
  <c r="Q35" i="71"/>
  <c r="AB35" i="71"/>
  <c r="P35" i="71"/>
  <c r="O35" i="71"/>
  <c r="Y35" i="71" s="1"/>
  <c r="Z35" i="71" s="1"/>
  <c r="N35" i="71"/>
  <c r="Q34" i="71"/>
  <c r="AB34" i="71" s="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P29" i="71"/>
  <c r="O29" i="71"/>
  <c r="N29" i="71"/>
  <c r="X25" i="71" s="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X31" i="71"/>
  <c r="X34" i="71"/>
  <c r="C38" i="71"/>
  <c r="D38" i="71" s="1"/>
  <c r="Y27" i="71"/>
  <c r="Z27" i="71" s="1"/>
  <c r="B28" i="71"/>
  <c r="B27" i="71" s="1"/>
  <c r="B26" i="71"/>
  <c r="D30" i="71"/>
  <c r="C47" i="71"/>
  <c r="D47" i="71"/>
  <c r="P28" i="71"/>
  <c r="E28" i="71" s="1"/>
  <c r="U68" i="71"/>
  <c r="E67" i="71"/>
  <c r="Q28" i="71"/>
  <c r="C59" i="71"/>
  <c r="D58" i="71"/>
  <c r="C63" i="71"/>
  <c r="C64" i="71" s="1"/>
  <c r="D62" i="71"/>
  <c r="B66" i="71"/>
  <c r="N65" i="71" s="1"/>
  <c r="T68" i="71"/>
  <c r="D68" i="71"/>
  <c r="C67" i="71"/>
  <c r="D67" i="71" s="1"/>
  <c r="Q68" i="71"/>
  <c r="E71" i="71"/>
  <c r="E70" i="71" s="1"/>
  <c r="D72" i="71"/>
  <c r="D76" i="71"/>
  <c r="E79" i="71"/>
  <c r="E78" i="71" s="1"/>
  <c r="D80" i="71"/>
  <c r="C87" i="71"/>
  <c r="C86" i="71" s="1"/>
  <c r="D86" i="71" s="1"/>
  <c r="F28" i="71"/>
  <c r="F27" i="71" s="1"/>
  <c r="F26" i="71" s="1"/>
  <c r="AA3" i="71"/>
  <c r="O67" i="71"/>
  <c r="D63" i="71"/>
  <c r="N66"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S21" i="34"/>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9" i="31"/>
  <c r="S29" i="31" s="1"/>
  <c r="R36" i="31"/>
  <c r="R37" i="31"/>
  <c r="R38" i="31"/>
  <c r="S38" i="31" s="1"/>
  <c r="R39" i="31"/>
  <c r="R40" i="31"/>
  <c r="R41" i="31"/>
  <c r="R42" i="31"/>
  <c r="S42" i="31" s="1"/>
  <c r="R43" i="31"/>
  <c r="S43" i="31" s="1"/>
  <c r="R44" i="31"/>
  <c r="R45" i="31"/>
  <c r="R46" i="31"/>
  <c r="S46" i="31" s="1"/>
  <c r="R47" i="31"/>
  <c r="S47" i="31" s="1"/>
  <c r="R48" i="31"/>
  <c r="R49" i="31"/>
  <c r="R50" i="31"/>
  <c r="S50" i="31" s="1"/>
  <c r="R51" i="31"/>
  <c r="S51" i="31" s="1"/>
  <c r="R52" i="31"/>
  <c r="R53" i="31"/>
  <c r="R54" i="31"/>
  <c r="S54" i="31" s="1"/>
  <c r="R55" i="31"/>
  <c r="S55" i="31" s="1"/>
  <c r="R56" i="31"/>
  <c r="R57" i="31"/>
  <c r="S57" i="31" s="1"/>
  <c r="R58" i="31"/>
  <c r="S58" i="31" s="1"/>
  <c r="R59" i="31"/>
  <c r="R60" i="31"/>
  <c r="R61" i="31"/>
  <c r="S61" i="31" s="1"/>
  <c r="R62" i="31"/>
  <c r="S62" i="31" s="1"/>
  <c r="R63" i="31"/>
  <c r="S63" i="31" s="1"/>
  <c r="R64" i="31"/>
  <c r="R65" i="31"/>
  <c r="S65" i="31" s="1"/>
  <c r="R66" i="31"/>
  <c r="S66" i="31" s="1"/>
  <c r="R67" i="31"/>
  <c r="R68" i="31"/>
  <c r="R69" i="31"/>
  <c r="S69" i="31" s="1"/>
  <c r="R70" i="31"/>
  <c r="S70" i="31" s="1"/>
  <c r="R71" i="31"/>
  <c r="S71" i="31" s="1"/>
  <c r="R72" i="31"/>
  <c r="R73" i="31"/>
  <c r="S73" i="31" s="1"/>
  <c r="R74" i="31"/>
  <c r="S74" i="31" s="1"/>
  <c r="R75" i="31"/>
  <c r="R76" i="31"/>
  <c r="R77" i="31"/>
  <c r="S77" i="31" s="1"/>
  <c r="R78" i="31"/>
  <c r="S78" i="31" s="1"/>
  <c r="R79" i="31"/>
  <c r="S79" i="31" s="1"/>
  <c r="R80" i="31"/>
  <c r="R81" i="31"/>
  <c r="S81" i="31" s="1"/>
  <c r="R82" i="31"/>
  <c r="S82" i="31" s="1"/>
  <c r="R83" i="31"/>
  <c r="R84" i="31"/>
  <c r="R85" i="31"/>
  <c r="S85" i="31" s="1"/>
  <c r="R86" i="31"/>
  <c r="S86" i="31" s="1"/>
  <c r="R87" i="31"/>
  <c r="S87" i="31" s="1"/>
  <c r="R88" i="31"/>
  <c r="R89" i="31"/>
  <c r="S89" i="31" s="1"/>
  <c r="R90" i="31"/>
  <c r="R91" i="31"/>
  <c r="S91" i="31" s="1"/>
  <c r="R92" i="31"/>
  <c r="R93" i="31"/>
  <c r="S93" i="31" s="1"/>
  <c r="R94" i="31"/>
  <c r="S94" i="31" s="1"/>
  <c r="R95" i="31"/>
  <c r="S95" i="31" s="1"/>
  <c r="R96" i="31"/>
  <c r="R97" i="31"/>
  <c r="S97" i="31" s="1"/>
  <c r="R98" i="31"/>
  <c r="R99" i="31"/>
  <c r="R100" i="31"/>
  <c r="R101" i="31"/>
  <c r="R102" i="31"/>
  <c r="R103" i="31"/>
  <c r="R104" i="31"/>
  <c r="R105" i="31"/>
  <c r="R106" i="31"/>
  <c r="R107" i="31"/>
  <c r="R108" i="31"/>
  <c r="R109" i="31"/>
  <c r="R110" i="31"/>
  <c r="R111" i="31"/>
  <c r="R112" i="31"/>
  <c r="R113" i="31"/>
  <c r="S113" i="31" s="1"/>
  <c r="R114" i="31"/>
  <c r="S114" i="31" s="1"/>
  <c r="R115" i="31"/>
  <c r="S115" i="31" s="1"/>
  <c r="R116" i="31"/>
  <c r="R117" i="31"/>
  <c r="S117" i="31" s="1"/>
  <c r="R118" i="31"/>
  <c r="S118" i="31" s="1"/>
  <c r="R119" i="31"/>
  <c r="R120" i="31"/>
  <c r="R121" i="31"/>
  <c r="S121" i="31" s="1"/>
  <c r="R122" i="31"/>
  <c r="S122" i="31" s="1"/>
  <c r="R123" i="31"/>
  <c r="S123" i="31" s="1"/>
  <c r="R124" i="31"/>
  <c r="R125" i="31"/>
  <c r="R126" i="31"/>
  <c r="S126" i="31" s="1"/>
  <c r="R127" i="31"/>
  <c r="R128" i="31"/>
  <c r="R129" i="31"/>
  <c r="R130" i="31"/>
  <c r="S130" i="31" s="1"/>
  <c r="R131" i="31"/>
  <c r="S131" i="31" s="1"/>
  <c r="R132" i="31"/>
  <c r="R133" i="31"/>
  <c r="R134" i="31"/>
  <c r="S134" i="31" s="1"/>
  <c r="R135" i="31"/>
  <c r="S135" i="31" s="1"/>
  <c r="R136" i="31"/>
  <c r="R137" i="31"/>
  <c r="R138" i="31"/>
  <c r="S138" i="31" s="1"/>
  <c r="R139" i="31"/>
  <c r="S139" i="31" s="1"/>
  <c r="R140" i="31"/>
  <c r="R141" i="31"/>
  <c r="R142" i="31"/>
  <c r="S142" i="31" s="1"/>
  <c r="R143" i="31"/>
  <c r="R144" i="31"/>
  <c r="R145" i="31"/>
  <c r="R146" i="31"/>
  <c r="S146" i="31" s="1"/>
  <c r="R147" i="31"/>
  <c r="S147" i="31" s="1"/>
  <c r="R148" i="31"/>
  <c r="R149" i="31"/>
  <c r="R150" i="31"/>
  <c r="S150" i="31" s="1"/>
  <c r="R151" i="31"/>
  <c r="S151" i="31" s="1"/>
  <c r="R152" i="31"/>
  <c r="R153" i="31"/>
  <c r="R154" i="31"/>
  <c r="S154" i="31" s="1"/>
  <c r="R155" i="31"/>
  <c r="S155" i="31" s="1"/>
  <c r="R156" i="31"/>
  <c r="R157" i="31"/>
  <c r="S157" i="31" s="1"/>
  <c r="R158" i="31"/>
  <c r="S158" i="31" s="1"/>
  <c r="R159" i="31"/>
  <c r="S159" i="31" s="1"/>
  <c r="R160" i="31"/>
  <c r="R161" i="31"/>
  <c r="S161" i="31" s="1"/>
  <c r="R162" i="31"/>
  <c r="S162" i="31" s="1"/>
  <c r="R163" i="31"/>
  <c r="S163" i="31" s="1"/>
  <c r="R164" i="31"/>
  <c r="R165" i="31"/>
  <c r="R166" i="31"/>
  <c r="S166" i="31" s="1"/>
  <c r="R167" i="31"/>
  <c r="R168" i="31"/>
  <c r="R169" i="31"/>
  <c r="R170" i="31"/>
  <c r="S170" i="31" s="1"/>
  <c r="R171" i="31"/>
  <c r="S171" i="31" s="1"/>
  <c r="R172" i="31"/>
  <c r="R173" i="31"/>
  <c r="S173" i="31" s="1"/>
  <c r="R174" i="31"/>
  <c r="S174" i="31" s="1"/>
  <c r="R175" i="31"/>
  <c r="S175" i="31" s="1"/>
  <c r="R176" i="31"/>
  <c r="R177" i="31"/>
  <c r="S177" i="31" s="1"/>
  <c r="R178" i="31"/>
  <c r="S178" i="31" s="1"/>
  <c r="R179" i="31"/>
  <c r="S179" i="31" s="1"/>
  <c r="R180" i="31"/>
  <c r="R181" i="31"/>
  <c r="R182" i="31"/>
  <c r="S182" i="31" s="1"/>
  <c r="R183" i="31"/>
  <c r="S183" i="31" s="1"/>
  <c r="R184" i="31"/>
  <c r="R185" i="31"/>
  <c r="R186" i="31"/>
  <c r="S186" i="31" s="1"/>
  <c r="R187" i="31"/>
  <c r="S187" i="31" s="1"/>
  <c r="R188" i="31"/>
  <c r="R189" i="31"/>
  <c r="S189" i="31" s="1"/>
  <c r="R190" i="31"/>
  <c r="S190" i="31" s="1"/>
  <c r="R191" i="31"/>
  <c r="S191" i="31" s="1"/>
  <c r="R192" i="31"/>
  <c r="R193" i="31"/>
  <c r="S193" i="31" s="1"/>
  <c r="R194" i="31"/>
  <c r="S194" i="31" s="1"/>
  <c r="R195" i="31"/>
  <c r="S195" i="31" s="1"/>
  <c r="R196" i="31"/>
  <c r="R197" i="31"/>
  <c r="R198" i="31"/>
  <c r="S198" i="31" s="1"/>
  <c r="R199" i="31"/>
  <c r="R200" i="31"/>
  <c r="R201" i="31"/>
  <c r="R202" i="31"/>
  <c r="S202" i="31" s="1"/>
  <c r="R203" i="31"/>
  <c r="S203" i="31" s="1"/>
  <c r="R204" i="31"/>
  <c r="R205" i="31"/>
  <c r="S205" i="31" s="1"/>
  <c r="R206" i="31"/>
  <c r="S206" i="31" s="1"/>
  <c r="R207" i="31"/>
  <c r="S207" i="31" s="1"/>
  <c r="R208" i="31"/>
  <c r="R209" i="31"/>
  <c r="S209" i="31" s="1"/>
  <c r="R210" i="31"/>
  <c r="S210" i="31" s="1"/>
  <c r="R211" i="31"/>
  <c r="S211" i="31" s="1"/>
  <c r="R212" i="31"/>
  <c r="R213" i="31"/>
  <c r="R214" i="31"/>
  <c r="S214" i="31" s="1"/>
  <c r="R215" i="31"/>
  <c r="S215" i="31" s="1"/>
  <c r="R216" i="31"/>
  <c r="R217" i="31"/>
  <c r="R218" i="31"/>
  <c r="S218" i="31" s="1"/>
  <c r="R219" i="31"/>
  <c r="S219" i="31" s="1"/>
  <c r="R220" i="31"/>
  <c r="R221" i="31"/>
  <c r="S221" i="31" s="1"/>
  <c r="R222" i="31"/>
  <c r="S222" i="31" s="1"/>
  <c r="R223" i="31"/>
  <c r="S223" i="31" s="1"/>
  <c r="R224" i="31"/>
  <c r="R225" i="31"/>
  <c r="S225" i="31" s="1"/>
  <c r="R226" i="31"/>
  <c r="S226" i="31" s="1"/>
  <c r="R227" i="31"/>
  <c r="R228" i="31"/>
  <c r="R229" i="31"/>
  <c r="R230" i="31"/>
  <c r="S230" i="31" s="1"/>
  <c r="R231" i="31"/>
  <c r="S231" i="31" s="1"/>
  <c r="R232" i="31"/>
  <c r="R233" i="31"/>
  <c r="R234" i="31"/>
  <c r="S234" i="31" s="1"/>
  <c r="R235" i="31"/>
  <c r="S235" i="31" s="1"/>
  <c r="R236" i="31"/>
  <c r="R237" i="31"/>
  <c r="S237" i="31" s="1"/>
  <c r="R238" i="31"/>
  <c r="S238" i="31" s="1"/>
  <c r="R239" i="31"/>
  <c r="R240" i="31"/>
  <c r="R241" i="31"/>
  <c r="S241" i="31" s="1"/>
  <c r="R242" i="31"/>
  <c r="S242" i="31" s="1"/>
  <c r="R243" i="31"/>
  <c r="S243" i="31" s="1"/>
  <c r="R244" i="31"/>
  <c r="R245" i="31"/>
  <c r="R246" i="31"/>
  <c r="S246" i="31" s="1"/>
  <c r="R247" i="31"/>
  <c r="S247" i="31" s="1"/>
  <c r="R248" i="31"/>
  <c r="R249" i="31"/>
  <c r="R250" i="31"/>
  <c r="S250" i="31" s="1"/>
  <c r="R251" i="3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R430" i="31"/>
  <c r="S430" i="31" s="1"/>
  <c r="R431" i="31"/>
  <c r="S431" i="31" s="1"/>
  <c r="R432" i="31"/>
  <c r="S432" i="31" s="1"/>
  <c r="R433" i="31"/>
  <c r="S433" i="31" s="1"/>
  <c r="R434" i="31"/>
  <c r="R435" i="31"/>
  <c r="S435" i="31" s="1"/>
  <c r="R436" i="31"/>
  <c r="S436" i="31" s="1"/>
  <c r="R437" i="31"/>
  <c r="R438" i="31"/>
  <c r="S438" i="31" s="1"/>
  <c r="R439" i="31"/>
  <c r="S439" i="31" s="1"/>
  <c r="R440" i="31"/>
  <c r="S440" i="31" s="1"/>
  <c r="R441" i="31"/>
  <c r="S441" i="31" s="1"/>
  <c r="R442" i="31"/>
  <c r="R443" i="31"/>
  <c r="S443" i="31" s="1"/>
  <c r="R444" i="31"/>
  <c r="S444" i="31" s="1"/>
  <c r="R445" i="31"/>
  <c r="S445" i="31" s="1"/>
  <c r="R446" i="31"/>
  <c r="S446" i="31" s="1"/>
  <c r="R447" i="31"/>
  <c r="R448" i="31"/>
  <c r="S448" i="31" s="1"/>
  <c r="R449" i="31"/>
  <c r="R450" i="31"/>
  <c r="S450" i="31" s="1"/>
  <c r="R451" i="31"/>
  <c r="R452" i="31"/>
  <c r="S452" i="31" s="1"/>
  <c r="R453" i="31"/>
  <c r="R454" i="31"/>
  <c r="S454" i="31" s="1"/>
  <c r="R455" i="31"/>
  <c r="R456" i="31"/>
  <c r="S456" i="31" s="1"/>
  <c r="R457" i="31"/>
  <c r="S457" i="31" s="1"/>
  <c r="R458" i="31"/>
  <c r="S458" i="31" s="1"/>
  <c r="R459" i="31"/>
  <c r="S459" i="31" s="1"/>
  <c r="R460" i="31"/>
  <c r="S460" i="31" s="1"/>
  <c r="R461" i="31"/>
  <c r="R462" i="31"/>
  <c r="S462" i="31" s="1"/>
  <c r="R463" i="31"/>
  <c r="S463" i="31" s="1"/>
  <c r="R464" i="31"/>
  <c r="S464" i="31" s="1"/>
  <c r="R465" i="31"/>
  <c r="R466" i="31"/>
  <c r="S466" i="31" s="1"/>
  <c r="R467" i="31"/>
  <c r="R468" i="31"/>
  <c r="S468" i="31" s="1"/>
  <c r="R469" i="3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R498" i="31"/>
  <c r="S498" i="31" s="1"/>
  <c r="R499" i="31"/>
  <c r="R500" i="31"/>
  <c r="S500" i="31" s="1"/>
  <c r="R501" i="31"/>
  <c r="R502" i="31"/>
  <c r="S502" i="31" s="1"/>
  <c r="R503" i="31"/>
  <c r="S503" i="31" s="1"/>
  <c r="R504" i="31"/>
  <c r="S504" i="31" s="1"/>
  <c r="R505" i="31"/>
  <c r="S505" i="31" s="1"/>
  <c r="R506" i="31"/>
  <c r="R507" i="31"/>
  <c r="S507" i="31" s="1"/>
  <c r="R508" i="31"/>
  <c r="S508" i="31" s="1"/>
  <c r="R509" i="31"/>
  <c r="S509" i="31" s="1"/>
  <c r="R510" i="31"/>
  <c r="S510" i="31" s="1"/>
  <c r="R511" i="31"/>
  <c r="S511" i="31" s="1"/>
  <c r="R512" i="31"/>
  <c r="S512" i="31" s="1"/>
  <c r="R513" i="31"/>
  <c r="S513" i="31" s="1"/>
  <c r="R514" i="31"/>
  <c r="S514" i="31" s="1"/>
  <c r="R515" i="31"/>
  <c r="R516" i="31"/>
  <c r="S516" i="31" s="1"/>
  <c r="R517" i="31"/>
  <c r="S517" i="31" s="1"/>
  <c r="R518" i="31"/>
  <c r="S518" i="31" s="1"/>
  <c r="R519" i="31"/>
  <c r="R520" i="31"/>
  <c r="S520" i="31" s="1"/>
  <c r="R521" i="31"/>
  <c r="R522" i="31"/>
  <c r="S522" i="31" s="1"/>
  <c r="R523" i="31"/>
  <c r="R524" i="31"/>
  <c r="S524" i="31" s="1"/>
  <c r="C25" i="31"/>
  <c r="R25" i="31" s="1"/>
  <c r="S25" i="31" s="1"/>
  <c r="C26" i="31"/>
  <c r="R26" i="31" s="1"/>
  <c r="S26" i="31" s="1"/>
  <c r="C27" i="31"/>
  <c r="R27" i="31" s="1"/>
  <c r="S27" i="31" s="1"/>
  <c r="C28" i="31"/>
  <c r="R28" i="31" s="1"/>
  <c r="S28" i="31" s="1"/>
  <c r="C29" i="31"/>
  <c r="C30" i="31"/>
  <c r="R30" i="31" s="1"/>
  <c r="S30" i="31" s="1"/>
  <c r="C31" i="31"/>
  <c r="R31" i="31" s="1"/>
  <c r="S31" i="31" s="1"/>
  <c r="C32" i="31"/>
  <c r="R32" i="31" s="1"/>
  <c r="S32" i="31" s="1"/>
  <c r="C33" i="31"/>
  <c r="R33" i="31" s="1"/>
  <c r="S33" i="31" s="1"/>
  <c r="C34" i="31"/>
  <c r="R34" i="31" s="1"/>
  <c r="S34" i="31" s="1"/>
  <c r="C35" i="31"/>
  <c r="R35" i="31" s="1"/>
  <c r="S35" i="31" s="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4" i="31"/>
  <c r="S362" i="31"/>
  <c r="S360" i="31"/>
  <c r="S350" i="31"/>
  <c r="S336" i="31"/>
  <c r="S328" i="31"/>
  <c r="S326" i="31"/>
  <c r="S310" i="31"/>
  <c r="S294" i="31"/>
  <c r="S284" i="31"/>
  <c r="S280" i="31"/>
  <c r="S276" i="31"/>
  <c r="S272" i="31"/>
  <c r="S268" i="31"/>
  <c r="S264" i="31"/>
  <c r="S260" i="31"/>
  <c r="S256" i="31"/>
  <c r="S252" i="31"/>
  <c r="S251" i="31"/>
  <c r="S249" i="31"/>
  <c r="S248" i="31"/>
  <c r="S245" i="31"/>
  <c r="S244" i="31"/>
  <c r="S240" i="31"/>
  <c r="S239" i="31"/>
  <c r="S236" i="31"/>
  <c r="S233" i="31"/>
  <c r="S232" i="31"/>
  <c r="S229" i="31"/>
  <c r="S228" i="31"/>
  <c r="S227" i="31"/>
  <c r="S224" i="31"/>
  <c r="S429" i="31"/>
  <c r="S427" i="31"/>
  <c r="S220" i="31"/>
  <c r="S217" i="31"/>
  <c r="S216" i="31"/>
  <c r="S213" i="31"/>
  <c r="S212" i="31"/>
  <c r="S208" i="31"/>
  <c r="S204" i="31"/>
  <c r="S201" i="31"/>
  <c r="S200" i="31"/>
  <c r="S199" i="31"/>
  <c r="S197" i="31"/>
  <c r="S196" i="31"/>
  <c r="S192" i="31"/>
  <c r="S188" i="31"/>
  <c r="S185" i="31"/>
  <c r="S184" i="31"/>
  <c r="S181" i="31"/>
  <c r="S180" i="31"/>
  <c r="S176" i="31"/>
  <c r="S172" i="31"/>
  <c r="S169" i="31"/>
  <c r="S168" i="31"/>
  <c r="S167" i="31"/>
  <c r="S165" i="31"/>
  <c r="S164" i="31"/>
  <c r="S160" i="31"/>
  <c r="S156" i="31"/>
  <c r="S153" i="31"/>
  <c r="S152" i="31"/>
  <c r="S149" i="31"/>
  <c r="S148" i="31"/>
  <c r="S145" i="31"/>
  <c r="S144" i="31"/>
  <c r="S143" i="31"/>
  <c r="S141" i="31"/>
  <c r="S140" i="31"/>
  <c r="S137" i="31"/>
  <c r="S136" i="31"/>
  <c r="S133" i="31"/>
  <c r="S132" i="31"/>
  <c r="S129" i="31"/>
  <c r="S128" i="31"/>
  <c r="S127" i="31"/>
  <c r="S125" i="31"/>
  <c r="S124" i="31"/>
  <c r="S497" i="31"/>
  <c r="S485" i="31"/>
  <c r="S481" i="31"/>
  <c r="S469" i="31"/>
  <c r="S442" i="31"/>
  <c r="S437" i="31"/>
  <c r="S434" i="31"/>
  <c r="S120" i="31"/>
  <c r="S119" i="31"/>
  <c r="S116" i="31"/>
  <c r="S112" i="31"/>
  <c r="S506" i="31"/>
  <c r="S467" i="31"/>
  <c r="S465" i="31"/>
  <c r="S461" i="31"/>
  <c r="S455" i="31"/>
  <c r="S453" i="31"/>
  <c r="S451" i="31"/>
  <c r="S53" i="31"/>
  <c r="S52" i="31"/>
  <c r="S49" i="31"/>
  <c r="S48" i="31"/>
  <c r="S45" i="31"/>
  <c r="S44" i="31"/>
  <c r="S41" i="31"/>
  <c r="S40" i="31"/>
  <c r="S39" i="31"/>
  <c r="S37" i="31"/>
  <c r="S36" i="31"/>
  <c r="S76" i="31"/>
  <c r="S75" i="31"/>
  <c r="S72" i="31"/>
  <c r="S68" i="31"/>
  <c r="S67" i="31"/>
  <c r="S64" i="31"/>
  <c r="S60" i="31"/>
  <c r="S59" i="31"/>
  <c r="S56" i="31"/>
  <c r="S24" i="31"/>
  <c r="S96" i="31"/>
  <c r="S92" i="31"/>
  <c r="S90" i="31"/>
  <c r="S88" i="31"/>
  <c r="S84" i="31"/>
  <c r="S83" i="31"/>
  <c r="S80" i="31"/>
  <c r="S98" i="31"/>
  <c r="S99" i="31"/>
  <c r="S100" i="31"/>
  <c r="S101" i="31"/>
  <c r="S102" i="31"/>
  <c r="S103" i="31"/>
  <c r="S104" i="31"/>
  <c r="S105" i="31"/>
  <c r="S106" i="31"/>
  <c r="S107" i="31"/>
  <c r="S108" i="31"/>
  <c r="S109" i="31"/>
  <c r="S110" i="31"/>
  <c r="S111" i="31"/>
  <c r="S447" i="31"/>
  <c r="S449"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c r="S515" i="31"/>
  <c r="S519" i="31"/>
  <c r="S521" i="31"/>
  <c r="S523"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B71" i="36"/>
  <c r="H23" i="36" s="1"/>
  <c r="D70" i="36"/>
  <c r="H22" i="36"/>
  <c r="AB22" i="36" s="1"/>
  <c r="D68" i="36"/>
  <c r="E68" i="36" s="1"/>
  <c r="F68" i="36" s="1"/>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s="1"/>
  <c r="AB36" i="35" s="1"/>
  <c r="B99" i="35"/>
  <c r="B97" i="35"/>
  <c r="B77" i="35"/>
  <c r="B75" i="35"/>
  <c r="J24" i="35" s="1"/>
  <c r="AC24" i="35" s="1"/>
  <c r="B73" i="35"/>
  <c r="J23" i="35" s="1"/>
  <c r="AC23" i="35" s="1"/>
  <c r="H23" i="35"/>
  <c r="U23" i="35" s="1"/>
  <c r="B57" i="35"/>
  <c r="B61" i="35"/>
  <c r="B59" i="35"/>
  <c r="B131" i="34"/>
  <c r="F47" i="34" s="1"/>
  <c r="S47" i="34" s="1"/>
  <c r="B129" i="34"/>
  <c r="B127" i="34"/>
  <c r="B99" i="34"/>
  <c r="B97" i="34"/>
  <c r="F31" i="34" s="1"/>
  <c r="S31" i="34" s="1"/>
  <c r="B95" i="34"/>
  <c r="B93" i="34"/>
  <c r="B75" i="34"/>
  <c r="B73" i="34"/>
  <c r="F13" i="34" s="1"/>
  <c r="AA13" i="34" s="1"/>
  <c r="B71" i="34"/>
  <c r="J12" i="34" s="1"/>
  <c r="W12" i="34" s="1"/>
  <c r="B130" i="33"/>
  <c r="B128" i="33"/>
  <c r="F45" i="33" s="1"/>
  <c r="B126" i="33"/>
  <c r="H44" i="33" s="1"/>
  <c r="B98" i="33"/>
  <c r="B96" i="33"/>
  <c r="B94" i="33"/>
  <c r="F29" i="33" s="1"/>
  <c r="S29" i="33" s="1"/>
  <c r="B74" i="33"/>
  <c r="H14" i="33" s="1"/>
  <c r="U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J30" i="21" s="1"/>
  <c r="B94" i="21"/>
  <c r="J29" i="21" s="1"/>
  <c r="AC29" i="21" s="1"/>
  <c r="B92" i="21"/>
  <c r="J28" i="21" s="1"/>
  <c r="W28" i="21" s="1"/>
  <c r="B90" i="21"/>
  <c r="J27" i="21" s="1"/>
  <c r="W27" i="21"/>
  <c r="B74" i="21"/>
  <c r="J14" i="21" s="1"/>
  <c r="B72" i="21"/>
  <c r="H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c r="F26" i="21"/>
  <c r="S26" i="21"/>
  <c r="AB41" i="21"/>
  <c r="S41" i="21"/>
  <c r="AA41" i="21"/>
  <c r="F45" i="39"/>
  <c r="S45" i="39" s="1"/>
  <c r="J45" i="39"/>
  <c r="W45" i="39" s="1"/>
  <c r="F36" i="39"/>
  <c r="H36" i="39"/>
  <c r="AB36" i="39" s="1"/>
  <c r="J35" i="39"/>
  <c r="AC35" i="39" s="1"/>
  <c r="F35" i="39"/>
  <c r="AA35" i="39"/>
  <c r="J36" i="39"/>
  <c r="AC36" i="39" s="1"/>
  <c r="U9" i="39"/>
  <c r="W40" i="39"/>
  <c r="W25" i="37"/>
  <c r="W31" i="37"/>
  <c r="E103" i="37"/>
  <c r="F103" i="37" s="1"/>
  <c r="G103" i="37" s="1"/>
  <c r="H103" i="37" s="1"/>
  <c r="I103" i="37" s="1"/>
  <c r="J103" i="37" s="1"/>
  <c r="K103" i="37" s="1"/>
  <c r="L103" i="37" s="1"/>
  <c r="M103" i="37" s="1"/>
  <c r="F29" i="36"/>
  <c r="AA29" i="36" s="1"/>
  <c r="F16" i="36"/>
  <c r="AA16" i="36" s="1"/>
  <c r="J33" i="36"/>
  <c r="AC33" i="36" s="1"/>
  <c r="H22" i="35"/>
  <c r="AB22" i="35" s="1"/>
  <c r="W28" i="35"/>
  <c r="U31" i="35"/>
  <c r="W22" i="35"/>
  <c r="F36" i="34"/>
  <c r="J35" i="34"/>
  <c r="U34" i="34"/>
  <c r="H39" i="33"/>
  <c r="AB39" i="33"/>
  <c r="U33" i="33"/>
  <c r="U35" i="33"/>
  <c r="S40" i="33"/>
  <c r="W33" i="33"/>
  <c r="W39" i="33"/>
  <c r="S27" i="35"/>
  <c r="F11" i="40"/>
  <c r="AA11" i="40"/>
  <c r="H11" i="40"/>
  <c r="AB11" i="40"/>
  <c r="AB39" i="40"/>
  <c r="U9" i="40"/>
  <c r="S34" i="40"/>
  <c r="U38"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C12" i="34"/>
  <c r="AB12" i="35"/>
  <c r="W32" i="40"/>
  <c r="F37" i="39"/>
  <c r="AA37" i="39" s="1"/>
  <c r="J30" i="35"/>
  <c r="W30" i="35" s="1"/>
  <c r="H30" i="35"/>
  <c r="AB30" i="35" s="1"/>
  <c r="F22" i="35"/>
  <c r="AA22" i="35" s="1"/>
  <c r="H10" i="35"/>
  <c r="U10" i="35" s="1"/>
  <c r="F33" i="36"/>
  <c r="AA33" i="36" s="1"/>
  <c r="W30" i="36"/>
  <c r="H16" i="36"/>
  <c r="AB16" i="36"/>
  <c r="E85" i="36"/>
  <c r="F85" i="36" s="1"/>
  <c r="G85" i="36" s="1"/>
  <c r="H85" i="36" s="1"/>
  <c r="I85" i="36" s="1"/>
  <c r="J85" i="36"/>
  <c r="K85" i="36" s="1"/>
  <c r="L85" i="36" s="1"/>
  <c r="M85" i="36" s="1"/>
  <c r="J29" i="36"/>
  <c r="AC29" i="36" s="1"/>
  <c r="F12" i="36"/>
  <c r="F14" i="35"/>
  <c r="AA14" i="35" s="1"/>
  <c r="F23" i="35"/>
  <c r="AA23" i="35" s="1"/>
  <c r="J32" i="35"/>
  <c r="AC32" i="35" s="1"/>
  <c r="J16" i="35"/>
  <c r="AC16" i="35" s="1"/>
  <c r="H16" i="35"/>
  <c r="U16" i="35"/>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J23" i="34"/>
  <c r="F19" i="34"/>
  <c r="H17" i="34"/>
  <c r="U17" i="34" s="1"/>
  <c r="F15" i="34"/>
  <c r="AA15" i="34" s="1"/>
  <c r="J15" i="34"/>
  <c r="H15" i="34"/>
  <c r="AB15" i="34" s="1"/>
  <c r="W8" i="34"/>
  <c r="J28" i="34"/>
  <c r="W28" i="34" s="1"/>
  <c r="F41" i="33"/>
  <c r="AA41" i="33"/>
  <c r="F32" i="33"/>
  <c r="AA32" i="33" s="1"/>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AC11" i="40"/>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W14" i="21"/>
  <c r="F14" i="21"/>
  <c r="S14" i="21" s="1"/>
  <c r="H14" i="21"/>
  <c r="U14" i="21" s="1"/>
  <c r="H28" i="21"/>
  <c r="AB28" i="21" s="1"/>
  <c r="F28" i="21"/>
  <c r="AA28" i="21"/>
  <c r="H30" i="21"/>
  <c r="U30" i="21"/>
  <c r="F30" i="21"/>
  <c r="S30" i="21" s="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J29" i="33"/>
  <c r="H29" i="33"/>
  <c r="U29" i="33" s="1"/>
  <c r="J31" i="33"/>
  <c r="W31" i="33" s="1"/>
  <c r="H31" i="33"/>
  <c r="F31" i="33"/>
  <c r="H45" i="33"/>
  <c r="J45" i="33"/>
  <c r="W45" i="33" s="1"/>
  <c r="AA45" i="33"/>
  <c r="J14" i="34"/>
  <c r="W14" i="34" s="1"/>
  <c r="F14" i="34"/>
  <c r="S14" i="34" s="1"/>
  <c r="H14" i="34"/>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H40" i="37"/>
  <c r="U40" i="37" s="1"/>
  <c r="J40" i="37"/>
  <c r="AC40" i="37" s="1"/>
  <c r="F40" i="37"/>
  <c r="AA40" i="37" s="1"/>
  <c r="W12" i="40"/>
  <c r="J14" i="33"/>
  <c r="H30" i="33"/>
  <c r="AB30" i="33"/>
  <c r="F30" i="33"/>
  <c r="J30" i="33"/>
  <c r="F44" i="33"/>
  <c r="S44" i="33" s="1"/>
  <c r="J46" i="33"/>
  <c r="AC46" i="33"/>
  <c r="F46" i="33"/>
  <c r="AA46" i="33" s="1"/>
  <c r="H46" i="33"/>
  <c r="J29" i="34"/>
  <c r="F29" i="34"/>
  <c r="S29" i="34"/>
  <c r="H29" i="34"/>
  <c r="AB29" i="34" s="1"/>
  <c r="H31" i="34"/>
  <c r="H45" i="34"/>
  <c r="U45" i="34" s="1"/>
  <c r="J45" i="34"/>
  <c r="W45" i="34" s="1"/>
  <c r="F45" i="34"/>
  <c r="S45" i="34" s="1"/>
  <c r="F13" i="35"/>
  <c r="J13" i="35"/>
  <c r="AC13" i="35"/>
  <c r="H13" i="35"/>
  <c r="U13" i="35" s="1"/>
  <c r="J25" i="35"/>
  <c r="W25" i="35" s="1"/>
  <c r="F25" i="35"/>
  <c r="S25" i="35" s="1"/>
  <c r="H25" i="35"/>
  <c r="AB25" i="35"/>
  <c r="J35" i="35"/>
  <c r="AC35" i="35" s="1"/>
  <c r="F35" i="35"/>
  <c r="AA35" i="35" s="1"/>
  <c r="H35" i="35"/>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c r="J14" i="37"/>
  <c r="J27" i="37"/>
  <c r="AC27" i="37" s="1"/>
  <c r="J36" i="37"/>
  <c r="AC36" i="37"/>
  <c r="J10" i="36"/>
  <c r="AC10" i="36" s="1"/>
  <c r="AB30" i="21"/>
  <c r="AA14" i="37"/>
  <c r="AB46" i="34"/>
  <c r="AA14" i="34"/>
  <c r="S45" i="33"/>
  <c r="AC28" i="21"/>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AZ544" i="3" s="1"/>
  <c r="BL540" i="3"/>
  <c r="AZ540" i="3" s="1"/>
  <c r="BL536" i="3"/>
  <c r="G533" i="3"/>
  <c r="BL532" i="3"/>
  <c r="G529" i="3"/>
  <c r="BL528" i="3"/>
  <c r="G525" i="3"/>
  <c r="BL524" i="3"/>
  <c r="BL518" i="3"/>
  <c r="BL514" i="3"/>
  <c r="BL510" i="3"/>
  <c r="BL504" i="3"/>
  <c r="AZ504" i="3" s="1"/>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BA542" i="3"/>
  <c r="BA540" i="3"/>
  <c r="BA538" i="3"/>
  <c r="AZ538" i="3" s="1"/>
  <c r="BA536" i="3"/>
  <c r="AZ536" i="3" s="1"/>
  <c r="BA534" i="3"/>
  <c r="AZ534" i="3" s="1"/>
  <c r="BA532" i="3"/>
  <c r="AZ532" i="3" s="1"/>
  <c r="BA530" i="3"/>
  <c r="BA528" i="3"/>
  <c r="BA526" i="3"/>
  <c r="BA524" i="3"/>
  <c r="BA522" i="3"/>
  <c r="BA520" i="3"/>
  <c r="BA518" i="3"/>
  <c r="AZ518" i="3" s="1"/>
  <c r="BA516" i="3"/>
  <c r="BA514" i="3"/>
  <c r="BA512" i="3"/>
  <c r="AZ512" i="3"/>
  <c r="BA510" i="3"/>
  <c r="AZ510" i="3"/>
  <c r="BA508" i="3"/>
  <c r="BA506" i="3"/>
  <c r="BA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Z557" i="3" s="1"/>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1"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W23" i="35"/>
  <c r="U26" i="37"/>
  <c r="AC36" i="34"/>
  <c r="AC31" i="33"/>
  <c r="AC45" i="33"/>
  <c r="U19" i="21"/>
  <c r="W44" i="21"/>
  <c r="AB38" i="21"/>
  <c r="F43" i="33"/>
  <c r="AA43" i="33"/>
  <c r="W15" i="34"/>
  <c r="AC15" i="34"/>
  <c r="W16" i="35"/>
  <c r="W40"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s="1"/>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67" i="3"/>
  <c r="AZ9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86" i="3"/>
  <c r="AZ500" i="3"/>
  <c r="BA16" i="3"/>
  <c r="AZ16" i="3" s="1"/>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s="1"/>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37" i="3"/>
  <c r="AZ241" i="3"/>
  <c r="BA379" i="3"/>
  <c r="AZ379" i="3" s="1"/>
  <c r="BL380" i="3"/>
  <c r="G381" i="3"/>
  <c r="BA383" i="3"/>
  <c r="AZ383" i="3" s="1"/>
  <c r="BL384" i="3"/>
  <c r="G385" i="3"/>
  <c r="BA387" i="3"/>
  <c r="AZ387" i="3" s="1"/>
  <c r="BL388" i="3"/>
  <c r="G389" i="3"/>
  <c r="BA391" i="3"/>
  <c r="AZ391" i="3" s="1"/>
  <c r="BL392" i="3"/>
  <c r="G393" i="3"/>
  <c r="AZ291" i="3"/>
  <c r="BO5" i="3"/>
  <c r="BM5" i="3"/>
  <c r="BJ5" i="3"/>
  <c r="BF5" i="3"/>
  <c r="BD5" i="3"/>
  <c r="AC5" i="3"/>
  <c r="AZ506" i="3"/>
  <c r="AZ496" i="3"/>
  <c r="G548" i="3"/>
  <c r="G538" i="3"/>
  <c r="G520" i="3"/>
  <c r="G502" i="3"/>
  <c r="BS5" i="3"/>
  <c r="BP5" i="3"/>
  <c r="G29" i="6" s="1"/>
  <c r="BN5" i="3"/>
  <c r="BK5" i="3"/>
  <c r="BI5" i="3"/>
  <c r="BG5" i="3"/>
  <c r="BE5" i="3"/>
  <c r="BC5" i="3"/>
  <c r="G17" i="3"/>
  <c r="BA17" i="3"/>
  <c r="BT5" i="3"/>
  <c r="AZ350" i="3"/>
  <c r="BA15" i="3"/>
  <c r="BB5" i="3"/>
  <c r="BR5" i="3"/>
  <c r="AZ380" i="3"/>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35" i="3"/>
  <c r="AZ256" i="3"/>
  <c r="AZ271" i="3"/>
  <c r="AZ133" i="3"/>
  <c r="AZ74" i="3"/>
  <c r="AZ86"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B33" i="36"/>
  <c r="U33" i="36"/>
  <c r="AC12" i="39"/>
  <c r="W12" i="39"/>
  <c r="AC39" i="40"/>
  <c r="W39" i="40"/>
  <c r="AZ433" i="3"/>
  <c r="AZ465" i="3"/>
  <c r="W12" i="33"/>
  <c r="AC12" i="33"/>
  <c r="AA32" i="36"/>
  <c r="S32" i="36"/>
  <c r="AZ437" i="3"/>
  <c r="BL14" i="3"/>
  <c r="U30" i="33"/>
  <c r="AA47" i="34"/>
  <c r="W28" i="37"/>
  <c r="S19" i="39"/>
  <c r="F12" i="33"/>
  <c r="H12" i="39"/>
  <c r="AB12" i="39" s="1"/>
  <c r="F39" i="40"/>
  <c r="BA14" i="3"/>
  <c r="AZ254"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C26" i="36"/>
  <c r="AA22" i="36"/>
  <c r="W14" i="36"/>
  <c r="AB14" i="36"/>
  <c r="U22" i="36"/>
  <c r="S16"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S25" i="33" s="1"/>
  <c r="J23" i="33"/>
  <c r="AC23" i="33" s="1"/>
  <c r="F85" i="33"/>
  <c r="H23" i="33"/>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E19" i="69"/>
  <c r="E19" i="68"/>
  <c r="E19" i="11"/>
  <c r="E1" i="73"/>
  <c r="G22" i="69"/>
  <c r="G22" i="68"/>
  <c r="G26" i="12"/>
  <c r="G22" i="11"/>
  <c r="C6" i="43"/>
  <c r="B19" i="53"/>
  <c r="B37" i="72" s="1"/>
  <c r="C7" i="21"/>
  <c r="A4" i="51"/>
  <c r="B6" i="72"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J19" i="37"/>
  <c r="W19" i="37" s="1"/>
  <c r="G75" i="37"/>
  <c r="AA19" i="37"/>
  <c r="AA23" i="37"/>
  <c r="J23" i="37"/>
  <c r="W23" i="37" s="1"/>
  <c r="G79" i="37"/>
  <c r="J10" i="37"/>
  <c r="W10"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U25" i="33"/>
  <c r="AB25" i="33"/>
  <c r="AA25" i="33"/>
  <c r="G87" i="33"/>
  <c r="H87" i="33"/>
  <c r="I87" i="33" s="1"/>
  <c r="J87" i="33" s="1"/>
  <c r="K87" i="33" s="1"/>
  <c r="L87" i="33" s="1"/>
  <c r="M87" i="33" s="1"/>
  <c r="J25" i="33"/>
  <c r="AC25" i="33" s="1"/>
  <c r="AB23" i="33"/>
  <c r="U23" i="33"/>
  <c r="F23" i="33"/>
  <c r="G85" i="33"/>
  <c r="AA19" i="33"/>
  <c r="H19" i="33"/>
  <c r="U19" i="33" s="1"/>
  <c r="H17" i="33"/>
  <c r="U17" i="33" s="1"/>
  <c r="F17" i="33"/>
  <c r="S17" i="33" s="1"/>
  <c r="W17" i="33"/>
  <c r="S37" i="21"/>
  <c r="AA23" i="21"/>
  <c r="AB15" i="21"/>
  <c r="J23" i="21"/>
  <c r="F85" i="21"/>
  <c r="G85" i="21" s="1"/>
  <c r="H23" i="21"/>
  <c r="AB23" i="21" s="1"/>
  <c r="S13" i="21"/>
  <c r="D6" i="52"/>
  <c r="AP7" i="1"/>
  <c r="AB45" i="21"/>
  <c r="AA32" i="21"/>
  <c r="S32" i="21"/>
  <c r="W9" i="21"/>
  <c r="AB32" i="21"/>
  <c r="U32" i="21"/>
  <c r="U32" i="39"/>
  <c r="AC32" i="39"/>
  <c r="W32" i="39"/>
  <c r="J11" i="37"/>
  <c r="AC11" i="37" s="1"/>
  <c r="H70" i="34"/>
  <c r="I70" i="34" s="1"/>
  <c r="J70" i="34" s="1"/>
  <c r="K70" i="34" s="1"/>
  <c r="L70" i="34" s="1"/>
  <c r="M70" i="34" s="1"/>
  <c r="J11" i="34"/>
  <c r="W11" i="34" s="1"/>
  <c r="AB36" i="33"/>
  <c r="AB19" i="33"/>
  <c r="AA17" i="33"/>
  <c r="U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1" i="76"/>
  <c r="B12" i="76"/>
  <c r="E7" i="76"/>
  <c r="D34" i="9"/>
  <c r="AO13" i="1"/>
  <c r="D35" i="9"/>
  <c r="F6" i="73"/>
  <c r="E13" i="76"/>
  <c r="E10" i="76"/>
  <c r="F4" i="73"/>
  <c r="C20" i="9"/>
  <c r="D19" i="9"/>
  <c r="E8" i="76"/>
  <c r="F20" i="31"/>
  <c r="E2" i="68"/>
  <c r="B9" i="76"/>
  <c r="F5" i="73"/>
  <c r="B13" i="76"/>
  <c r="B8" i="76"/>
  <c r="E11" i="76"/>
  <c r="D6" i="73"/>
  <c r="F7" i="73"/>
  <c r="E12" i="76"/>
  <c r="E2" i="69"/>
  <c r="B10" i="76"/>
  <c r="D20" i="9"/>
  <c r="C19" i="9"/>
  <c r="F3" i="73"/>
  <c r="E9" i="76"/>
  <c r="B7" i="76"/>
  <c r="G1" i="15" l="1"/>
  <c r="B6" i="1"/>
  <c r="E6" i="1" s="1"/>
  <c r="G1" i="67"/>
  <c r="K1" i="12"/>
  <c r="G23" i="43"/>
  <c r="C23" i="43" s="1"/>
  <c r="C7" i="33"/>
  <c r="C7" i="36"/>
  <c r="C46" i="36" s="1"/>
  <c r="D46" i="36" s="1"/>
  <c r="E46" i="36" s="1"/>
  <c r="F46" i="36" s="1"/>
  <c r="G46" i="36" s="1"/>
  <c r="H46" i="36" s="1"/>
  <c r="I46" i="36" s="1"/>
  <c r="C7" i="34"/>
  <c r="M47" i="9"/>
  <c r="C7" i="35"/>
  <c r="C48" i="35" s="1"/>
  <c r="D48" i="35" s="1"/>
  <c r="C7" i="40"/>
  <c r="C63" i="40" s="1"/>
  <c r="C7" i="39"/>
  <c r="C67" i="39" s="1"/>
  <c r="AZ365" i="3"/>
  <c r="AZ314" i="3"/>
  <c r="AC27" i="33"/>
  <c r="AC23" i="37"/>
  <c r="U9" i="21"/>
  <c r="S36" i="33"/>
  <c r="S17" i="37"/>
  <c r="W33" i="34"/>
  <c r="AA40" i="34"/>
  <c r="S30" i="40"/>
  <c r="AZ14" i="3"/>
  <c r="S15" i="37"/>
  <c r="AZ388" i="3"/>
  <c r="AZ345" i="3"/>
  <c r="AZ334" i="3"/>
  <c r="AZ372" i="3"/>
  <c r="AZ347" i="3"/>
  <c r="AZ337" i="3"/>
  <c r="AZ192" i="3"/>
  <c r="AZ123" i="3"/>
  <c r="AZ376" i="3"/>
  <c r="AZ309" i="3"/>
  <c r="AA11" i="39"/>
  <c r="AA44" i="33"/>
  <c r="U45" i="33"/>
  <c r="AB45" i="33"/>
  <c r="S12" i="36"/>
  <c r="AA12" i="36"/>
  <c r="W17" i="21"/>
  <c r="U12" i="39"/>
  <c r="AA27" i="40"/>
  <c r="AB27" i="40"/>
  <c r="AZ362" i="3"/>
  <c r="AZ307" i="3"/>
  <c r="AZ390" i="3"/>
  <c r="AZ351" i="3"/>
  <c r="AZ336" i="3"/>
  <c r="AZ140" i="3"/>
  <c r="AB11" i="33"/>
  <c r="U11" i="33"/>
  <c r="S29" i="35"/>
  <c r="AA29" i="35"/>
  <c r="AC31" i="40"/>
  <c r="W31" i="40"/>
  <c r="W25" i="33"/>
  <c r="F29" i="6"/>
  <c r="E29" i="6" s="1"/>
  <c r="K15" i="1" s="1"/>
  <c r="AZ318" i="3"/>
  <c r="AZ346" i="3"/>
  <c r="AZ306" i="3"/>
  <c r="W12" i="37"/>
  <c r="AC12" i="37"/>
  <c r="AB14" i="40"/>
  <c r="U14" i="40"/>
  <c r="AB46" i="33"/>
  <c r="U46" i="33"/>
  <c r="AA11" i="36"/>
  <c r="S11" i="36"/>
  <c r="S13" i="33"/>
  <c r="AA13" i="33"/>
  <c r="U23" i="34"/>
  <c r="AB23" i="34"/>
  <c r="S36" i="39"/>
  <c r="AA36" i="39"/>
  <c r="B97" i="43"/>
  <c r="B75" i="43"/>
  <c r="AZ160" i="3"/>
  <c r="AA21" i="40"/>
  <c r="S21" i="40"/>
  <c r="J39" i="37"/>
  <c r="F39" i="37"/>
  <c r="S39" i="37" s="1"/>
  <c r="H44" i="39"/>
  <c r="J44" i="39"/>
  <c r="AZ515" i="3"/>
  <c r="AZ523" i="3"/>
  <c r="AZ547" i="3"/>
  <c r="AZ569" i="3"/>
  <c r="AZ571" i="3"/>
  <c r="AZ579" i="3"/>
  <c r="AZ516" i="3"/>
  <c r="AZ524" i="3"/>
  <c r="F25" i="36"/>
  <c r="H47" i="34"/>
  <c r="J13" i="34"/>
  <c r="AC11" i="35"/>
  <c r="J34" i="36"/>
  <c r="W34" i="36" s="1"/>
  <c r="W8" i="40"/>
  <c r="B79" i="43"/>
  <c r="H9" i="33"/>
  <c r="F9" i="33"/>
  <c r="AA9" i="33" s="1"/>
  <c r="J26" i="33"/>
  <c r="F26" i="33"/>
  <c r="H26" i="33"/>
  <c r="AC9" i="34"/>
  <c r="W9" i="34"/>
  <c r="F12" i="35"/>
  <c r="S12" i="35" s="1"/>
  <c r="J12" i="35"/>
  <c r="J12" i="36"/>
  <c r="H12" i="36"/>
  <c r="AZ413" i="3"/>
  <c r="AZ443" i="3"/>
  <c r="AZ505" i="3"/>
  <c r="AZ525" i="3"/>
  <c r="AZ529" i="3"/>
  <c r="AZ537" i="3"/>
  <c r="AZ526" i="3"/>
  <c r="AZ564" i="3"/>
  <c r="AZ580" i="3"/>
  <c r="J47" i="34"/>
  <c r="J31" i="34"/>
  <c r="H13" i="34"/>
  <c r="U13" i="34" s="1"/>
  <c r="J44" i="33"/>
  <c r="F14" i="33"/>
  <c r="F34" i="36"/>
  <c r="W28" i="36"/>
  <c r="U30" i="36"/>
  <c r="AB30" i="36"/>
  <c r="AZ577" i="3"/>
  <c r="AZ513" i="3"/>
  <c r="AZ575" i="3"/>
  <c r="AZ528" i="3"/>
  <c r="AZ548" i="3"/>
  <c r="AZ566" i="3"/>
  <c r="AZ574" i="3"/>
  <c r="AZ582" i="3"/>
  <c r="AZ502" i="3"/>
  <c r="S38" i="33"/>
  <c r="S38" i="40"/>
  <c r="H39" i="37"/>
  <c r="U34" i="35"/>
  <c r="BL587" i="3"/>
  <c r="AZ587" i="3" s="1"/>
  <c r="BL586" i="3"/>
  <c r="AZ586" i="3" s="1"/>
  <c r="J36" i="35"/>
  <c r="AC36" i="35" s="1"/>
  <c r="J24" i="36"/>
  <c r="H24" i="36"/>
  <c r="F24" i="36"/>
  <c r="AB30" i="37"/>
  <c r="U30" i="37"/>
  <c r="F44" i="39"/>
  <c r="BL550" i="3"/>
  <c r="BL15" i="3"/>
  <c r="AZ15" i="3" s="1"/>
  <c r="BA398" i="3"/>
  <c r="BA399" i="3"/>
  <c r="AZ399" i="3" s="1"/>
  <c r="BL401" i="3"/>
  <c r="AZ401" i="3" s="1"/>
  <c r="BL404" i="3"/>
  <c r="AZ404" i="3" s="1"/>
  <c r="BL405" i="3"/>
  <c r="BL407" i="3"/>
  <c r="BA412" i="3"/>
  <c r="AZ412" i="3" s="1"/>
  <c r="BA414" i="3"/>
  <c r="BA415" i="3"/>
  <c r="BA416" i="3"/>
  <c r="AZ416" i="3" s="1"/>
  <c r="BA418" i="3"/>
  <c r="AZ418" i="3" s="1"/>
  <c r="BA421" i="3"/>
  <c r="AZ421" i="3" s="1"/>
  <c r="BA423" i="3"/>
  <c r="AZ423" i="3" s="1"/>
  <c r="BA425" i="3"/>
  <c r="BA426" i="3"/>
  <c r="AZ426" i="3" s="1"/>
  <c r="BA427" i="3"/>
  <c r="AZ427" i="3" s="1"/>
  <c r="BL455" i="3"/>
  <c r="BL458" i="3"/>
  <c r="AZ458" i="3" s="1"/>
  <c r="BL459" i="3"/>
  <c r="BL464" i="3"/>
  <c r="BA466" i="3"/>
  <c r="AZ466" i="3" s="1"/>
  <c r="BA467" i="3"/>
  <c r="BA468" i="3"/>
  <c r="BA476" i="3"/>
  <c r="AZ476" i="3" s="1"/>
  <c r="BA477" i="3"/>
  <c r="BA478" i="3"/>
  <c r="BL480" i="3"/>
  <c r="AZ480" i="3" s="1"/>
  <c r="BA483" i="3"/>
  <c r="AZ217" i="3"/>
  <c r="AZ228" i="3"/>
  <c r="AZ403" i="3"/>
  <c r="AZ405" i="3"/>
  <c r="AZ407" i="3"/>
  <c r="AZ419" i="3"/>
  <c r="G429" i="3"/>
  <c r="G430" i="3"/>
  <c r="BL431" i="3"/>
  <c r="G433" i="3"/>
  <c r="BL434" i="3"/>
  <c r="G436" i="3"/>
  <c r="G437" i="3"/>
  <c r="BL438" i="3"/>
  <c r="BL439" i="3"/>
  <c r="AZ439" i="3" s="1"/>
  <c r="BA441" i="3"/>
  <c r="AZ441" i="3" s="1"/>
  <c r="BL445" i="3"/>
  <c r="BL446" i="3"/>
  <c r="BA449" i="3"/>
  <c r="AZ449" i="3" s="1"/>
  <c r="AZ454" i="3"/>
  <c r="BL475" i="3"/>
  <c r="BL479" i="3"/>
  <c r="BA487" i="3"/>
  <c r="AZ487" i="3" s="1"/>
  <c r="AB8" i="39"/>
  <c r="C15" i="39"/>
  <c r="AA9" i="40"/>
  <c r="S31" i="35"/>
  <c r="U31" i="36"/>
  <c r="G587" i="3"/>
  <c r="F25" i="37"/>
  <c r="BA551" i="3"/>
  <c r="AZ551" i="3" s="1"/>
  <c r="BA550" i="3"/>
  <c r="AZ550" i="3" s="1"/>
  <c r="BL548" i="3"/>
  <c r="G399" i="3"/>
  <c r="BL400" i="3"/>
  <c r="AZ400" i="3" s="1"/>
  <c r="BL408" i="3"/>
  <c r="BL411" i="3"/>
  <c r="BL413" i="3"/>
  <c r="G416" i="3"/>
  <c r="BL417" i="3"/>
  <c r="BL418" i="3"/>
  <c r="BL420" i="3"/>
  <c r="G423" i="3"/>
  <c r="BL424" i="3"/>
  <c r="AZ424" i="3" s="1"/>
  <c r="BL428" i="3"/>
  <c r="BL429" i="3"/>
  <c r="BL432" i="3"/>
  <c r="BL435" i="3"/>
  <c r="AZ435" i="3" s="1"/>
  <c r="BL436" i="3"/>
  <c r="BA439" i="3"/>
  <c r="BA440" i="3"/>
  <c r="AZ440" i="3" s="1"/>
  <c r="BA442" i="3"/>
  <c r="AZ442" i="3" s="1"/>
  <c r="BA445" i="3"/>
  <c r="BA447" i="3"/>
  <c r="AZ447" i="3" s="1"/>
  <c r="AZ459" i="3"/>
  <c r="AZ460" i="3"/>
  <c r="BL585" i="3"/>
  <c r="AZ585" i="3" s="1"/>
  <c r="BL398" i="3"/>
  <c r="G402" i="3"/>
  <c r="BL403" i="3"/>
  <c r="G405" i="3"/>
  <c r="G406" i="3"/>
  <c r="BA408" i="3"/>
  <c r="BA409" i="3"/>
  <c r="AZ409" i="3" s="1"/>
  <c r="BA411" i="3"/>
  <c r="AZ411" i="3" s="1"/>
  <c r="BL414" i="3"/>
  <c r="BL415" i="3"/>
  <c r="BA417" i="3"/>
  <c r="BL421" i="3"/>
  <c r="BL422" i="3"/>
  <c r="AZ422" i="3" s="1"/>
  <c r="BL425" i="3"/>
  <c r="BL426" i="3"/>
  <c r="BA428" i="3"/>
  <c r="AZ428" i="3" s="1"/>
  <c r="BA429" i="3"/>
  <c r="AZ429" i="3" s="1"/>
  <c r="BA430" i="3"/>
  <c r="AZ430" i="3" s="1"/>
  <c r="BA432" i="3"/>
  <c r="BA434" i="3"/>
  <c r="BA436" i="3"/>
  <c r="AZ436" i="3" s="1"/>
  <c r="BA438" i="3"/>
  <c r="G442" i="3"/>
  <c r="G443" i="3"/>
  <c r="BA446" i="3"/>
  <c r="AZ446" i="3" s="1"/>
  <c r="G448" i="3"/>
  <c r="BL448" i="3"/>
  <c r="AZ448" i="3" s="1"/>
  <c r="G450" i="3"/>
  <c r="BL453" i="3"/>
  <c r="BL454" i="3"/>
  <c r="BA457" i="3"/>
  <c r="BL450" i="3"/>
  <c r="BL452" i="3"/>
  <c r="AZ452" i="3" s="1"/>
  <c r="G454" i="3"/>
  <c r="G455" i="3"/>
  <c r="BL456" i="3"/>
  <c r="BA464" i="3"/>
  <c r="AZ464" i="3" s="1"/>
  <c r="BL467" i="3"/>
  <c r="BL468" i="3"/>
  <c r="BL470" i="3"/>
  <c r="AZ470" i="3" s="1"/>
  <c r="G472" i="3"/>
  <c r="G473" i="3"/>
  <c r="BL473" i="3"/>
  <c r="AZ473" i="3" s="1"/>
  <c r="BL474" i="3"/>
  <c r="G475" i="3"/>
  <c r="BA482" i="3"/>
  <c r="BA484" i="3"/>
  <c r="AZ484" i="3" s="1"/>
  <c r="G491" i="3"/>
  <c r="BA303" i="3"/>
  <c r="AZ303" i="3" s="1"/>
  <c r="BA307" i="3"/>
  <c r="G311" i="3"/>
  <c r="BL314" i="3"/>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BL238" i="3"/>
  <c r="BL250" i="3"/>
  <c r="AZ250" i="3" s="1"/>
  <c r="BA259" i="3"/>
  <c r="AZ259" i="3" s="1"/>
  <c r="BA263" i="3"/>
  <c r="AZ263" i="3" s="1"/>
  <c r="BA281" i="3"/>
  <c r="G291" i="3"/>
  <c r="BA239" i="3"/>
  <c r="BL239" i="3"/>
  <c r="BA242" i="3"/>
  <c r="AZ242" i="3" s="1"/>
  <c r="BA245" i="3"/>
  <c r="AZ245" i="3" s="1"/>
  <c r="BA246" i="3"/>
  <c r="BL248" i="3"/>
  <c r="AZ248" i="3" s="1"/>
  <c r="BA269" i="3"/>
  <c r="AZ269" i="3" s="1"/>
  <c r="BA276" i="3"/>
  <c r="BL286" i="3"/>
  <c r="AZ286" i="3" s="1"/>
  <c r="G299" i="3"/>
  <c r="BA450" i="3"/>
  <c r="BA453" i="3"/>
  <c r="BA455" i="3"/>
  <c r="AZ455" i="3" s="1"/>
  <c r="BL457" i="3"/>
  <c r="BL460" i="3"/>
  <c r="BL461" i="3"/>
  <c r="AZ461" i="3" s="1"/>
  <c r="BL463" i="3"/>
  <c r="AZ463" i="3" s="1"/>
  <c r="G465" i="3"/>
  <c r="BA471" i="3"/>
  <c r="AZ471" i="3" s="1"/>
  <c r="G486" i="3"/>
  <c r="G488" i="3"/>
  <c r="BL317" i="3"/>
  <c r="BA349" i="3"/>
  <c r="AZ349" i="3" s="1"/>
  <c r="BA353" i="3"/>
  <c r="BL353" i="3"/>
  <c r="BA358" i="3"/>
  <c r="AZ358" i="3" s="1"/>
  <c r="BL365" i="3"/>
  <c r="BA368" i="3"/>
  <c r="BL368" i="3"/>
  <c r="BA374" i="3"/>
  <c r="AZ374" i="3" s="1"/>
  <c r="BA388" i="3"/>
  <c r="BA396" i="3"/>
  <c r="BA209" i="3"/>
  <c r="BL217" i="3"/>
  <c r="BA219" i="3"/>
  <c r="AZ219" i="3" s="1"/>
  <c r="BA221" i="3"/>
  <c r="BA223" i="3"/>
  <c r="AZ223" i="3" s="1"/>
  <c r="BL228" i="3"/>
  <c r="BA230" i="3"/>
  <c r="AZ230" i="3" s="1"/>
  <c r="BL232" i="3"/>
  <c r="BL234" i="3"/>
  <c r="BA236" i="3"/>
  <c r="BA238" i="3"/>
  <c r="BL240" i="3"/>
  <c r="AZ240" i="3" s="1"/>
  <c r="G243" i="3"/>
  <c r="BA244" i="3"/>
  <c r="AZ244" i="3" s="1"/>
  <c r="BL244" i="3"/>
  <c r="BA255" i="3"/>
  <c r="AZ255" i="3" s="1"/>
  <c r="BL261" i="3"/>
  <c r="BA265" i="3"/>
  <c r="BA267" i="3"/>
  <c r="AZ267" i="3" s="1"/>
  <c r="G271" i="3"/>
  <c r="BA274" i="3"/>
  <c r="AZ274" i="3" s="1"/>
  <c r="BL274" i="3"/>
  <c r="BL278" i="3"/>
  <c r="BA279" i="3"/>
  <c r="BA283" i="3"/>
  <c r="AZ283" i="3" s="1"/>
  <c r="BL298" i="3"/>
  <c r="G116" i="3"/>
  <c r="BL483" i="3"/>
  <c r="AZ483" i="3" s="1"/>
  <c r="BA486" i="3"/>
  <c r="BL489" i="3"/>
  <c r="BL491" i="3"/>
  <c r="AZ491" i="3" s="1"/>
  <c r="BL492" i="3"/>
  <c r="BA315" i="3"/>
  <c r="AZ315" i="3" s="1"/>
  <c r="BA333" i="3"/>
  <c r="BL346" i="3"/>
  <c r="BA384" i="3"/>
  <c r="AZ384" i="3" s="1"/>
  <c r="BA395" i="3"/>
  <c r="AZ395" i="3" s="1"/>
  <c r="BA208" i="3"/>
  <c r="AZ208" i="3" s="1"/>
  <c r="BA211" i="3"/>
  <c r="AZ211" i="3" s="1"/>
  <c r="BL213" i="3"/>
  <c r="BL215" i="3"/>
  <c r="BA222" i="3"/>
  <c r="AZ222" i="3" s="1"/>
  <c r="BA224" i="3"/>
  <c r="AZ224" i="3" s="1"/>
  <c r="BA226" i="3"/>
  <c r="AZ226" i="3" s="1"/>
  <c r="AZ270" i="3"/>
  <c r="BL293" i="3"/>
  <c r="BL294" i="3"/>
  <c r="BA297" i="3"/>
  <c r="AZ297" i="3" s="1"/>
  <c r="BL297" i="3"/>
  <c r="BL300" i="3"/>
  <c r="BA302" i="3"/>
  <c r="G115" i="3"/>
  <c r="BA117" i="3"/>
  <c r="BA130" i="3"/>
  <c r="BL130" i="3"/>
  <c r="BA137" i="3"/>
  <c r="BL138" i="3"/>
  <c r="BA140" i="3"/>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1" i="3"/>
  <c r="C55" i="71"/>
  <c r="D54" i="71"/>
  <c r="AZ126" i="3"/>
  <c r="AZ52" i="3"/>
  <c r="G67" i="3"/>
  <c r="BL68" i="3"/>
  <c r="BA69" i="3"/>
  <c r="AZ69" i="3" s="1"/>
  <c r="C44" i="71"/>
  <c r="D43" i="71"/>
  <c r="BL255" i="3"/>
  <c r="BL257" i="3"/>
  <c r="AZ257" i="3" s="1"/>
  <c r="BL258" i="3"/>
  <c r="BA262" i="3"/>
  <c r="AZ262" i="3" s="1"/>
  <c r="BL265" i="3"/>
  <c r="BA273" i="3"/>
  <c r="AZ273" i="3" s="1"/>
  <c r="BA278" i="3"/>
  <c r="AZ278" i="3" s="1"/>
  <c r="BA280" i="3"/>
  <c r="AZ280" i="3" s="1"/>
  <c r="BL283" i="3"/>
  <c r="BL284" i="3"/>
  <c r="AZ284" i="3" s="1"/>
  <c r="G288" i="3"/>
  <c r="BL292" i="3"/>
  <c r="BA294" i="3"/>
  <c r="AZ294" i="3" s="1"/>
  <c r="BL295" i="3"/>
  <c r="BA298" i="3"/>
  <c r="AZ298" i="3" s="1"/>
  <c r="BL301" i="3"/>
  <c r="AZ301" i="3" s="1"/>
  <c r="BL302" i="3"/>
  <c r="BA114" i="3"/>
  <c r="BL123" i="3"/>
  <c r="BA128" i="3"/>
  <c r="AZ128" i="3" s="1"/>
  <c r="BL134" i="3"/>
  <c r="BL137" i="3"/>
  <c r="BA146" i="3"/>
  <c r="AZ146" i="3" s="1"/>
  <c r="BA150" i="3"/>
  <c r="BL167" i="3"/>
  <c r="AZ167" i="3" s="1"/>
  <c r="BL178" i="3"/>
  <c r="BA180" i="3"/>
  <c r="AZ180" i="3" s="1"/>
  <c r="BL182" i="3"/>
  <c r="BA185" i="3"/>
  <c r="AZ185" i="3" s="1"/>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BL54" i="3"/>
  <c r="BL55" i="3"/>
  <c r="AZ55" i="3" s="1"/>
  <c r="G58" i="3"/>
  <c r="BA59" i="3"/>
  <c r="BL61" i="3"/>
  <c r="G64" i="3"/>
  <c r="BA64" i="3"/>
  <c r="AZ64" i="3" s="1"/>
  <c r="D31" i="71"/>
  <c r="C32" i="71"/>
  <c r="D50" i="71"/>
  <c r="C51" i="71"/>
  <c r="BL243" i="3"/>
  <c r="AZ243" i="3" s="1"/>
  <c r="G244" i="3"/>
  <c r="BA247" i="3"/>
  <c r="AZ247" i="3" s="1"/>
  <c r="BL247" i="3"/>
  <c r="BA249" i="3"/>
  <c r="BL249" i="3"/>
  <c r="BA251" i="3"/>
  <c r="AZ251" i="3" s="1"/>
  <c r="BL251" i="3"/>
  <c r="BA253" i="3"/>
  <c r="BL260" i="3"/>
  <c r="G262" i="3"/>
  <c r="BL263" i="3"/>
  <c r="G264" i="3"/>
  <c r="BL270" i="3"/>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BL197" i="3"/>
  <c r="AZ197" i="3" s="1"/>
  <c r="G198" i="3"/>
  <c r="BL199" i="3"/>
  <c r="AZ199" i="3" s="1"/>
  <c r="BA200" i="3"/>
  <c r="AZ200" i="3" s="1"/>
  <c r="BA202" i="3"/>
  <c r="BL207" i="3"/>
  <c r="BL18" i="3"/>
  <c r="AZ18" i="3" s="1"/>
  <c r="G19" i="3"/>
  <c r="BL19" i="3"/>
  <c r="BA20" i="3"/>
  <c r="AZ20" i="3" s="1"/>
  <c r="BL25" i="3"/>
  <c r="BL27" i="3"/>
  <c r="BA28" i="3"/>
  <c r="AZ28" i="3" s="1"/>
  <c r="BA31" i="3"/>
  <c r="AZ31" i="3" s="1"/>
  <c r="BA32" i="3"/>
  <c r="G38" i="3"/>
  <c r="BA38" i="3"/>
  <c r="BA41" i="3"/>
  <c r="AZ41" i="3" s="1"/>
  <c r="BA42" i="3"/>
  <c r="G46" i="3"/>
  <c r="G47" i="3"/>
  <c r="BL48" i="3"/>
  <c r="BA51" i="3"/>
  <c r="AZ51" i="3" s="1"/>
  <c r="G55" i="3"/>
  <c r="BL69" i="3"/>
  <c r="D34" i="71"/>
  <c r="C35" i="71"/>
  <c r="F66" i="71"/>
  <c r="Q67" i="71"/>
  <c r="V24" i="71"/>
  <c r="E23" i="71"/>
  <c r="E22" i="71" s="1"/>
  <c r="E21" i="71" s="1"/>
  <c r="E20" i="71" s="1"/>
  <c r="E19" i="71" s="1"/>
  <c r="E18" i="71" s="1"/>
  <c r="E17" i="71" s="1"/>
  <c r="E16" i="71" s="1"/>
  <c r="S21" i="33"/>
  <c r="S21" i="37"/>
  <c r="B77" i="43"/>
  <c r="AA28" i="71"/>
  <c r="AB27" i="71"/>
  <c r="E75" i="71"/>
  <c r="E74" i="71" s="1"/>
  <c r="AB25" i="71"/>
  <c r="X26" i="71"/>
  <c r="Y25" i="71"/>
  <c r="Z25" i="71" s="1"/>
  <c r="Y29" i="71"/>
  <c r="Z29" i="71" s="1"/>
  <c r="AB32" i="71"/>
  <c r="X33" i="71"/>
  <c r="BL56" i="3"/>
  <c r="BA58" i="3"/>
  <c r="BL59" i="3"/>
  <c r="BL60" i="3"/>
  <c r="BA61" i="3"/>
  <c r="BA68" i="3"/>
  <c r="AZ68" i="3" s="1"/>
  <c r="BA73" i="3"/>
  <c r="AZ73" i="3" s="1"/>
  <c r="BA80" i="3"/>
  <c r="BL84" i="3"/>
  <c r="BA89" i="3"/>
  <c r="G103" i="3"/>
  <c r="BA103" i="3"/>
  <c r="AZ103" i="3" s="1"/>
  <c r="BA104" i="3"/>
  <c r="BA106" i="3"/>
  <c r="BL108" i="3"/>
  <c r="AZ108" i="3" s="1"/>
  <c r="BL111" i="3"/>
  <c r="P66" i="71"/>
  <c r="C66" i="71"/>
  <c r="AA27" i="71"/>
  <c r="AB26" i="71"/>
  <c r="S28" i="71"/>
  <c r="C83" i="71"/>
  <c r="C79" i="71"/>
  <c r="C75" i="71"/>
  <c r="C71" i="71"/>
  <c r="C39" i="71"/>
  <c r="Y28" i="71"/>
  <c r="Z28" i="71" s="1"/>
  <c r="C28" i="71"/>
  <c r="X35" i="71"/>
  <c r="Y30" i="71"/>
  <c r="Z30" i="71" s="1"/>
  <c r="X28" i="71"/>
  <c r="X32" i="71"/>
  <c r="F38" i="71"/>
  <c r="F39" i="71" s="1"/>
  <c r="F40" i="71" s="1"/>
  <c r="V40" i="71" s="1"/>
  <c r="AB38" i="71"/>
  <c r="F75" i="71"/>
  <c r="F74" i="71" s="1"/>
  <c r="B79" i="71"/>
  <c r="B78" i="71" s="1"/>
  <c r="BA45" i="3"/>
  <c r="AZ45" i="3" s="1"/>
  <c r="BA46" i="3"/>
  <c r="BL49" i="3"/>
  <c r="AZ49" i="3" s="1"/>
  <c r="BL50" i="3"/>
  <c r="AZ50" i="3" s="1"/>
  <c r="BL51" i="3"/>
  <c r="G53" i="3"/>
  <c r="BL53" i="3"/>
  <c r="AZ53" i="3" s="1"/>
  <c r="BA56" i="3"/>
  <c r="BA57" i="3"/>
  <c r="AZ57" i="3" s="1"/>
  <c r="BL58" i="3"/>
  <c r="G60" i="3"/>
  <c r="BA60" i="3"/>
  <c r="BA63" i="3"/>
  <c r="AZ63" i="3" s="1"/>
  <c r="BA66" i="3"/>
  <c r="AZ66" i="3" s="1"/>
  <c r="BA71" i="3"/>
  <c r="G76" i="3"/>
  <c r="BL77" i="3"/>
  <c r="AZ77" i="3" s="1"/>
  <c r="BA79" i="3"/>
  <c r="AZ79" i="3" s="1"/>
  <c r="G82" i="3"/>
  <c r="G83" i="3"/>
  <c r="BA84" i="3"/>
  <c r="AZ84" i="3" s="1"/>
  <c r="BL88" i="3"/>
  <c r="AZ88" i="3" s="1"/>
  <c r="G90" i="3"/>
  <c r="BL90" i="3"/>
  <c r="BL92" i="3"/>
  <c r="G101" i="3"/>
  <c r="BA101" i="3"/>
  <c r="AZ101" i="3" s="1"/>
  <c r="G108" i="3"/>
  <c r="G109" i="3"/>
  <c r="BL112" i="3"/>
  <c r="AB21" i="33"/>
  <c r="B88" i="43"/>
  <c r="G70" i="3"/>
  <c r="BL70" i="3"/>
  <c r="AZ70" i="3" s="1"/>
  <c r="BL71" i="3"/>
  <c r="BL72" i="3"/>
  <c r="AZ72" i="3" s="1"/>
  <c r="G74" i="3"/>
  <c r="G75" i="3"/>
  <c r="BL75" i="3"/>
  <c r="AZ75" i="3" s="1"/>
  <c r="G79" i="3"/>
  <c r="BL81" i="3"/>
  <c r="BA82" i="3"/>
  <c r="AZ82" i="3" s="1"/>
  <c r="BL83" i="3"/>
  <c r="G86" i="3"/>
  <c r="G87" i="3"/>
  <c r="BA90" i="3"/>
  <c r="AZ90" i="3" s="1"/>
  <c r="BL94" i="3"/>
  <c r="AZ94" i="3" s="1"/>
  <c r="BA100" i="3"/>
  <c r="AZ100" i="3" s="1"/>
  <c r="BA102" i="3"/>
  <c r="AZ102" i="3" s="1"/>
  <c r="BL105" i="3"/>
  <c r="AZ105" i="3" s="1"/>
  <c r="G107" i="3"/>
  <c r="BL107" i="3"/>
  <c r="BA111" i="3"/>
  <c r="AZ111" i="3"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AC45" i="39"/>
  <c r="AA12" i="34"/>
  <c r="S34" i="21"/>
  <c r="J34" i="35"/>
  <c r="F34" i="35"/>
  <c r="J26" i="37"/>
  <c r="F26" i="37"/>
  <c r="F40" i="40"/>
  <c r="G578" i="3"/>
  <c r="AZ410" i="3"/>
  <c r="AZ431" i="3"/>
  <c r="AZ445" i="3"/>
  <c r="AZ456" i="3"/>
  <c r="AZ467" i="3"/>
  <c r="AZ468" i="3"/>
  <c r="W35" i="39"/>
  <c r="F27" i="34"/>
  <c r="C21" i="39"/>
  <c r="U9" i="36"/>
  <c r="U14" i="37"/>
  <c r="H12" i="21"/>
  <c r="G526" i="3"/>
  <c r="AZ420" i="3"/>
  <c r="AZ434" i="3"/>
  <c r="AZ438" i="3"/>
  <c r="AZ450" i="3"/>
  <c r="G28" i="6"/>
  <c r="G30" i="6" s="1"/>
  <c r="G31" i="6" s="1"/>
  <c r="U26" i="21"/>
  <c r="W36" i="39"/>
  <c r="U23" i="40"/>
  <c r="AC16" i="36"/>
  <c r="AB12" i="33"/>
  <c r="C27" i="39"/>
  <c r="U40" i="40"/>
  <c r="AC9" i="40"/>
  <c r="W36" i="35"/>
  <c r="J12" i="21"/>
  <c r="B73" i="43"/>
  <c r="B76" i="43"/>
  <c r="F9" i="36"/>
  <c r="J40" i="40"/>
  <c r="G562" i="3"/>
  <c r="AZ489" i="3"/>
  <c r="AZ385"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G240" i="3"/>
  <c r="G242" i="3"/>
  <c r="G245" i="3"/>
  <c r="BL246" i="3"/>
  <c r="BL253" i="3"/>
  <c r="AZ253" i="3" s="1"/>
  <c r="BA261" i="3"/>
  <c r="BA264" i="3"/>
  <c r="AZ264" i="3" s="1"/>
  <c r="BA266" i="3"/>
  <c r="AZ266" i="3" s="1"/>
  <c r="G272" i="3"/>
  <c r="G275" i="3"/>
  <c r="BL276" i="3"/>
  <c r="AZ276" i="3" s="1"/>
  <c r="BL279" i="3"/>
  <c r="BL281" i="3"/>
  <c r="BA285" i="3"/>
  <c r="AZ285" i="3" s="1"/>
  <c r="BA287" i="3"/>
  <c r="AZ287" i="3" s="1"/>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93" i="3"/>
  <c r="BL202" i="3"/>
  <c r="AZ202" i="3" s="1"/>
  <c r="AZ30" i="3"/>
  <c r="BL36" i="3"/>
  <c r="AZ40" i="3"/>
  <c r="AZ48" i="3"/>
  <c r="AZ106" i="3"/>
  <c r="G200" i="3"/>
  <c r="G207" i="3"/>
  <c r="BA23" i="3"/>
  <c r="AZ23" i="3" s="1"/>
  <c r="BA24" i="3"/>
  <c r="AZ24" i="3" s="1"/>
  <c r="BL26" i="3"/>
  <c r="BL32" i="3"/>
  <c r="BA34" i="3"/>
  <c r="AZ34" i="3" s="1"/>
  <c r="BA35" i="3"/>
  <c r="AZ35" i="3" s="1"/>
  <c r="BL37" i="3"/>
  <c r="AZ37" i="3" s="1"/>
  <c r="BL42" i="3"/>
  <c r="BA44" i="3"/>
  <c r="AZ44" i="3" s="1"/>
  <c r="AZ46" i="3"/>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D103" i="9"/>
  <c r="G20" i="9"/>
  <c r="C103" i="9"/>
  <c r="B13" i="70"/>
  <c r="C36" i="68"/>
  <c r="D9" i="69"/>
  <c r="C36" i="69"/>
  <c r="D9" i="68"/>
  <c r="F26" i="15"/>
  <c r="M24" i="15"/>
  <c r="L47" i="67"/>
  <c r="F13" i="15"/>
  <c r="F6" i="15"/>
  <c r="D5" i="73"/>
  <c r="M8" i="67"/>
  <c r="F36" i="15"/>
  <c r="D4" i="73"/>
  <c r="F36" i="67"/>
  <c r="F16" i="15"/>
  <c r="F9" i="15"/>
  <c r="M26" i="15"/>
  <c r="L47" i="15"/>
  <c r="F26" i="67"/>
  <c r="M24" i="67"/>
  <c r="M22" i="67"/>
  <c r="M6" i="67"/>
  <c r="M23" i="67"/>
  <c r="J15" i="67"/>
  <c r="F43" i="15"/>
  <c r="C76" i="15"/>
  <c r="F42" i="15"/>
  <c r="D7" i="73"/>
  <c r="D3" i="73"/>
  <c r="F43" i="67"/>
  <c r="F38" i="15"/>
  <c r="F7" i="15"/>
  <c r="M26" i="67"/>
  <c r="M6" i="15"/>
  <c r="C76" i="67"/>
  <c r="F37" i="67"/>
  <c r="F38" i="67"/>
  <c r="F40" i="15"/>
  <c r="M29" i="15"/>
  <c r="F9" i="67"/>
  <c r="F8" i="15"/>
  <c r="M22" i="15"/>
  <c r="M23" i="15"/>
  <c r="F16" i="67"/>
  <c r="L48" i="67"/>
  <c r="M9" i="15"/>
  <c r="F40" i="67"/>
  <c r="M28" i="67"/>
  <c r="M8" i="15"/>
  <c r="F8" i="67"/>
  <c r="F37" i="15"/>
  <c r="F6" i="67"/>
  <c r="F7" i="67"/>
  <c r="F42" i="67"/>
  <c r="M28" i="15"/>
  <c r="J15" i="15"/>
  <c r="F13" i="67"/>
  <c r="M9" i="67"/>
  <c r="M29" i="67"/>
  <c r="L48" i="15"/>
  <c r="B20" i="31" l="1"/>
  <c r="B21" i="31" s="1"/>
  <c r="C27" i="67"/>
  <c r="F71" i="67"/>
  <c r="F66" i="67"/>
  <c r="C6" i="67"/>
  <c r="C32" i="67" s="1"/>
  <c r="L58" i="67"/>
  <c r="Q60" i="67" s="1"/>
  <c r="M59" i="67"/>
  <c r="N59" i="67"/>
  <c r="L59" i="67"/>
  <c r="Q61" i="67" s="1"/>
  <c r="F51" i="67"/>
  <c r="Q71" i="67"/>
  <c r="F68" i="67"/>
  <c r="F64" i="67"/>
  <c r="F65" i="67"/>
  <c r="L56" i="67"/>
  <c r="I54" i="67"/>
  <c r="J53" i="67"/>
  <c r="F1" i="67" s="1"/>
  <c r="J57" i="67"/>
  <c r="J55" i="67" s="1"/>
  <c r="J58" i="67" s="1"/>
  <c r="Q50" i="67" s="1"/>
  <c r="F50" i="67"/>
  <c r="M7" i="67"/>
  <c r="J6" i="67" s="1"/>
  <c r="J18" i="67" s="1"/>
  <c r="M7" i="15"/>
  <c r="J6" i="15" s="1"/>
  <c r="J18" i="15" s="1"/>
  <c r="F50" i="15"/>
  <c r="J57" i="15"/>
  <c r="J55" i="15" s="1"/>
  <c r="J58" i="15" s="1"/>
  <c r="Q50" i="15" s="1"/>
  <c r="I54" i="15"/>
  <c r="J53" i="15"/>
  <c r="L56" i="15" s="1"/>
  <c r="F64" i="15"/>
  <c r="Q71" i="15"/>
  <c r="M59" i="15"/>
  <c r="L59" i="15"/>
  <c r="Q74" i="15" s="1"/>
  <c r="N59" i="15"/>
  <c r="L58" i="15"/>
  <c r="Q60" i="15" s="1"/>
  <c r="F66" i="15"/>
  <c r="F68" i="15"/>
  <c r="C27" i="15"/>
  <c r="E28" i="6"/>
  <c r="K14" i="1" s="1"/>
  <c r="F26" i="43"/>
  <c r="P6" i="1"/>
  <c r="C13" i="12" s="1"/>
  <c r="N370" i="46"/>
  <c r="F51" i="15"/>
  <c r="F31" i="15"/>
  <c r="C6" i="15"/>
  <c r="C32" i="15" s="1"/>
  <c r="F71" i="15"/>
  <c r="F65" i="15"/>
  <c r="K16" i="1"/>
  <c r="U44" i="39"/>
  <c r="AB44" i="39"/>
  <c r="H26" i="43"/>
  <c r="V20" i="71"/>
  <c r="C40" i="71"/>
  <c r="D39" i="71"/>
  <c r="D83" i="71"/>
  <c r="C82" i="71"/>
  <c r="D82" i="71" s="1"/>
  <c r="O65" i="71"/>
  <c r="D66" i="71"/>
  <c r="O66" i="71"/>
  <c r="AZ58" i="3"/>
  <c r="T32" i="71"/>
  <c r="D32" i="71"/>
  <c r="AZ25" i="3"/>
  <c r="AZ302" i="3"/>
  <c r="AZ368" i="3"/>
  <c r="AZ353" i="3"/>
  <c r="AZ453" i="3"/>
  <c r="AZ239" i="3"/>
  <c r="AZ229" i="3"/>
  <c r="AZ218" i="3"/>
  <c r="AB39" i="37"/>
  <c r="U39" i="37"/>
  <c r="S34" i="36"/>
  <c r="AA34" i="36"/>
  <c r="W31" i="34"/>
  <c r="AC31" i="34"/>
  <c r="U12" i="36"/>
  <c r="AB12" i="36"/>
  <c r="W26" i="33"/>
  <c r="AC26" i="33"/>
  <c r="U47" i="34"/>
  <c r="AB47" i="34"/>
  <c r="D79" i="71"/>
  <c r="C78" i="71"/>
  <c r="D78" i="71" s="1"/>
  <c r="AZ114" i="3"/>
  <c r="AZ112" i="3"/>
  <c r="G5" i="3"/>
  <c r="B3" i="3" s="1"/>
  <c r="E499" i="3" s="1"/>
  <c r="AZ42" i="3"/>
  <c r="AZ32" i="3"/>
  <c r="AZ36" i="3"/>
  <c r="AZ113" i="3"/>
  <c r="AZ295" i="3"/>
  <c r="AZ142" i="3"/>
  <c r="AZ281" i="3"/>
  <c r="AZ215" i="3"/>
  <c r="AA12" i="35"/>
  <c r="AB13" i="34"/>
  <c r="C70" i="71"/>
  <c r="D70" i="71" s="1"/>
  <c r="D71" i="71"/>
  <c r="AZ61" i="3"/>
  <c r="AZ249" i="3"/>
  <c r="AZ59" i="3"/>
  <c r="AZ150" i="3"/>
  <c r="C56" i="71"/>
  <c r="D55" i="71"/>
  <c r="AZ130" i="3"/>
  <c r="AZ238" i="3"/>
  <c r="AZ457" i="3"/>
  <c r="AZ432" i="3"/>
  <c r="AZ417" i="3"/>
  <c r="AA25" i="37"/>
  <c r="S25" i="37"/>
  <c r="AZ425" i="3"/>
  <c r="AA24" i="36"/>
  <c r="S24" i="36"/>
  <c r="AA14" i="33"/>
  <c r="S14" i="33"/>
  <c r="AC47" i="34"/>
  <c r="W47" i="34"/>
  <c r="W12" i="36"/>
  <c r="AC12" i="36"/>
  <c r="S25" i="36"/>
  <c r="AA25" i="36"/>
  <c r="AC39" i="37"/>
  <c r="W39" i="37"/>
  <c r="AZ71" i="3"/>
  <c r="C36" i="71"/>
  <c r="D35" i="71"/>
  <c r="AZ137" i="3"/>
  <c r="AZ414" i="3"/>
  <c r="AC24" i="36"/>
  <c r="W24" i="36"/>
  <c r="S26" i="33"/>
  <c r="AA26" i="33"/>
  <c r="W13" i="34"/>
  <c r="AC13" i="34"/>
  <c r="E26" i="43"/>
  <c r="AZ261" i="3"/>
  <c r="G26" i="43"/>
  <c r="J7" i="36"/>
  <c r="N94" i="46"/>
  <c r="AZ89" i="3"/>
  <c r="AZ26" i="3"/>
  <c r="AZ165" i="3"/>
  <c r="AZ279" i="3"/>
  <c r="AZ246" i="3"/>
  <c r="AZ486" i="3"/>
  <c r="AZ213" i="3"/>
  <c r="AA39" i="37"/>
  <c r="G16" i="1"/>
  <c r="F10" i="39" s="1"/>
  <c r="AA10" i="39" s="1"/>
  <c r="T28" i="71"/>
  <c r="D28" i="71"/>
  <c r="U28" i="71" s="1"/>
  <c r="C27" i="71"/>
  <c r="D75" i="71"/>
  <c r="C74" i="71"/>
  <c r="D74" i="71" s="1"/>
  <c r="AZ27" i="3"/>
  <c r="AZ178" i="3"/>
  <c r="C52" i="71"/>
  <c r="D51" i="71"/>
  <c r="D44" i="71"/>
  <c r="T44" i="71"/>
  <c r="AZ265" i="3"/>
  <c r="AZ408" i="3"/>
  <c r="AZ415" i="3"/>
  <c r="AZ398" i="3"/>
  <c r="AA44" i="39"/>
  <c r="S44" i="39"/>
  <c r="AB24" i="36"/>
  <c r="U24" i="36"/>
  <c r="AC44" i="33"/>
  <c r="W44" i="33"/>
  <c r="W12" i="35"/>
  <c r="AC12" i="35"/>
  <c r="AB26" i="33"/>
  <c r="U26" i="33"/>
  <c r="AB9" i="33"/>
  <c r="U9" i="33"/>
  <c r="AC44" i="39"/>
  <c r="W44" i="39"/>
  <c r="J7" i="37"/>
  <c r="K1" i="73"/>
  <c r="E64" i="3"/>
  <c r="E86" i="3"/>
  <c r="E324" i="3"/>
  <c r="L6" i="3"/>
  <c r="E460" i="3"/>
  <c r="E464" i="3"/>
  <c r="E195" i="3"/>
  <c r="E474" i="3"/>
  <c r="E548" i="3"/>
  <c r="E359" i="3"/>
  <c r="E303" i="3"/>
  <c r="E496" i="3"/>
  <c r="E88" i="3"/>
  <c r="E551" i="3"/>
  <c r="E583" i="3"/>
  <c r="E150" i="3"/>
  <c r="E271" i="3"/>
  <c r="AS6" i="3"/>
  <c r="E384" i="3"/>
  <c r="E388" i="3"/>
  <c r="E561" i="3"/>
  <c r="E528" i="3"/>
  <c r="E350" i="3"/>
  <c r="E181" i="3"/>
  <c r="E472" i="3"/>
  <c r="E146" i="3"/>
  <c r="E89" i="3"/>
  <c r="E557" i="3"/>
  <c r="E377" i="3"/>
  <c r="E509" i="3"/>
  <c r="M6" i="3"/>
  <c r="E563" i="3"/>
  <c r="E423" i="3"/>
  <c r="E119"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E248" i="3"/>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F10" i="40"/>
  <c r="S10" i="40" s="1"/>
  <c r="H10" i="40"/>
  <c r="AB10" i="40" s="1"/>
  <c r="C7" i="43"/>
  <c r="C5" i="43" s="1"/>
  <c r="D10" i="52"/>
  <c r="D125" i="9"/>
  <c r="D11" i="52" s="1"/>
  <c r="B7" i="74"/>
  <c r="C7" i="74" s="1"/>
  <c r="F67" i="39"/>
  <c r="F59" i="67"/>
  <c r="H7" i="37"/>
  <c r="AB7" i="37" s="1"/>
  <c r="T42" i="37" s="1"/>
  <c r="G42" i="37" s="1"/>
  <c r="S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32" i="9"/>
  <c r="M11" i="67"/>
  <c r="J10" i="67" s="1"/>
  <c r="F11" i="15"/>
  <c r="M11" i="15"/>
  <c r="J10" i="15" s="1"/>
  <c r="F11" i="67"/>
  <c r="Q73" i="15"/>
  <c r="AE11" i="1"/>
  <c r="AE6" i="1"/>
  <c r="AE9" i="1"/>
  <c r="F27" i="68"/>
  <c r="AE7" i="1"/>
  <c r="AE8" i="1"/>
  <c r="AE12" i="1"/>
  <c r="AE10" i="1"/>
  <c r="C16" i="67"/>
  <c r="F41" i="67"/>
  <c r="C16" i="15"/>
  <c r="G1" i="73"/>
  <c r="C49" i="67" l="1"/>
  <c r="C49" i="15"/>
  <c r="Q73" i="67"/>
  <c r="Q74" i="67"/>
  <c r="Q61" i="15"/>
  <c r="Q52" i="67"/>
  <c r="F1" i="15"/>
  <c r="J5" i="67"/>
  <c r="J24" i="67" s="1"/>
  <c r="Q52" i="15"/>
  <c r="H10" i="39"/>
  <c r="U10" i="39" s="1"/>
  <c r="J10" i="39"/>
  <c r="W10" i="39" s="1"/>
  <c r="E378" i="3"/>
  <c r="E118" i="3"/>
  <c r="E200" i="3"/>
  <c r="E191" i="3"/>
  <c r="E69" i="3"/>
  <c r="E514" i="3"/>
  <c r="E322" i="3"/>
  <c r="E211" i="3"/>
  <c r="E400" i="3"/>
  <c r="E227" i="3"/>
  <c r="E454" i="3"/>
  <c r="K6" i="3"/>
  <c r="E77" i="3"/>
  <c r="E134" i="3"/>
  <c r="E185" i="3"/>
  <c r="E533" i="3"/>
  <c r="E305" i="3"/>
  <c r="E210" i="3"/>
  <c r="E477" i="3"/>
  <c r="E549" i="3"/>
  <c r="E450" i="3"/>
  <c r="E382" i="3"/>
  <c r="E396" i="3"/>
  <c r="P6" i="3"/>
  <c r="E481" i="3"/>
  <c r="E17" i="3"/>
  <c r="E501" i="3"/>
  <c r="E207" i="3"/>
  <c r="E157" i="3"/>
  <c r="E66" i="3"/>
  <c r="E138" i="3"/>
  <c r="E365" i="3"/>
  <c r="E463" i="3"/>
  <c r="E41" i="3"/>
  <c r="AL6" i="3"/>
  <c r="E292" i="3"/>
  <c r="E131" i="3"/>
  <c r="E487" i="3"/>
  <c r="E242" i="3"/>
  <c r="X6" i="3"/>
  <c r="E161" i="3"/>
  <c r="E215" i="3"/>
  <c r="E201" i="3"/>
  <c r="E526" i="3"/>
  <c r="E70" i="3"/>
  <c r="AO6" i="3"/>
  <c r="E362" i="3"/>
  <c r="E577" i="3"/>
  <c r="E277" i="3"/>
  <c r="E399" i="3"/>
  <c r="E180" i="3"/>
  <c r="E231" i="3"/>
  <c r="E143" i="3"/>
  <c r="E530" i="3"/>
  <c r="E162" i="3"/>
  <c r="E478" i="3"/>
  <c r="E31" i="3"/>
  <c r="E458" i="3"/>
  <c r="E550" i="3"/>
  <c r="E553" i="3"/>
  <c r="E252" i="3"/>
  <c r="E120" i="3"/>
  <c r="E298" i="3"/>
  <c r="E317" i="3"/>
  <c r="E357" i="3"/>
  <c r="E82" i="3"/>
  <c r="E374" i="3"/>
  <c r="E312" i="3"/>
  <c r="E123" i="3"/>
  <c r="E507" i="3"/>
  <c r="E408" i="3"/>
  <c r="E81" i="3"/>
  <c r="E491" i="3"/>
  <c r="AY6" i="3"/>
  <c r="E296" i="3"/>
  <c r="E385" i="3"/>
  <c r="E445" i="3"/>
  <c r="E387" i="3"/>
  <c r="E431" i="3"/>
  <c r="E109" i="3"/>
  <c r="E489" i="3"/>
  <c r="E327" i="3"/>
  <c r="E214" i="3"/>
  <c r="E465" i="3"/>
  <c r="AK6" i="3"/>
  <c r="E495" i="3"/>
  <c r="E361" i="3"/>
  <c r="E439" i="3"/>
  <c r="E410" i="3"/>
  <c r="E441" i="3"/>
  <c r="E447" i="3"/>
  <c r="E585" i="3"/>
  <c r="E351" i="3"/>
  <c r="E99" i="3"/>
  <c r="E230" i="3"/>
  <c r="E334" i="3"/>
  <c r="E394" i="3"/>
  <c r="AA6" i="3"/>
  <c r="E523" i="3"/>
  <c r="E71" i="3"/>
  <c r="E471" i="3"/>
  <c r="E187" i="3"/>
  <c r="E266" i="3"/>
  <c r="E24" i="3"/>
  <c r="E194" i="3"/>
  <c r="E16" i="3"/>
  <c r="E205" i="3"/>
  <c r="E84" i="3"/>
  <c r="E442"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72" i="3"/>
  <c r="E193" i="3"/>
  <c r="E293" i="3"/>
  <c r="E415" i="3"/>
  <c r="E151" i="3"/>
  <c r="E125" i="3"/>
  <c r="E581" i="3"/>
  <c r="E32" i="3"/>
  <c r="AE6" i="3"/>
  <c r="E434" i="3"/>
  <c r="E221" i="3"/>
  <c r="E338" i="3"/>
  <c r="E328" i="3"/>
  <c r="E126" i="3"/>
  <c r="U6" i="3"/>
  <c r="E168" i="3"/>
  <c r="E313" i="3"/>
  <c r="E307" i="3"/>
  <c r="AD6" i="3"/>
  <c r="E341" i="3"/>
  <c r="E48" i="3"/>
  <c r="E222" i="3"/>
  <c r="E552" i="3"/>
  <c r="E392" i="3"/>
  <c r="E226" i="3"/>
  <c r="E393" i="3"/>
  <c r="E428" i="3"/>
  <c r="T6" i="3"/>
  <c r="E96" i="3"/>
  <c r="E233" i="3"/>
  <c r="E59" i="3"/>
  <c r="E255"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562" i="3"/>
  <c r="E85" i="3"/>
  <c r="E290" i="3"/>
  <c r="E320" i="3"/>
  <c r="E239" i="3"/>
  <c r="E166" i="3"/>
  <c r="AG6" i="3"/>
  <c r="E203" i="3"/>
  <c r="E330" i="3"/>
  <c r="E353" i="3"/>
  <c r="E304" i="3"/>
  <c r="E97" i="3"/>
  <c r="E53" i="3"/>
  <c r="E547" i="3"/>
  <c r="E93" i="3"/>
  <c r="W6" i="3"/>
  <c r="E136" i="3"/>
  <c r="E154" i="3"/>
  <c r="E462" i="3"/>
  <c r="E297" i="3"/>
  <c r="E110" i="3"/>
  <c r="E348" i="3"/>
  <c r="E20" i="3"/>
  <c r="E15" i="3"/>
  <c r="AH6" i="3"/>
  <c r="E80" i="3"/>
  <c r="E13" i="3"/>
  <c r="E102" i="3"/>
  <c r="E494" i="3"/>
  <c r="E249" i="3"/>
  <c r="E95" i="3"/>
  <c r="E286" i="3"/>
  <c r="J5" i="15"/>
  <c r="J24" i="15" s="1"/>
  <c r="D26" i="43"/>
  <c r="C25" i="43" s="1"/>
  <c r="E176" i="3"/>
  <c r="E36" i="3"/>
  <c r="E38" i="3"/>
  <c r="E346" i="3"/>
  <c r="E419" i="3"/>
  <c r="E543" i="3"/>
  <c r="E326" i="3"/>
  <c r="E190" i="3"/>
  <c r="E420" i="3"/>
  <c r="E456" i="3"/>
  <c r="E308" i="3"/>
  <c r="E235" i="3"/>
  <c r="E281" i="3"/>
  <c r="E68" i="3"/>
  <c r="E310" i="3"/>
  <c r="E484" i="3"/>
  <c r="E258" i="3"/>
  <c r="E554" i="3"/>
  <c r="E510" i="3"/>
  <c r="E539" i="3"/>
  <c r="E575" i="3"/>
  <c r="E466" i="3"/>
  <c r="AP6" i="3"/>
  <c r="E417" i="3"/>
  <c r="E152" i="3"/>
  <c r="E349" i="3"/>
  <c r="E409" i="3"/>
  <c r="E46" i="3"/>
  <c r="E371" i="3"/>
  <c r="E67" i="3"/>
  <c r="E355" i="3"/>
  <c r="E283" i="3"/>
  <c r="E198" i="3"/>
  <c r="E42" i="3"/>
  <c r="E174" i="3"/>
  <c r="E34"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558" i="3"/>
  <c r="E121" i="3"/>
  <c r="E30" i="3"/>
  <c r="N6" i="3"/>
  <c r="E229" i="3"/>
  <c r="V6" i="3"/>
  <c r="E114" i="3"/>
  <c r="E117" i="3"/>
  <c r="E578" i="3"/>
  <c r="E453" i="3"/>
  <c r="E45" i="3"/>
  <c r="E527" i="3"/>
  <c r="E433" i="3"/>
  <c r="E212" i="3"/>
  <c r="E502" i="3"/>
  <c r="E449" i="3"/>
  <c r="E517" i="3"/>
  <c r="E37" i="3"/>
  <c r="E241" i="3"/>
  <c r="E544" i="3"/>
  <c r="E467" i="3"/>
  <c r="E267" i="3"/>
  <c r="E492" i="3"/>
  <c r="E184" i="3"/>
  <c r="E63" i="3"/>
  <c r="E513" i="3"/>
  <c r="E391" i="3"/>
  <c r="E18" i="3"/>
  <c r="E383" i="3"/>
  <c r="AF6" i="3"/>
  <c r="E22" i="3"/>
  <c r="E525" i="3"/>
  <c r="E512" i="3"/>
  <c r="E497"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E437" i="3"/>
  <c r="E429" i="3"/>
  <c r="E256" i="3"/>
  <c r="E236" i="3"/>
  <c r="E448" i="3"/>
  <c r="E444" i="3"/>
  <c r="E316" i="3"/>
  <c r="E366" i="3"/>
  <c r="E516" i="3"/>
  <c r="E559" i="3"/>
  <c r="E294" i="3"/>
  <c r="E395" i="3"/>
  <c r="E245" i="3"/>
  <c r="E336" i="3"/>
  <c r="E314" i="3"/>
  <c r="E573" i="3"/>
  <c r="E571" i="3"/>
  <c r="E111" i="3"/>
  <c r="E323" i="3"/>
  <c r="E500" i="3"/>
  <c r="E521" i="3"/>
  <c r="E165" i="3"/>
  <c r="E340" i="3"/>
  <c r="E299" i="3"/>
  <c r="E540" i="3"/>
  <c r="E108" i="3"/>
  <c r="E440" i="3"/>
  <c r="E116" i="3"/>
  <c r="E49" i="3"/>
  <c r="E225" i="3"/>
  <c r="E556" i="3"/>
  <c r="E173" i="3"/>
  <c r="E206" i="3"/>
  <c r="E482" i="3"/>
  <c r="E309" i="3"/>
  <c r="E33" i="3"/>
  <c r="E160" i="3"/>
  <c r="E389" i="3"/>
  <c r="E479" i="3"/>
  <c r="E430" i="3"/>
  <c r="E536" i="3"/>
  <c r="T40" i="71"/>
  <c r="D40" i="71"/>
  <c r="D56" i="71"/>
  <c r="T56" i="71"/>
  <c r="C26" i="71"/>
  <c r="D26" i="71" s="1"/>
  <c r="D27" i="71"/>
  <c r="E3" i="6"/>
  <c r="T49" i="34"/>
  <c r="G49" i="34" s="1"/>
  <c r="G53" i="34" s="1"/>
  <c r="H53" i="34" s="1"/>
  <c r="D36" i="71"/>
  <c r="T36" i="71"/>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M27" i="15"/>
  <c r="F41" i="15"/>
  <c r="M27" i="67"/>
  <c r="AC10" i="39" l="1"/>
  <c r="AC6" i="3"/>
  <c r="H6" i="3"/>
  <c r="E6" i="3" s="1"/>
  <c r="F25" i="12"/>
  <c r="C26" i="12" s="1"/>
  <c r="D25" i="12" s="1"/>
  <c r="G54" i="34"/>
  <c r="H54" i="34" s="1"/>
  <c r="D116" i="43"/>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4" i="67"/>
  <c r="C17" i="67"/>
  <c r="C17" i="15"/>
  <c r="F41" i="68" l="1"/>
  <c r="H22" i="6"/>
  <c r="H21" i="6"/>
  <c r="C26" i="68"/>
  <c r="D22" i="68" s="1"/>
  <c r="C26" i="11"/>
  <c r="D22" i="11" s="1"/>
  <c r="C23" i="68"/>
  <c r="C44" i="11"/>
  <c r="D41" i="11" s="1"/>
  <c r="H25" i="6"/>
  <c r="E53" i="34"/>
  <c r="F53" i="34"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M21"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 i="3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9" i="1"/>
  <c r="AO10" i="1"/>
  <c r="AO6" i="1"/>
  <c r="AO7"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C73" i="9"/>
  <c r="C78" i="9"/>
  <c r="M65" i="9"/>
  <c r="L65" i="9"/>
  <c r="C5" i="74"/>
  <c r="E81" i="9"/>
  <c r="E80" i="9"/>
  <c r="C80" i="9"/>
  <c r="B52" i="72"/>
  <c r="G4" i="52"/>
  <c r="M54" i="9"/>
  <c r="D56" i="9"/>
  <c r="D58" i="9"/>
  <c r="C97" i="9"/>
  <c r="B53" i="72"/>
  <c r="F5" i="52"/>
  <c r="F119" i="9"/>
  <c r="N69" i="9"/>
  <c r="M69" i="9"/>
  <c r="M63" i="9"/>
  <c r="L63" i="9"/>
  <c r="B51" i="72"/>
  <c r="G118" i="9"/>
  <c r="F118" i="9"/>
  <c r="F4" i="52"/>
  <c r="B22" i="72"/>
  <c r="D6" i="53"/>
  <c r="B32" i="72"/>
  <c r="D14" i="53"/>
  <c r="C85" i="9"/>
  <c r="C95" i="9"/>
  <c r="C96" i="9"/>
  <c r="E96" i="9"/>
  <c r="E97" i="9"/>
  <c r="C86" i="9"/>
  <c r="C93" i="9"/>
  <c r="M64" i="9"/>
  <c r="L64" i="9"/>
  <c r="M68" i="9"/>
  <c r="L68" i="9"/>
  <c r="M66" i="9"/>
  <c r="L66" i="9"/>
  <c r="B49" i="72"/>
  <c r="D119" i="9"/>
  <c r="D5" i="52"/>
  <c r="D5" i="53"/>
  <c r="B20" i="72"/>
  <c r="P57" i="9"/>
  <c r="D55" i="9"/>
  <c r="M53" i="9"/>
  <c r="N57" i="9"/>
  <c r="N58" i="9"/>
  <c r="D13" i="53"/>
  <c r="B30" i="72"/>
  <c r="C6" i="74"/>
  <c r="D8" i="52"/>
  <c r="C72" i="9"/>
  <c r="C79" i="9"/>
  <c r="C81" i="9"/>
  <c r="E4" i="52"/>
  <c r="B48" i="72"/>
  <c r="D122" i="9"/>
  <c r="D123" i="9"/>
  <c r="D9" i="52"/>
  <c r="H4" i="52"/>
  <c r="C104" i="9"/>
  <c r="D59" i="9"/>
  <c r="M55" i="9"/>
  <c r="I4" i="52"/>
  <c r="C105" i="9"/>
  <c r="H102" i="9"/>
  <c r="D7" i="53"/>
  <c r="B21" i="72"/>
  <c r="M48" i="9"/>
  <c r="H119" i="9"/>
  <c r="H5" i="52"/>
  <c r="E118" i="9"/>
  <c r="D118" i="9"/>
  <c r="D4" i="52"/>
  <c r="B47" i="72"/>
  <c r="D52" i="9"/>
  <c r="D53" i="9"/>
  <c r="N61" i="9"/>
  <c r="N59" i="9"/>
  <c r="N60" i="9"/>
  <c r="H108" i="9"/>
  <c r="D15" i="53"/>
  <c r="B31" i="72"/>
  <c r="H107" i="9"/>
  <c r="M49" i="9"/>
  <c r="L67" i="9"/>
  <c r="M67" i="9"/>
  <c r="I118" i="9"/>
  <c r="H118" i="9"/>
  <c r="H101" i="9"/>
  <c r="D45" i="9"/>
  <c r="C64" i="9"/>
  <c r="C63" i="9"/>
  <c r="C67" i="9"/>
  <c r="C68" i="9"/>
  <c r="D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<sst xmlns="http://schemas.openxmlformats.org/spreadsheetml/2006/main" count="7820" uniqueCount="3417">
  <si>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</si>
  <si>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</si>
  <si>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</si>
  <si>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</si>
  <si>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</si>
  <si>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</si>
  <si>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</si>
  <si>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</si>
  <si>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</si>
  <si>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</si>
  <si>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</si>
  <si>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</si>
  <si>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</si>
  <si>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</si>
  <si>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</si>
  <si>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</si>
  <si>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</si>
  <si>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</si>
  <si>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</si>
  <si>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</si>
  <si>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</si>
  <si>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</si>
  <si>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</si>
  <si>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</si>
  <si>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</si>
  <si>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</si>
  <si>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</si>
  <si>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</si>
  <si>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</si>
  <si>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</si>
  <si>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</si>
  <si>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</si>
  <si>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</si>
  <si>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</si>
  <si>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</si>
  <si>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</si>
  <si>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</si>
  <si>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</si>
  <si>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</si>
  <si>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</si>
  <si>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</si>
  <si>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</si>
  <si>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</si>
  <si>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</si>
  <si>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</si>
  <si>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</si>
  <si>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</si>
  <si>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</si>
  <si>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</si>
  <si>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</si>
  <si>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</si>
  <si>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</si>
  <si>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</si>
  <si>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</si>
  <si>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</si>
  <si>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</si>
  <si>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</si>
  <si>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</si>
  <si>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</si>
  <si>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</si>
  <si>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</si>
  <si>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</si>
  <si>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</si>
  <si>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</si>
  <si>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</si>
  <si>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</si>
  <si>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</si>
  <si>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</si>
  <si>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</si>
  <si>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</si>
  <si>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</si>
  <si>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</si>
  <si>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</si>
  <si>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</si>
  <si>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</si>
  <si>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</si>
  <si>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</si>
  <si>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</si>
  <si>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</si>
  <si>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</si>
  <si>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</si>
  <si>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</si>
  <si>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</si>
  <si>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</si>
  <si>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</si>
  <si>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</si>
  <si>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</si>
  <si>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</si>
  <si>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</si>
  <si>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</si>
  <si>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</si>
  <si>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</si>
  <si>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</si>
  <si>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</si>
  <si>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</si>
  <si>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</si>
  <si>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</si>
  <si>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</si>
  <si>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</si>
  <si>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</si>
  <si>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</si>
  <si>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</si>
  <si>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</si>
  <si>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</si>
  <si>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</si>
  <si>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</si>
  <si>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</si>
  <si>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</si>
  <si>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</si>
  <si>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</si>
  <si>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</si>
  <si>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</si>
  <si>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</si>
  <si>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</si>
  <si>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</si>
  <si>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</si>
  <si>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</si>
  <si>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</si>
  <si>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</si>
  <si>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</si>
  <si>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</si>
  <si>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</si>
  <si>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</si>
  <si>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</si>
  <si>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</si>
  <si>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</si>
  <si>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</si>
  <si>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</si>
  <si>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</si>
  <si>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</si>
  <si>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</si>
  <si>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</si>
  <si>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</si>
  <si>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</si>
  <si>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</si>
  <si>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</si>
  <si>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</si>
  <si>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</si>
  <si>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</si>
  <si>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</si>
  <si>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</si>
  <si>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</si>
  <si>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</si>
  <si>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</si>
  <si>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</si>
  <si>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</si>
  <si>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</si>
  <si>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</si>
  <si>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</si>
  <si>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</si>
  <si>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</si>
  <si>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</si>
  <si>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</si>
  <si>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</si>
  <si>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</si>
  <si>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</si>
  <si>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</si>
  <si>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</si>
  <si>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</si>
  <si>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</si>
  <si>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</si>
  <si>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</si>
  <si>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</si>
  <si>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</si>
  <si>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</si>
  <si>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</si>
  <si>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</si>
  <si>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</si>
  <si>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</si>
  <si>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</si>
  <si>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</si>
  <si>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</si>
  <si>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</si>
  <si>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</si>
  <si>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</si>
  <si>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</si>
  <si>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</si>
  <si>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</si>
  <si>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</si>
  <si>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</si>
  <si>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</si>
  <si>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</si>
  <si>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</si>
  <si>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</si>
  <si>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</si>
  <si>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</si>
  <si>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</si>
  <si>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</si>
  <si>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</si>
  <si>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</si>
  <si>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</si>
  <si>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</si>
  <si>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</si>
  <si>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</si>
  <si>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</si>
  <si>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</si>
  <si>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</si>
  <si>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</si>
  <si>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</si>
  <si>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</si>
  <si>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</si>
  <si>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</si>
  <si>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</si>
  <si>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</si>
  <si>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</si>
  <si>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</si>
  <si>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</si>
  <si>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</si>
  <si>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</si>
  <si>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</si>
  <si>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</si>
  <si>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</si>
  <si>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</si>
  <si>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</si>
  <si>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</si>
  <si>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</si>
  <si>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</si>
  <si>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</si>
  <si>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</si>
  <si>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</si>
  <si>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</si>
  <si>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</si>
  <si>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</si>
  <si>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</si>
  <si>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</si>
  <si>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</si>
  <si>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</si>
  <si>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</si>
  <si>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</si>
  <si>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</si>
  <si>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</si>
  <si>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</si>
  <si>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</si>
  <si>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</si>
  <si>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</si>
  <si>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</si>
  <si>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</si>
  <si>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</si>
  <si>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</si>
  <si>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</si>
  <si>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</si>
  <si>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</si>
  <si>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</si>
  <si>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</si>
  <si>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</si>
  <si>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</si>
  <si>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</si>
  <si>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</si>
  <si>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</si>
  <si>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</si>
  <si>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</si>
  <si>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</si>
  <si>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</si>
  <si>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</si>
  <si>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</si>
  <si>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</si>
  <si>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</si>
  <si>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</si>
  <si>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</si>
  <si>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</si>
  <si>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</si>
  <si>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</si>
  <si>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</si>
  <si>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</si>
  <si>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</si>
  <si>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</si>
  <si>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</si>
  <si>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</si>
  <si>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</si>
  <si>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</si>
  <si>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</si>
  <si>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</si>
  <si>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</si>
  <si>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</si>
  <si>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</si>
  <si>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</si>
  <si>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</si>
  <si>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</si>
  <si>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</si>
  <si>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</si>
  <si>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</si>
  <si>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</si>
  <si>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</si>
  <si>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</si>
  <si>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</si>
  <si>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</si>
  <si>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</si>
  <si>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</si>
  <si>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</si>
  <si>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</si>
  <si>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</si>
  <si>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</si>
  <si>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</si>
  <si>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</si>
  <si>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</si>
  <si>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</si>
  <si>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</si>
  <si>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</si>
  <si>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</si>
  <si>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</si>
  <si>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</si>
  <si>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</si>
  <si>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</si>
  <si>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</si>
  <si>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</si>
  <si>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</si>
  <si>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</si>
  <si>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</si>
  <si>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</si>
  <si>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</si>
  <si>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</si>
  <si>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</si>
  <si>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</si>
  <si>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</si>
  <si>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</si>
  <si>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</si>
  <si>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</si>
  <si>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</si>
  <si>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</si>
  <si>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</si>
  <si>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</si>
  <si>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</si>
  <si>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</si>
  <si>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</si>
  <si>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</si>
  <si>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</si>
  <si>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</si>
  <si>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</si>
  <si>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</si>
  <si>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</si>
  <si>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</si>
  <si>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</si>
  <si>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</si>
  <si>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</si>
  <si>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</si>
  <si>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</si>
  <si>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</si>
  <si>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</si>
  <si>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</si>
  <si>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</si>
  <si>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</si>
  <si>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</si>
  <si>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</si>
  <si>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</si>
  <si>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</si>
  <si>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</si>
  <si>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</si>
  <si>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</si>
  <si>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</si>
  <si>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</si>
  <si>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</si>
  <si>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</si>
  <si>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</si>
  <si>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</si>
  <si>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</si>
  <si>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</si>
  <si>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</si>
  <si>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</si>
  <si>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</si>
  <si>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</si>
  <si>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</si>
  <si>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</si>
  <si>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</si>
  <si>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</si>
  <si>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</si>
  <si>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</si>
  <si>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</si>
  <si>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</si>
  <si>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</si>
  <si>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</si>
  <si>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</si>
  <si>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</si>
  <si>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</si>
  <si>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</si>
  <si>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</si>
  <si>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</si>
  <si>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</si>
  <si>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</si>
  <si>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</si>
  <si>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</si>
  <si>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</si>
  <si>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</si>
  <si>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</si>
  <si>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</si>
  <si>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</si>
  <si>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</si>
  <si>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</si>
  <si>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</si>
  <si>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</si>
  <si>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</si>
  <si>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</si>
  <si>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</si>
  <si>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</si>
  <si>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</si>
  <si>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</si>
  <si>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</si>
  <si>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</si>
  <si>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</si>
  <si>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</si>
  <si>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</si>
  <si>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</si>
  <si>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</si>
  <si>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</si>
  <si>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</si>
  <si>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</si>
  <si>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</si>
  <si>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</si>
  <si>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</si>
  <si>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</si>
  <si>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</si>
  <si>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</si>
  <si>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</si>
  <si>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</si>
  <si>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</si>
  <si>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</si>
  <si>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</si>
  <si>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</si>
  <si>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</si>
  <si>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</si>
  <si>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</si>
  <si>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</si>
  <si>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</si>
  <si>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</si>
  <si>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</si>
  <si>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</si>
  <si>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</si>
  <si>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</si>
  <si>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</si>
  <si>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</si>
  <si>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</si>
  <si>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</si>
  <si>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</si>
  <si>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</si>
  <si>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</si>
  <si>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</si>
  <si>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</si>
  <si>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</si>
  <si>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</si>
  <si>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</si>
  <si>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</si>
  <si>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</si>
  <si>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</si>
  <si>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</si>
  <si>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</si>
  <si>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</si>
  <si>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</si>
  <si>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</si>
  <si>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</si>
  <si>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</si>
  <si>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</si>
  <si>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</si>
  <si>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</si>
  <si>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</si>
  <si>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</si>
  <si>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</si>
  <si>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</si>
  <si>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</si>
  <si>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</si>
  <si>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</si>
  <si>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</si>
  <si>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</si>
  <si>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</si>
  <si>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</si>
  <si>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</si>
  <si>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</si>
  <si>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</si>
  <si>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</si>
  <si>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</si>
  <si>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</si>
  <si>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</si>
  <si>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</si>
  <si>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</si>
  <si>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</si>
  <si>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</si>
  <si>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</si>
  <si>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</si>
  <si>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</si>
  <si>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</si>
  <si>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</si>
  <si>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</si>
  <si>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</si>
  <si>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</si>
  <si>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</si>
  <si>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</si>
  <si>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</si>
  <si>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</si>
  <si>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</si>
  <si>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</si>
  <si>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</si>
  <si>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</si>
  <si>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</si>
  <si>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</si>
  <si>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</si>
  <si>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</si>
  <si>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</si>
  <si>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</si>
  <si>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</si>
  <si>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</si>
  <si>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</si>
  <si>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</si>
  <si>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</si>
  <si>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</si>
  <si>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</si>
  <si>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</si>
  <si>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</si>
  <si>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</si>
  <si>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</si>
  <si>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</si>
  <si>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</si>
  <si>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</si>
  <si>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</si>
  <si>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</si>
  <si>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</si>
  <si>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</si>
  <si>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</si>
  <si>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</si>
  <si>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</si>
  <si>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</si>
  <si>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</si>
  <si>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</si>
  <si>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</si>
  <si>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</si>
  <si>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</si>
  <si>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</si>
  <si>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</si>
  <si>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</si>
  <si>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</si>
  <si>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</si>
  <si>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</si>
  <si>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</si>
  <si>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</si>
  <si>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</si>
  <si>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</si>
  <si>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</si>
  <si>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</si>
  <si>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</si>
  <si>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</si>
  <si>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</si>
  <si>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</si>
  <si>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</si>
  <si>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</si>
  <si>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</si>
  <si>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</si>
  <si>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</si>
  <si>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</si>
  <si>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</si>
  <si>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</si>
  <si>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</si>
  <si>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</si>
  <si>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</si>
  <si>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</si>
  <si>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</si>
  <si>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</si>
  <si>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</si>
  <si>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</si>
  <si>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</si>
  <si>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</si>
  <si>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</si>
  <si>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</si>
  <si>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</si>
  <si>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</si>
  <si>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</si>
  <si>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</si>
  <si>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</si>
  <si>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</si>
  <si>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</si>
  <si>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</si>
  <si>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</si>
  <si>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</si>
  <si>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</si>
  <si>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</si>
  <si>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</si>
  <si>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</si>
  <si>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</si>
  <si>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</si>
  <si>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</si>
  <si>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</si>
  <si>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</si>
  <si>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</si>
  <si>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</si>
  <si>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</si>
  <si>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</si>
  <si>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</si>
  <si>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</si>
  <si>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</si>
  <si>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</si>
  <si>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</si>
  <si>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</si>
  <si>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</si>
  <si>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</si>
  <si>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</si>
  <si>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</si>
  <si>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</si>
  <si>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</si>
  <si>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</si>
  <si>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</si>
  <si>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</si>
  <si>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</si>
  <si>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</si>
  <si>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</si>
  <si>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</si>
  <si>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</si>
  <si>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</si>
  <si>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</si>
  <si>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</si>
  <si>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</si>
  <si>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</si>
  <si>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</si>
  <si>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</si>
  <si>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</si>
  <si>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</si>
  <si>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</si>
  <si>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</si>
  <si>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</si>
  <si>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</si>
  <si>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</si>
  <si>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</si>
  <si>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</si>
  <si>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</si>
  <si>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</si>
  <si>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</si>
  <si>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</si>
  <si>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</si>
  <si>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</si>
  <si>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</si>
  <si>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</si>
  <si>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</si>
  <si>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</si>
  <si>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</si>
  <si>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</si>
  <si>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</si>
  <si>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</si>
  <si>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</si>
  <si>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</si>
  <si>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</si>
  <si>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</si>
  <si>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</si>
  <si>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</si>
  <si>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</si>
  <si>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</si>
  <si>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</si>
  <si>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</si>
  <si>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</si>
  <si>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</si>
  <si>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</si>
  <si>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</si>
  <si>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</si>
  <si>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</si>
  <si>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</si>
  <si>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</si>
  <si>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</si>
  <si>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</si>
  <si>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</si>
  <si>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</si>
  <si>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</si>
  <si>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</si>
  <si>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</si>
  <si>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</si>
  <si>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</si>
  <si>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</si>
  <si>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</si>
  <si>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</si>
  <si>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</si>
  <si>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</si>
  <si>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</si>
  <si>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</si>
  <si>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</si>
  <si>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</si>
  <si>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</si>
  <si>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</si>
  <si>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</si>
  <si>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</si>
  <si>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</si>
  <si>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</si>
  <si>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</si>
  <si>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</si>
  <si>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</si>
  <si>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</si>
  <si>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</si>
  <si>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</si>
  <si>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</si>
  <si>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</si>
  <si>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</si>
  <si>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</si>
  <si>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</si>
  <si>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</si>
  <si>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</si>
  <si>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</si>
  <si>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</si>
  <si>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</si>
  <si>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</si>
  <si>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</si>
  <si>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</si>
  <si>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</si>
  <si>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</si>
  <si>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</si>
  <si>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</si>
  <si>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</si>
  <si>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</si>
  <si>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</si>
  <si>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</si>
  <si>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</si>
  <si>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</si>
  <si>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</si>
  <si>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</si>
  <si>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</si>
  <si>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</si>
  <si>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</si>
  <si>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</si>
  <si>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</si>
  <si>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</si>
  <si>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</si>
  <si>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</si>
  <si>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</si>
  <si>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</si>
  <si>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</si>
  <si>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</si>
  <si>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</si>
  <si>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</si>
  <si>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</si>
  <si>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</si>
  <si>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</si>
  <si>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</si>
  <si>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</si>
  <si>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</si>
  <si>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</si>
  <si>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</si>
  <si>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</si>
  <si>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</si>
  <si>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</si>
  <si>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</si>
  <si>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</si>
  <si>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</si>
  <si>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</si>
  <si>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</si>
  <si>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</si>
  <si>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</si>
  <si>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</si>
  <si>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</si>
  <si>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</si>
  <si>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</si>
  <si>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</si>
  <si>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</si>
  <si>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</si>
  <si>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</si>
  <si>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</si>
  <si>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</si>
  <si>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</si>
  <si>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</si>
  <si>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</si>
  <si>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</si>
  <si>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</si>
  <si>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</si>
  <si>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</si>
  <si>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</si>
  <si>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</si>
  <si>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</si>
  <si>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</si>
  <si>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</si>
  <si>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</si>
  <si>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</si>
  <si>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</si>
  <si>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</si>
  <si>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</si>
  <si>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</si>
  <si>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</si>
  <si>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</si>
  <si>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</si>
  <si>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</si>
  <si>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</si>
  <si>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</si>
  <si>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</si>
  <si>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</si>
  <si>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</si>
  <si>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</si>
  <si>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</si>
  <si>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</si>
  <si>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</si>
  <si>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</si>
  <si>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</si>
  <si>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</si>
  <si>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</si>
  <si>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</si>
  <si>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</si>
  <si>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</si>
  <si>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</si>
  <si>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</si>
  <si>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</si>
  <si>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</si>
  <si>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</si>
  <si>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</si>
  <si>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</si>
  <si>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</si>
  <si>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</si>
  <si>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</si>
  <si>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</si>
  <si>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</si>
  <si>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</si>
  <si>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</si>
  <si>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</si>
  <si>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</si>
  <si>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</si>
  <si>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</si>
  <si>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</si>
  <si>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</si>
  <si>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</si>
  <si>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</si>
  <si>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</si>
  <si>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</si>
  <si>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</si>
  <si>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</si>
  <si>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</si>
  <si>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</si>
  <si>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</si>
  <si>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</si>
  <si>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</si>
  <si>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</si>
  <si>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</si>
  <si>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</si>
  <si>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</si>
  <si>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</si>
  <si>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</si>
  <si>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</si>
  <si>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</si>
  <si>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</si>
  <si>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</si>
  <si>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</si>
  <si>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</si>
  <si>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</si>
  <si>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</si>
  <si>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</si>
  <si>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</si>
  <si>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</si>
  <si>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</si>
  <si>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</si>
  <si>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</si>
  <si>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</si>
  <si>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</si>
  <si>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</si>
  <si>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</si>
  <si>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</si>
  <si>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</si>
  <si>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</si>
  <si>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</si>
  <si>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</si>
  <si>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</si>
  <si>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</si>
  <si>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</si>
  <si>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</si>
  <si>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</si>
  <si>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</si>
  <si>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</si>
  <si>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</si>
  <si>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</si>
  <si>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</si>
  <si>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</si>
  <si>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</si>
  <si>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</si>
  <si>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</si>
  <si>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</si>
  <si>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</si>
  <si>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</si>
  <si>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</si>
  <si>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</si>
  <si>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</si>
  <si>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</si>
  <si>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</si>
  <si>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</si>
  <si>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</si>
  <si>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</si>
  <si>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</si>
  <si>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</si>
  <si>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</si>
  <si>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</si>
  <si>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</si>
  <si>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</si>
  <si>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</si>
  <si>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</si>
  <si>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</si>
  <si>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</si>
  <si>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</si>
  <si>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</si>
  <si>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</si>
  <si>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</si>
  <si>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</si>
  <si>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</si>
  <si>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</si>
  <si>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</si>
  <si>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</si>
  <si>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</si>
  <si>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</si>
  <si>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</si>
  <si>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</si>
  <si>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</si>
  <si>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</si>
  <si>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</si>
  <si>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</si>
  <si>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</si>
  <si>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</si>
  <si>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</si>
  <si>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</si>
  <si>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</si>
  <si>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</si>
  <si>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</si>
  <si>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</si>
  <si>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</si>
  <si>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</si>
  <si>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</si>
  <si>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</si>
  <si>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</si>
  <si>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</si>
  <si>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</si>
  <si>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</si>
  <si>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</si>
  <si>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</si>
  <si>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</si>
  <si>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</si>
  <si>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</si>
  <si>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</si>
  <si>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</si>
  <si>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</si>
  <si>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</si>
  <si>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</si>
  <si>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</si>
  <si>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</si>
  <si>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</si>
  <si>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</si>
  <si>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</si>
  <si>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</si>
  <si>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</si>
  <si>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</si>
  <si>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</si>
  <si>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</si>
  <si>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</si>
  <si>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</si>
  <si>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</si>
  <si>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</si>
  <si>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</si>
  <si>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</si>
  <si>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</si>
  <si>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</si>
  <si>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</si>
  <si>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</si>
  <si>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</si>
  <si>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</si>
  <si>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</si>
  <si>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</si>
  <si>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</si>
  <si>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</si>
  <si>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</si>
  <si>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</si>
  <si>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</si>
  <si>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</si>
  <si>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</si>
  <si>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</si>
  <si>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</si>
  <si>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</si>
  <si>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</si>
  <si>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</si>
  <si>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</si>
  <si>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</si>
  <si>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</si>
  <si>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</si>
  <si>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</si>
  <si>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</si>
  <si>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</si>
  <si>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</si>
  <si>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</si>
  <si>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</si>
  <si>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</si>
  <si>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</si>
  <si>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</si>
  <si>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</si>
  <si>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</si>
  <si>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</si>
  <si>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</si>
  <si>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</si>
  <si>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</si>
  <si>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</si>
  <si>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</si>
  <si>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</si>
  <si>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</si>
  <si>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</si>
  <si>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</si>
  <si>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</si>
  <si>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</si>
  <si>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</si>
  <si>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</si>
  <si>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</si>
  <si>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</si>
  <si>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</si>
  <si>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</si>
  <si>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</si>
  <si>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</si>
  <si>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</si>
  <si>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</si>
  <si>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</si>
  <si>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</si>
  <si>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</si>
  <si>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</si>
  <si>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</si>
  <si>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</si>
  <si>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</si>
  <si>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</si>
  <si>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</si>
  <si>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</si>
  <si>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</si>
  <si>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</si>
  <si>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</si>
  <si>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</si>
  <si>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</si>
  <si>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</si>
  <si>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</si>
  <si>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</si>
  <si>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</si>
  <si>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</si>
  <si>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</si>
  <si>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</si>
  <si>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</si>
  <si>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</si>
  <si>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</si>
  <si>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</si>
  <si>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</si>
  <si>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</si>
  <si>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</si>
  <si>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</si>
  <si>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</si>
  <si>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</si>
  <si>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</si>
  <si>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</si>
  <si>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</si>
  <si>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</si>
  <si>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</si>
  <si>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</si>
  <si>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</si>
  <si>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</si>
  <si>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</si>
  <si>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</si>
  <si>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</si>
  <si>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</si>
  <si>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</si>
  <si>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</si>
  <si>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</si>
  <si>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</si>
  <si>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</si>
  <si>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</si>
  <si>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</si>
  <si>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</si>
  <si>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</si>
  <si>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</si>
  <si>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</si>
  <si>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</si>
  <si>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</si>
  <si>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</si>
  <si>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</si>
  <si>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</si>
  <si>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</si>
  <si>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</si>
  <si>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</si>
  <si>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</si>
  <si>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</si>
  <si>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</si>
  <si>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</si>
  <si>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</si>
  <si>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</si>
  <si>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</si>
  <si>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</si>
  <si>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</si>
  <si>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</si>
  <si>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</si>
  <si>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</si>
  <si>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</si>
  <si>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</si>
  <si>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</si>
  <si>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</si>
  <si>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</si>
  <si>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</si>
  <si>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</si>
  <si>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</si>
  <si>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</si>
  <si>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</si>
  <si>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</si>
  <si>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</si>
  <si>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</si>
  <si>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</si>
  <si>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</si>
  <si>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</si>
  <si>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</si>
  <si>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</si>
  <si>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</si>
  <si>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</si>
  <si>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</si>
  <si>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</si>
  <si>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</si>
  <si>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</si>
  <si>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</si>
  <si>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</si>
  <si>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</si>
  <si>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</si>
  <si>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</si>
  <si>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</si>
  <si>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</si>
  <si>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</si>
  <si>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</si>
  <si>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</si>
  <si>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</si>
  <si>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</si>
  <si>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</si>
  <si>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</si>
  <si>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</si>
  <si>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</si>
  <si>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</si>
  <si>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</si>
  <si>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</si>
  <si>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</si>
  <si>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</si>
  <si>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</si>
  <si>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</si>
  <si>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</si>
  <si>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</si>
  <si>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</si>
  <si>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</si>
  <si>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</si>
  <si>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</si>
  <si>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</si>
  <si>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</si>
  <si>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</si>
  <si>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</si>
  <si>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</si>
  <si>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</si>
  <si>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</si>
  <si>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</si>
  <si>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</si>
  <si>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</si>
  <si>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</si>
  <si>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</si>
  <si>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</si>
  <si>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</si>
  <si>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</si>
  <si>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</si>
  <si>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</si>
  <si>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</si>
  <si>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</si>
  <si>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</si>
  <si>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</si>
  <si>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</si>
  <si>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</si>
  <si>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</si>
  <si>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</si>
  <si>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</si>
  <si>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</si>
  <si>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</si>
  <si>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</si>
  <si>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</si>
  <si>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</si>
  <si>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</si>
  <si>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</si>
  <si>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</si>
  <si>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</si>
  <si>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</si>
  <si>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</si>
  <si>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</si>
  <si>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</si>
  <si>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</si>
  <si>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</si>
  <si>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</si>
  <si>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</si>
  <si>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</si>
  <si>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</si>
  <si>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</si>
  <si>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</si>
  <si>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</si>
  <si>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</si>
  <si>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</si>
  <si>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</si>
  <si>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</si>
  <si>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</si>
  <si>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</si>
  <si>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</si>
  <si>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</si>
  <si>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</si>
  <si>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</si>
  <si>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</si>
  <si>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</si>
  <si>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</si>
  <si>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</si>
  <si>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</si>
  <si>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</si>
  <si>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</si>
  <si>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</si>
  <si>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</si>
  <si>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</si>
  <si>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</si>
  <si>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</si>
  <si>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</si>
  <si>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</si>
  <si>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</si>
  <si>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</si>
  <si>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</si>
  <si>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</si>
  <si>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</si>
  <si>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</si>
  <si>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</si>
  <si>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</si>
  <si>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</si>
  <si>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</si>
  <si>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</si>
  <si>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</si>
  <si>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</si>
  <si>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</si>
  <si>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</si>
  <si>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</si>
  <si>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</si>
  <si>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</si>
  <si>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</si>
  <si>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</si>
  <si>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</si>
  <si>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</si>
  <si>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</si>
  <si>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</si>
  <si>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</si>
  <si>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</si>
  <si>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</si>
  <si>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</si>
  <si>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</si>
  <si>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</si>
  <si>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</si>
  <si>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</si>
  <si>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</si>
  <si>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</si>
  <si>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</si>
  <si>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</si>
  <si>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</si>
  <si>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</si>
  <si>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</si>
  <si>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</si>
  <si>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</si>
  <si>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</si>
  <si>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</si>
  <si>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</si>
  <si>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</si>
  <si>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</si>
  <si>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</si>
  <si>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</si>
  <si>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</si>
  <si>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</si>
  <si>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</si>
  <si>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</si>
  <si>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</si>
  <si>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</si>
  <si>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</si>
  <si>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</si>
  <si>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</si>
  <si>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</si>
  <si>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</si>
  <si>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</si>
  <si>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</si>
  <si>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</si>
  <si>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</si>
  <si>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</si>
  <si>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</si>
  <si>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</si>
  <si>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</si>
  <si>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</si>
  <si>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</si>
  <si>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</si>
  <si>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</si>
  <si>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</si>
  <si>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</si>
  <si>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</si>
  <si>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</si>
  <si>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</si>
  <si>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</si>
  <si>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</si>
  <si>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</si>
  <si>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</si>
  <si>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</si>
  <si>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</si>
  <si>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</si>
  <si>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</si>
  <si>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</si>
  <si>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</si>
  <si>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</si>
  <si>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</si>
  <si>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</si>
  <si>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</si>
  <si>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</si>
  <si>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</si>
  <si>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</si>
  <si>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</si>
  <si>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</si>
  <si>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</si>
  <si>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</si>
  <si>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</si>
  <si>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</si>
  <si>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</si>
  <si>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</si>
  <si>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</si>
  <si>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</si>
  <si>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</si>
  <si>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</si>
  <si>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</si>
  <si>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</si>
  <si>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</si>
  <si>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</si>
  <si>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</si>
  <si>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</si>
  <si>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</si>
  <si>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</si>
  <si>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</si>
  <si>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</si>
  <si>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</si>
  <si>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</si>
  <si>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</si>
  <si>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</si>
  <si>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</si>
  <si>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</si>
  <si>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</si>
  <si>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</si>
  <si>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</si>
  <si>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</si>
  <si>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</si>
  <si>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</si>
  <si>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</si>
  <si>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</si>
  <si>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</si>
  <si>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</si>
  <si>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</si>
  <si>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</si>
  <si>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</si>
  <si>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</si>
  <si>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</si>
  <si>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</si>
  <si>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</si>
  <si>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</si>
  <si>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</si>
  <si>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</si>
  <si>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</si>
  <si>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</si>
  <si>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</si>
  <si>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</si>
  <si>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</si>
  <si>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</si>
  <si>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</si>
  <si>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</si>
  <si>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</si>
  <si>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</si>
  <si>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</si>
  <si>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</si>
  <si>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</si>
  <si>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</si>
  <si>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</si>
  <si>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</si>
  <si>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</si>
  <si>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</si>
  <si>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</si>
  <si>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</si>
  <si>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</si>
  <si>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</si>
  <si>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</si>
  <si>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</si>
  <si>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</si>
  <si>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</si>
  <si>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</si>
  <si>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</si>
  <si>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</si>
  <si>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</si>
  <si>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</si>
  <si>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</si>
  <si>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</si>
  <si>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</si>
  <si>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</si>
  <si>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</si>
  <si>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</si>
  <si>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</si>
  <si>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</si>
  <si>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</si>
  <si>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</si>
  <si>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</si>
  <si>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</si>
  <si>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</si>
  <si>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</si>
  <si>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</si>
  <si>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</si>
  <si>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</si>
  <si>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</si>
  <si>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</si>
  <si>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</si>
  <si>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</si>
  <si>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</si>
  <si>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</si>
  <si>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</si>
  <si>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</si>
  <si>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</si>
  <si>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</si>
  <si>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</si>
  <si>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</si>
  <si>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</si>
  <si>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</si>
  <si>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</si>
  <si>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</si>
  <si>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</si>
  <si>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</si>
  <si>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</si>
  <si>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</si>
  <si>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</si>
  <si>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</si>
  <si>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</si>
  <si>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</si>
  <si>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</si>
  <si>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</si>
  <si>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</si>
  <si>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</si>
  <si>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</si>
  <si>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</si>
  <si>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</si>
  <si>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</si>
  <si>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</si>
  <si>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</si>
  <si>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</si>
  <si>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</si>
  <si>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</si>
  <si>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</si>
  <si>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</si>
  <si>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</si>
  <si>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</si>
  <si>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</si>
  <si>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</si>
  <si>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</si>
  <si>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</si>
  <si>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</si>
  <si>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</si>
  <si>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</si>
  <si>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</si>
  <si>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</si>
  <si>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</si>
  <si>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</si>
  <si>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</si>
  <si>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</si>
  <si>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</si>
  <si>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</si>
  <si>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</si>
  <si>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</si>
  <si>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</si>
  <si>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</si>
  <si>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</si>
  <si>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</si>
  <si>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</si>
  <si>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</si>
  <si>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</si>
  <si>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</si>
  <si>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</si>
  <si>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</si>
  <si>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</si>
  <si>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</si>
  <si>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</si>
  <si>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</si>
  <si>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</si>
  <si>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</si>
  <si>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</si>
  <si>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</si>
  <si>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</si>
  <si>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</si>
  <si>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</si>
  <si>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</si>
  <si>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</si>
  <si>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</si>
  <si>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</si>
  <si>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</si>
  <si>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</si>
  <si>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</si>
  <si>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</si>
  <si>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</si>
  <si>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</si>
  <si>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</si>
  <si>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</si>
  <si>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</si>
  <si>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</si>
  <si>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</si>
  <si>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</si>
  <si>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</si>
  <si>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</si>
  <si>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</si>
  <si>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</si>
  <si>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</si>
  <si>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</si>
  <si>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</si>
  <si>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</si>
  <si>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</si>
  <si>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</si>
  <si>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</si>
  <si>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</si>
  <si>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</si>
  <si>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</si>
  <si>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</si>
  <si>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</si>
  <si>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</si>
  <si>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</si>
  <si>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</si>
  <si>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</si>
  <si>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</si>
  <si>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</si>
  <si>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</si>
  <si>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</si>
  <si>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</si>
  <si>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</si>
  <si>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</si>
  <si>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</si>
  <si>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</si>
  <si>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</si>
  <si>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</si>
  <si>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</si>
  <si>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</si>
  <si>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</si>
  <si>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</si>
  <si>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</si>
  <si>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</si>
  <si>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</si>
  <si>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</si>
  <si>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</si>
  <si>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</si>
  <si>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</si>
  <si>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</si>
  <si>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</si>
  <si>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</si>
  <si>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</si>
  <si>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</si>
  <si>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</si>
  <si>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</si>
  <si>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</si>
  <si>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</si>
  <si>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</si>
  <si>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</si>
  <si>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</si>
  <si>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</si>
  <si>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</si>
  <si>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</si>
  <si>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</si>
  <si>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</si>
  <si>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</si>
  <si>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</si>
  <si>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</si>
  <si>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</si>
  <si>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</si>
  <si>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</si>
  <si>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</si>
  <si>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</si>
  <si>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</si>
  <si>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</si>
  <si>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</si>
  <si>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</si>
  <si>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</si>
  <si>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</si>
  <si>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</si>
  <si>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</si>
  <si>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</si>
  <si>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</si>
  <si>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</si>
  <si>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</si>
  <si>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</si>
  <si>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</si>
  <si>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</si>
  <si>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</si>
  <si>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</si>
  <si>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</si>
  <si>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</si>
  <si>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</si>
  <si>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</si>
  <si>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</si>
  <si>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</si>
  <si>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</si>
  <si>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</si>
  <si>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</si>
  <si>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</si>
  <si>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</si>
  <si>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</si>
  <si>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</si>
  <si>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</si>
  <si>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</si>
  <si>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</si>
  <si>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</si>
  <si>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</si>
  <si>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</si>
  <si>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</si>
  <si>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</si>
  <si>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</si>
  <si>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</si>
  <si>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</si>
  <si>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</si>
  <si>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</si>
  <si>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</si>
  <si>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</si>
  <si>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</si>
  <si>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</si>
  <si>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</si>
  <si>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</si>
  <si>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</si>
  <si>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</si>
  <si>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</si>
  <si>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</si>
  <si>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</si>
  <si>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</si>
  <si>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</si>
  <si>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</si>
  <si>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</si>
  <si>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</si>
  <si>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</si>
  <si>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</si>
  <si>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</si>
  <si>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</si>
  <si>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</si>
  <si>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</si>
  <si>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</si>
  <si>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</si>
  <si>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</si>
  <si>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</si>
  <si>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</si>
  <si>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</si>
  <si>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</si>
  <si>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</si>
  <si>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</si>
  <si>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</si>
  <si>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</si>
  <si>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</si>
  <si>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</si>
  <si>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</si>
  <si>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</si>
  <si>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</si>
  <si>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</si>
  <si>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</si>
  <si>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</si>
  <si>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</si>
  <si>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</si>
  <si>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</si>
  <si>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</si>
  <si>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</si>
  <si>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</si>
  <si>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</si>
  <si>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</si>
  <si>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</si>
  <si>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</si>
  <si>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</si>
  <si>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</si>
  <si>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</si>
  <si>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</si>
  <si>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</si>
  <si>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</si>
  <si>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</si>
  <si>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</si>
  <si>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</si>
  <si>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</si>
  <si>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</si>
  <si>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</si>
  <si>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</si>
  <si>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</si>
  <si>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</si>
  <si>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</si>
  <si>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</si>
  <si>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</si>
  <si>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</si>
  <si>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</si>
  <si>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</si>
  <si>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</si>
  <si>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</si>
  <si>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</si>
  <si>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</si>
  <si>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</si>
  <si>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</si>
  <si>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</si>
  <si>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</si>
  <si>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</si>
  <si>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</si>
  <si>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</si>
  <si>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</si>
  <si>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</si>
  <si>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</si>
  <si>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</si>
  <si>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</si>
  <si>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</si>
  <si>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</si>
  <si>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</si>
  <si>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</si>
  <si>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</si>
  <si>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</si>
  <si>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</si>
  <si>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</si>
  <si>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</si>
  <si>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</si>
  <si>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</si>
  <si>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</si>
  <si>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</si>
  <si>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</si>
  <si>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</si>
  <si>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</si>
  <si>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</si>
  <si>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</si>
  <si>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</si>
  <si>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</si>
  <si>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</si>
  <si>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</si>
  <si>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</si>
  <si>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</si>
  <si>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</si>
  <si>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</si>
  <si>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</si>
  <si>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</si>
  <si>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</si>
  <si>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</si>
  <si>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</si>
  <si>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</si>
  <si>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</si>
  <si>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</si>
  <si>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</si>
  <si>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</si>
  <si>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</si>
  <si>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</si>
  <si>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</si>
  <si>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</si>
  <si>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</si>
  <si>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</si>
  <si>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</si>
  <si>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</si>
  <si>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</si>
  <si>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</si>
  <si>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</si>
  <si>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</si>
  <si>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</si>
  <si>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</si>
  <si>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</si>
  <si>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</si>
  <si>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</si>
  <si>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</si>
  <si>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</si>
  <si>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</si>
  <si>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</si>
  <si>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</si>
  <si>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</si>
  <si>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</si>
  <si>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</si>
  <si>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</si>
  <si>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</si>
  <si>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</si>
  <si>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</si>
  <si>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</si>
  <si>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</si>
  <si>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</si>
  <si>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</si>
  <si>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</si>
  <si>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</si>
  <si>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</si>
  <si>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</si>
  <si>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</si>
  <si>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</si>
  <si>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</si>
  <si>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</si>
  <si>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</si>
  <si>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</si>
  <si>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</si>
  <si>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</si>
  <si>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</si>
  <si>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</si>
  <si>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</si>
  <si>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</si>
  <si>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</si>
  <si>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</si>
  <si>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</si>
  <si>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</si>
  <si>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</si>
  <si>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</si>
  <si>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</si>
  <si>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</si>
  <si>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</si>
  <si>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</si>
  <si>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</si>
  <si>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</si>
  <si>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</si>
  <si>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</si>
  <si>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</si>
  <si>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</si>
  <si>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</si>
  <si>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</si>
  <si>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</si>
  <si>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</si>
  <si>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</si>
  <si>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</si>
  <si>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</si>
  <si>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</si>
  <si>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</si>
  <si>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</si>
  <si>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</si>
  <si>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</si>
  <si>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</si>
  <si>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</si>
  <si>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</si>
  <si>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</si>
  <si>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</si>
  <si>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</si>
  <si>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</si>
  <si>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</si>
  <si>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</si>
  <si>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</si>
  <si>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</si>
  <si>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</si>
  <si>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</si>
  <si>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</si>
  <si>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</si>
  <si>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</si>
  <si>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</si>
  <si>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</si>
  <si>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</si>
  <si>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</si>
  <si>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</si>
  <si>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</si>
  <si>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</si>
  <si>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</si>
  <si>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</si>
  <si>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</si>
  <si>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</si>
  <si>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</si>
  <si>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</si>
  <si>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</si>
  <si>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</si>
  <si>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</si>
  <si>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</si>
  <si>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</si>
  <si>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</si>
  <si>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</si>
  <si>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</si>
  <si>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</si>
  <si>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</si>
  <si>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</si>
  <si>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</si>
  <si>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</si>
  <si>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</si>
  <si>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</si>
  <si>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</si>
  <si>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</si>
  <si>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</si>
  <si>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</si>
  <si>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</si>
  <si>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</si>
  <si>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</si>
  <si>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</si>
  <si>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</si>
  <si>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</si>
  <si>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</si>
  <si>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</si>
  <si>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</si>
  <si>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</si>
  <si>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</si>
  <si>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</si>
  <si>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</si>
  <si>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</si>
  <si>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</si>
  <si>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</si>
  <si>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</si>
  <si>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</si>
  <si>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</si>
  <si>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</si>
  <si>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</si>
  <si>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</si>
  <si>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</si>
  <si>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</si>
  <si>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</si>
  <si>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</si>
  <si>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</si>
  <si>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</si>
  <si>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</si>
  <si>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</si>
  <si>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</si>
  <si>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</si>
  <si>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</si>
  <si>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</si>
  <si>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</si>
  <si>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</si>
  <si>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</si>
  <si>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</si>
  <si>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</si>
  <si>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</si>
  <si>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</si>
  <si>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</si>
  <si>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</si>
  <si>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</si>
  <si>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</si>
  <si>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</si>
  <si>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</si>
  <si>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</si>
  <si>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</si>
  <si>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</si>
  <si>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</si>
  <si>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</si>
  <si>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</si>
  <si>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</si>
  <si>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</si>
  <si>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</si>
  <si>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</si>
  <si>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</si>
  <si>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</si>
  <si>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</si>
  <si>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</si>
  <si>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</si>
  <si>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</si>
  <si>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</si>
  <si>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</si>
  <si>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</si>
  <si>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</si>
  <si>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</si>
  <si>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</si>
  <si>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</si>
  <si>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</si>
  <si>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</si>
  <si>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</si>
  <si>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</si>
  <si>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</si>
  <si>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</si>
  <si>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</si>
  <si>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</si>
  <si>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</si>
  <si>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</si>
  <si>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</si>
  <si>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</si>
  <si>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</si>
  <si>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</si>
  <si>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</si>
  <si>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</si>
  <si>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</si>
  <si>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</si>
  <si>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</si>
  <si>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</si>
  <si>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</si>
  <si>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</si>
  <si>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</si>
  <si>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</si>
  <si>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</si>
  <si>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</si>
  <si>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</si>
  <si>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</si>
  <si>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</si>
  <si>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</si>
  <si>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</si>
  <si>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</si>
  <si>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</si>
  <si>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</si>
  <si>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</si>
  <si>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</si>
  <si>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</si>
  <si>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</si>
  <si>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</si>
  <si>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</si>
  <si>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</si>
  <si>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</si>
  <si>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</si>
  <si>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</si>
  <si>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</si>
  <si>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</si>
  <si>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</si>
  <si>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</si>
  <si>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</si>
  <si>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</si>
  <si>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</si>
  <si>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</si>
  <si>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</si>
  <si>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</si>
  <si>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</si>
  <si>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</si>
  <si>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</si>
  <si>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</si>
  <si>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</si>
  <si>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</si>
  <si>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</si>
  <si>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</si>
  <si>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</si>
  <si>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</si>
  <si>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</si>
  <si>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</si>
  <si>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</si>
  <si>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</si>
  <si>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</si>
  <si>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</si>
  <si>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</si>
  <si>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</si>
  <si>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</si>
  <si>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</si>
  <si>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</si>
  <si>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</si>
  <si>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</si>
  <si>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</si>
  <si>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</si>
  <si>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</si>
  <si>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</si>
  <si>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</si>
  <si>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</si>
  <si>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</si>
  <si>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</si>
  <si>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</si>
  <si>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</si>
  <si>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</si>
  <si>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</si>
  <si>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</si>
  <si>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</si>
  <si>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</si>
  <si>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</si>
  <si>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</si>
  <si>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</si>
  <si>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</si>
  <si>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</si>
  <si>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</si>
  <si>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</si>
  <si>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</si>
  <si>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</si>
  <si>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</si>
  <si>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</si>
  <si>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</si>
  <si>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</si>
  <si>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</si>
  <si>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</si>
  <si>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</si>
  <si>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</si>
  <si>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</si>
  <si>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</si>
  <si>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</si>
  <si>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</si>
  <si>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</si>
  <si>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</si>
  <si>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</si>
  <si>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</si>
  <si>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</si>
  <si>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</si>
  <si>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</si>
  <si>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</si>
  <si>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</si>
  <si>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</si>
  <si>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</si>
  <si>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</si>
  <si>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</si>
  <si>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</si>
  <si>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</si>
  <si>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</si>
  <si>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</si>
  <si>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</si>
  <si>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</si>
  <si>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</si>
  <si>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</si>
  <si>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</si>
  <si>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</si>
  <si>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</si>
  <si>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</si>
  <si>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</si>
  <si>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</si>
  <si>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</si>
  <si>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</si>
  <si>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</si>
  <si>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</si>
  <si>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</si>
  <si>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</si>
  <si>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</si>
  <si>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</si>
  <si>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</si>
  <si>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</si>
  <si>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</si>
  <si>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</si>
  <si>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</si>
  <si>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</si>
  <si>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</si>
  <si>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</si>
  <si>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</si>
  <si>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</si>
  <si>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</si>
  <si>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</si>
  <si>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</si>
  <si>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</si>
  <si>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</si>
  <si>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</si>
  <si>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</si>
  <si>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</si>
  <si>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</si>
  <si>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</si>
  <si>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</si>
  <si>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</si>
  <si>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</si>
  <si>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</si>
  <si>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</si>
  <si>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</si>
  <si>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</si>
  <si>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</si>
  <si>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</si>
  <si>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</si>
  <si>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</si>
  <si>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</si>
  <si>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</si>
  <si>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</si>
  <si>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</si>
  <si>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</si>
  <si>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</si>
  <si>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</si>
  <si>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</si>
  <si>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</si>
  <si>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</si>
  <si>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</si>
  <si>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</si>
  <si>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</si>
  <si>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</si>
  <si>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</si>
  <si>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</si>
  <si>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</si>
  <si>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</si>
  <si>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</si>
  <si>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</si>
  <si>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</si>
  <si>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</si>
  <si>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</si>
  <si>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</si>
  <si>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</si>
  <si>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</si>
  <si>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</si>
  <si>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</si>
  <si>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</si>
  <si>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</si>
  <si>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</si>
  <si>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</si>
  <si>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</si>
  <si>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</si>
  <si>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</si>
  <si>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</si>
  <si>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</si>
  <si>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</si>
  <si>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</si>
  <si>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</si>
  <si>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</si>
  <si>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</si>
  <si>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</si>
  <si>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</si>
  <si>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</si>
  <si>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</si>
  <si>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</si>
  <si>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</si>
  <si>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</si>
  <si>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</si>
  <si>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</si>
  <si>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</si>
  <si>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</si>
  <si>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</si>
  <si>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</si>
  <si>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</si>
  <si>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</si>
  <si>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</si>
  <si>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</si>
  <si>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</si>
  <si>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</si>
  <si>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</si>
  <si>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</si>
  <si>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</si>
  <si>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</si>
  <si>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</si>
  <si>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</si>
  <si>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</si>
  <si>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</si>
  <si>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</si>
  <si>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</si>
  <si>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</si>
  <si>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</si>
  <si>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</si>
  <si>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</si>
  <si>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</si>
  <si>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</si>
  <si>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</si>
  <si>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</si>
  <si>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</si>
  <si>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</si>
  <si>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</si>
  <si>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</si>
  <si>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</si>
  <si>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</si>
  <si>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</si>
  <si>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</si>
  <si>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</si>
  <si>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</si>
  <si>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</si>
  <si>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</si>
  <si>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</si>
  <si>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</si>
  <si>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</si>
  <si>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</si>
  <si>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</si>
  <si>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</si>
  <si>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</si>
  <si>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</si>
  <si>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</si>
  <si>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</si>
  <si>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</si>
  <si>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</si>
  <si>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</si>
  <si>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</si>
  <si>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</si>
  <si>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</si>
  <si>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</si>
  <si>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</si>
  <si>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</si>
  <si>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</si>
  <si>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</si>
  <si>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</si>
  <si>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</si>
  <si>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</si>
  <si>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</si>
  <si>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</si>
  <si>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</si>
  <si>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</si>
  <si>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</si>
  <si>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</si>
  <si>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</si>
  <si>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</si>
  <si>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</si>
  <si>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</si>
  <si>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</si>
  <si>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</si>
  <si>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</si>
  <si>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</si>
  <si>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</si>
  <si>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</si>
  <si>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</si>
  <si>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</si>
  <si>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</si>
  <si>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</si>
  <si>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</si>
  <si>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</si>
  <si>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</si>
  <si>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</si>
  <si>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</si>
  <si>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</si>
  <si>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</si>
  <si>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</si>
  <si>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</si>
  <si>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</si>
  <si>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</si>
  <si>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</si>
  <si>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</si>
  <si>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</si>
  <si>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</si>
  <si>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</si>
  <si>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</si>
  <si>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</si>
  <si>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</si>
  <si>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</si>
  <si>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</si>
  <si>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</si>
  <si>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</si>
  <si>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</si>
  <si>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</si>
  <si>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</si>
  <si>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</si>
  <si>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</si>
  <si>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</si>
  <si>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</si>
  <si>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</si>
  <si>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</si>
  <si>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</si>
  <si>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</si>
  <si>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</si>
  <si>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</si>
  <si>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</si>
  <si>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</si>
  <si>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</si>
  <si>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</si>
  <si>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</si>
  <si>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</si>
  <si>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</si>
  <si>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</si>
  <si>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</si>
  <si>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</si>
  <si>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</si>
  <si>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</si>
  <si>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</si>
  <si>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</si>
  <si>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</si>
  <si>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</si>
  <si>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</si>
  <si>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</si>
  <si>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</si>
  <si>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</si>
  <si>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</si>
  <si>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</si>
  <si>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</si>
  <si>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</si>
  <si>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</si>
  <si>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</si>
  <si>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</si>
  <si>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</si>
  <si>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</si>
  <si>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</si>
  <si>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</si>
  <si>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</si>
  <si>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</si>
  <si>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</si>
  <si>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</si>
  <si>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</si>
  <si>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</si>
  <si>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</si>
  <si>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</si>
  <si>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</si>
  <si>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</si>
  <si>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</si>
  <si>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</si>
  <si>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</si>
  <si>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</si>
  <si>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</si>
  <si>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</si>
  <si>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</si>
  <si>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</si>
  <si>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</si>
  <si>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</si>
  <si>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</si>
  <si>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</si>
  <si>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</si>
  <si>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</si>
  <si>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</si>
  <si>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</si>
  <si>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</si>
  <si>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</si>
  <si>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</si>
  <si>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</si>
  <si>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</si>
  <si>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</si>
  <si>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</si>
  <si>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</si>
  <si>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</si>
  <si>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</si>
  <si>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</si>
  <si>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</si>
  <si>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</si>
  <si>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</si>
  <si>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</si>
  <si>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</si>
  <si>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</si>
  <si>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</si>
  <si>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</si>
  <si>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</si>
  <si>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</si>
  <si>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</si>
  <si>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</si>
  <si>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</si>
  <si>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</si>
  <si>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</si>
  <si>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</si>
  <si>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</si>
  <si>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</si>
  <si>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</si>
  <si>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</si>
  <si>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</si>
  <si>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</si>
  <si>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</si>
  <si>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</si>
  <si>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</si>
  <si>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</si>
  <si>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</si>
  <si>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</si>
  <si>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</si>
  <si>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</si>
  <si>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</si>
  <si>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</si>
  <si>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</si>
  <si>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</si>
  <si>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</si>
  <si>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</si>
  <si>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</si>
  <si>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</si>
  <si>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</si>
  <si>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</si>
  <si>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</si>
  <si>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</si>
  <si>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</si>
  <si>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</si>
  <si>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</si>
  <si>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</si>
  <si>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</si>
  <si>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</si>
  <si>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</si>
  <si>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</si>
  <si>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</si>
  <si>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</si>
  <si>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</si>
  <si>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</si>
  <si>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</si>
  <si>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</si>
  <si>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</si>
  <si>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</si>
  <si>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</si>
  <si>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</si>
  <si>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</si>
  <si>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</si>
  <si>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</si>
  <si>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</si>
  <si>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</si>
  <si>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</si>
  <si>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</si>
  <si>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</si>
  <si>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</si>
  <si>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</si>
  <si>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</si>
  <si>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</si>
  <si>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</si>
  <si>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</si>
  <si>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</si>
  <si>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</si>
  <si>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</si>
  <si>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</si>
  <si>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</si>
  <si>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</si>
  <si>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</si>
  <si>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</si>
  <si>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</si>
  <si>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</si>
  <si>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</si>
  <si>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</si>
  <si>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</si>
  <si>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</si>
  <si>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</si>
  <si>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</si>
  <si>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</si>
  <si>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</si>
  <si>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</si>
  <si>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</si>
  <si>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</si>
  <si>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</si>
  <si>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</si>
  <si>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</si>
  <si>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</si>
  <si>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</si>
  <si>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</si>
  <si>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</si>
  <si>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</si>
  <si>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</si>
  <si>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</si>
  <si>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</si>
  <si>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</si>
  <si>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</si>
  <si>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</si>
  <si>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</si>
  <si>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</si>
  <si>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</si>
  <si>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</si>
  <si>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</si>
  <si>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</si>
  <si>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</si>
  <si>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</si>
  <si>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</si>
  <si>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</si>
  <si>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</si>
  <si>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</si>
  <si>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</si>
  <si>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</si>
  <si>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</si>
  <si>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</si>
  <si>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</si>
  <si>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</si>
  <si>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</si>
  <si>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</si>
  <si>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</si>
  <si>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</si>
  <si>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</si>
  <si>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</si>
  <si>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</si>
  <si>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</si>
  <si>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</si>
  <si>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</si>
  <si>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</si>
  <si>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</si>
  <si>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</si>
  <si>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</si>
  <si>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</si>
  <si>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</si>
  <si>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</si>
  <si>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</si>
  <si>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</si>
  <si>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</si>
  <si>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</si>
  <si>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</si>
  <si>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</si>
  <si>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</si>
  <si>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</si>
  <si>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</si>
  <si>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</si>
  <si>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</si>
  <si>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</si>
  <si>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</si>
  <si>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</si>
  <si>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</si>
  <si>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</si>
  <si>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</si>
  <si>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</si>
  <si>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</si>
  <si>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</si>
  <si>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</si>
  <si>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</si>
  <si>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</si>
  <si>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</si>
  <si>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</si>
  <si>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</si>
  <si>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</si>
  <si>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</si>
  <si>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</si>
  <si>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</si>
  <si>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</si>
  <si>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</si>
  <si>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</si>
  <si>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</si>
  <si>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</si>
  <si>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</si>
  <si>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</si>
  <si>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</si>
  <si>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</si>
  <si>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</si>
  <si>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</si>
  <si>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</si>
  <si>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</si>
  <si>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</si>
  <si>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</si>
  <si>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</si>
  <si>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</si>
  <si>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</si>
  <si>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</si>
  <si>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</si>
  <si>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</si>
  <si>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</si>
  <si>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</si>
  <si>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</si>
  <si>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</si>
  <si>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</si>
  <si>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</si>
  <si>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</si>
  <si>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</si>
  <si>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</si>
  <si>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</si>
  <si>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</si>
  <si>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</si>
  <si>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</si>
  <si>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</si>
  <si>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</si>
  <si>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</si>
  <si>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</si>
  <si>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</si>
  <si>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</si>
  <si>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</si>
  <si>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</si>
  <si>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</si>
  <si>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</si>
  <si>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</si>
  <si>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</si>
  <si>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</si>
  <si>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</si>
  <si>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</si>
  <si>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</si>
  <si>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</si>
  <si>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</si>
  <si>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</si>
  <si>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</si>
  <si>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</si>
  <si>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</si>
  <si>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</si>
  <si>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</si>
  <si>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</si>
  <si>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</si>
  <si>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</si>
  <si>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</si>
  <si>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</si>
  <si>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</si>
  <si>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</si>
  <si>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</si>
  <si>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</si>
  <si>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</si>
  <si>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</si>
  <si>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</si>
  <si>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</si>
  <si>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</si>
  <si>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</si>
  <si>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</si>
  <si>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</si>
  <si>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</si>
  <si>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</si>
  <si>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</si>
  <si>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</si>
  <si>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</si>
  <si>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</si>
  <si>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</si>
  <si>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</si>
  <si>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</si>
  <si>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</si>
  <si>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</si>
  <si>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</si>
  <si>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</si>
  <si>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</si>
  <si>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</si>
  <si>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</si>
  <si>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</si>
  <si>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</si>
  <si>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</si>
  <si>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</si>
  <si>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</si>
  <si>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</si>
  <si>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</si>
  <si>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</si>
  <si>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</si>
  <si>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</si>
  <si>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</si>
  <si>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</si>
  <si>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</si>
  <si>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</si>
  <si>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</si>
  <si>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</si>
  <si>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</si>
  <si>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</si>
  <si>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</si>
  <si>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</si>
  <si>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</si>
  <si>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</si>
  <si>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</si>
  <si>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</si>
  <si>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</si>
  <si>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</si>
  <si>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</si>
  <si>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</si>
  <si>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</si>
  <si>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</si>
  <si>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</si>
  <si>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</si>
  <si>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</si>
  <si>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</si>
  <si>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</si>
  <si>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</si>
  <si>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</si>
  <si>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</si>
  <si>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</si>
  <si>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</si>
  <si>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</si>
  <si>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</si>
  <si>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</si>
  <si>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</si>
  <si>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</si>
  <si>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</si>
  <si>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</si>
  <si>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</si>
  <si>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</si>
  <si>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</si>
  <si>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</si>
  <si>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</si>
  <si>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</si>
  <si>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</si>
  <si>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</si>
  <si>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</si>
  <si>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</si>
  <si>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</si>
  <si>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</si>
  <si>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</si>
  <si>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</si>
  <si>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</si>
  <si>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</si>
  <si>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</si>
  <si>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</si>
  <si>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</si>
  <si>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</si>
  <si>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</si>
  <si>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</si>
  <si>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</si>
  <si>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</si>
  <si>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</si>
  <si>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</si>
  <si>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</si>
  <si>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</si>
  <si>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</si>
  <si>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</si>
  <si>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</si>
  <si>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</si>
  <si>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</si>
  <si>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</si>
  <si>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</si>
  <si>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</si>
  <si>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</si>
  <si>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</si>
  <si>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</si>
  <si>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</si>
  <si>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</si>
  <si>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</si>
  <si>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</si>
  <si>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</si>
  <si>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</si>
  <si>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</si>
  <si>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</si>
  <si>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</si>
  <si>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</si>
  <si>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</si>
  <si>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</si>
  <si>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</si>
  <si>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</si>
  <si>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</si>
  <si>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</si>
  <si>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</si>
  <si>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</si>
  <si>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</si>
  <si>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</si>
  <si>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</si>
  <si>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</si>
  <si>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</si>
  <si>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</si>
  <si>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</si>
  <si>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</si>
  <si>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</si>
  <si>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</si>
  <si>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</si>
  <si>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</si>
  <si>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</si>
  <si>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</si>
  <si>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</si>
  <si>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</si>
  <si>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</si>
  <si>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</si>
  <si>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</si>
  <si>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</si>
  <si>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</si>
  <si>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</si>
  <si>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</si>
  <si>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</si>
  <si>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</si>
  <si>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</si>
  <si>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</si>
  <si>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</si>
  <si>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</si>
  <si>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</si>
  <si>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</si>
  <si>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</si>
  <si>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</si>
  <si>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</si>
  <si>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</si>
  <si>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</si>
  <si>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</si>
  <si>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</si>
  <si>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</si>
  <si>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</si>
  <si>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</si>
  <si>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</si>
  <si>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</si>
  <si>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</si>
  <si>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</si>
  <si>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</si>
  <si>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</si>
  <si>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</si>
  <si>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</si>
  <si>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</si>
  <si>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</si>
  <si>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</si>
  <si>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</si>
  <si>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</si>
  <si>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</si>
  <si>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</si>
  <si>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</si>
  <si>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</si>
  <si>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</si>
  <si>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</si>
  <si>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</si>
  <si>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</si>
  <si>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</si>
  <si>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</si>
  <si>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</si>
  <si>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</si>
  <si>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</si>
  <si>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</si>
  <si>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</si>
  <si>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</si>
  <si>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</si>
  <si>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</si>
  <si>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</si>
  <si>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</si>
  <si>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</si>
  <si>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</si>
  <si>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</si>
  <si>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</si>
  <si>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</si>
  <si>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</si>
  <si>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</si>
  <si>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</si>
  <si>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</si>
  <si>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</si>
  <si>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</si>
  <si>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</si>
  <si>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</si>
  <si>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</si>
  <si>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</si>
  <si>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</si>
  <si>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</si>
  <si>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</si>
  <si>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</si>
  <si>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</si>
  <si>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</si>
  <si>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</si>
  <si>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</si>
  <si>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</si>
  <si>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</si>
  <si>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</si>
  <si>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</si>
  <si>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</si>
  <si>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</si>
  <si>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</si>
  <si>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</si>
  <si>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</si>
  <si>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</si>
  <si>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</si>
  <si>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</si>
  <si>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</si>
  <si>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</si>
  <si>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</si>
  <si>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</si>
  <si>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</si>
  <si>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</si>
  <si>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</si>
  <si>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</si>
  <si>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</si>
  <si>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</si>
  <si>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</si>
  <si>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</si>
  <si>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</si>
  <si>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</si>
  <si>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</si>
  <si>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</si>
  <si>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</si>
  <si>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</si>
  <si>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</si>
  <si>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</si>
  <si>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</si>
  <si>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</si>
  <si>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</si>
  <si>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</si>
  <si>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</si>
  <si>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</si>
  <si>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</si>
  <si>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</si>
  <si>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</si>
  <si>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</si>
  <si>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</si>
  <si>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</si>
  <si>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</si>
  <si>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</si>
  <si>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</si>
  <si>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</si>
  <si>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</si>
  <si>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</si>
  <si>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</si>
  <si>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</si>
  <si>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</si>
  <si>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</si>
  <si>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</si>
  <si>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</si>
  <si>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</si>
  <si>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</si>
  <si>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</si>
  <si>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</si>
  <si>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</si>
  <si>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</si>
  <si>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</si>
  <si>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</si>
  <si>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</si>
  <si>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</si>
  <si>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</si>
  <si>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</si>
  <si>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</si>
  <si>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</si>
  <si>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</si>
  <si>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</si>
  <si>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</si>
  <si>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</si>
  <si>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</si>
  <si>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</si>
  <si>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</si>
  <si>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</si>
  <si>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</si>
  <si>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</si>
  <si>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</si>
  <si>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</si>
  <si>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</si>
  <si>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</si>
  <si>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</si>
  <si>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</si>
  <si>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</si>
  <si>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</si>
  <si>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</si>
  <si>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</si>
  <si>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</si>
  <si>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</si>
  <si>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</si>
  <si>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</si>
  <si>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</si>
  <si>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</si>
  <si>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</si>
  <si>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</si>
  <si>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</si>
  <si>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</si>
  <si>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</si>
  <si>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</si>
  <si>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</si>
  <si>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</si>
  <si>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</si>
  <si>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</si>
  <si>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</si>
  <si>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</si>
  <si>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</si>
  <si>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</si>
  <si>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</si>
  <si>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</si>
  <si>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</si>
  <si>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</si>
  <si>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</si>
  <si>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</si>
  <si>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</si>
  <si>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</si>
  <si>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</si>
  <si>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</si>
  <si>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</si>
  <si>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</si>
  <si>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</si>
  <si>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</si>
  <si>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</si>
  <si>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</si>
  <si>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</si>
  <si>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</si>
  <si>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</si>
  <si>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</si>
  <si>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</si>
  <si>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</si>
  <si>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</si>
  <si>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</si>
  <si>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</si>
  <si>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</si>
  <si>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</si>
  <si>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</si>
  <si>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</si>
  <si>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</si>
  <si>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</si>
  <si>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</si>
  <si>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</si>
  <si>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</si>
  <si>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</si>
  <si>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</si>
  <si>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</si>
  <si>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</si>
  <si>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</si>
  <si>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</si>
  <si>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</si>
  <si>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</si>
  <si>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</si>
  <si>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</si>
  <si>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</si>
  <si>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</si>
  <si>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</si>
  <si>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</si>
  <si>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</si>
  <si>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</si>
  <si>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</si>
  <si>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</si>
  <si>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</si>
  <si>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</si>
  <si>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</si>
  <si>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</si>
  <si>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</si>
  <si>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</si>
  <si>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</si>
  <si>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</si>
  <si>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</si>
  <si>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</si>
  <si>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</si>
  <si>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</si>
  <si>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</si>
  <si>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</si>
  <si>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</si>
  <si>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</si>
  <si>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</si>
  <si>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</si>
  <si>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</si>
  <si>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</si>
  <si>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</si>
  <si>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</si>
  <si>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</si>
  <si>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</si>
  <si>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</si>
  <si>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</si>
  <si>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</si>
  <si>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</si>
  <si>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</si>
  <si>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</si>
  <si>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</si>
  <si>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</si>
  <si>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</si>
  <si>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</si>
  <si>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</si>
  <si>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</si>
  <si>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</si>
  <si>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</si>
  <si>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</si>
  <si>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</si>
  <si>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</si>
  <si>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</si>
  <si>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</si>
  <si>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</si>
  <si>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</si>
  <si>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</si>
  <si>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</si>
  <si>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</si>
  <si>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</si>
  <si>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</si>
  <si>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</si>
  <si>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</si>
  <si>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</si>
  <si>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</si>
  <si>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</si>
  <si>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</si>
  <si>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</si>
  <si>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</si>
  <si>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</si>
  <si>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</si>
  <si>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</si>
  <si>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</si>
  <si>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</si>
  <si>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</si>
  <si>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</si>
  <si>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</si>
  <si>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</si>
  <si>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</si>
  <si>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</si>
  <si>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</si>
  <si>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</si>
  <si>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</si>
  <si>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</si>
  <si>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</si>
  <si>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</si>
  <si>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</si>
  <si>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</si>
  <si>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</si>
  <si>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</si>
  <si>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</si>
  <si>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</si>
  <si>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</si>
  <si>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</si>
  <si>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</si>
  <si>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</si>
  <si>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</si>
  <si>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</si>
  <si>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</si>
  <si>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</si>
  <si>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</si>
  <si>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</si>
  <si>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</si>
  <si>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</si>
  <si>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</si>
  <si>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</si>
  <si>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</si>
  <si>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</si>
  <si>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</si>
  <si>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</si>
  <si>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</si>
  <si>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</si>
  <si>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</si>
  <si>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</si>
  <si>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</si>
  <si>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</si>
  <si>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</si>
  <si>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</si>
  <si>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</si>
  <si>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</si>
  <si>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</si>
  <si>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</si>
  <si>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</si>
  <si>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</si>
  <si>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</si>
  <si>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</si>
  <si>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</si>
  <si>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</si>
  <si>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</si>
  <si>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</si>
  <si>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</si>
  <si>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</si>
  <si>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</si>
  <si>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</si>
  <si>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</si>
  <si>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</si>
  <si>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</si>
  <si>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</si>
  <si>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</si>
  <si>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</si>
  <si>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</si>
  <si>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</si>
  <si>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</si>
  <si>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</si>
  <si>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</si>
  <si>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</si>
  <si>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</si>
  <si>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</si>
  <si>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</si>
  <si>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</si>
  <si>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</si>
  <si>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</si>
  <si>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</si>
  <si>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</si>
  <si>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</si>
  <si>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</si>
  <si>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</si>
  <si>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</si>
  <si>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</si>
  <si>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</si>
  <si>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</si>
  <si>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</si>
  <si>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</si>
  <si>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</si>
  <si>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</si>
  <si>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</si>
  <si>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</si>
  <si>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</si>
  <si>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</si>
  <si>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</si>
  <si>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</si>
  <si>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</si>
  <si>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</si>
  <si>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</si>
  <si>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</si>
  <si>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</si>
  <si>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</si>
  <si>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</si>
  <si>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</si>
  <si>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</si>
  <si>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</si>
  <si>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</si>
  <si>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</si>
  <si>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</si>
  <si>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</si>
  <si>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</si>
  <si>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</si>
  <si>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</si>
  <si>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</si>
  <si>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</si>
  <si>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</si>
  <si>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</si>
  <si>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</si>
  <si>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</si>
  <si>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</si>
  <si>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</si>
  <si>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</si>
  <si>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</si>
  <si>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</si>
  <si>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</si>
  <si>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</si>
  <si>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</si>
  <si>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</si>
  <si>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</si>
  <si>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</si>
  <si>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</si>
  <si>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</si>
  <si>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</si>
  <si>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</si>
  <si>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</si>
  <si>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</si>
  <si>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</si>
  <si>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</si>
  <si>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</si>
  <si>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</si>
  <si>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</si>
  <si>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</si>
  <si>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</si>
  <si>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</si>
  <si>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</si>
  <si>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</si>
  <si>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</si>
  <si>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</si>
  <si>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</si>
  <si>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</si>
  <si>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</si>
  <si>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</si>
  <si>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</si>
  <si>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</si>
  <si>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</si>
  <si>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</si>
  <si>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</si>
  <si>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</si>
  <si>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</si>
  <si>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</si>
  <si>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</si>
  <si>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</si>
  <si>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</si>
  <si>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</si>
  <si>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</si>
  <si>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</si>
  <si>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</si>
  <si>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</si>
  <si>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</si>
  <si>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</si>
  <si>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</si>
  <si>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</si>
  <si>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</si>
  <si>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</si>
  <si>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</si>
  <si>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</si>
  <si>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</si>
  <si>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</si>
  <si>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</si>
  <si>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</si>
  <si>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</si>
  <si>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</si>
  <si>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</si>
  <si>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</si>
  <si>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</si>
  <si>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</si>
  <si>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</si>
  <si>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</si>
  <si>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</si>
  <si>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</si>
  <si>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</si>
  <si>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</si>
  <si>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</si>
  <si>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</si>
  <si>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</si>
  <si>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</si>
  <si>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</si>
  <si>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</si>
  <si>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</si>
  <si>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</si>
  <si>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</si>
  <si>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</si>
  <si>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</si>
  <si>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</si>
  <si>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</si>
  <si>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</si>
  <si>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</si>
  <si>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</si>
  <si>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</si>
  <si>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</si>
  <si>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</si>
  <si>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</si>
  <si>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</si>
  <si>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</si>
  <si>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</si>
  <si>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</si>
  <si>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</si>
  <si>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</si>
  <si>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</si>
  <si>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</si>
  <si>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</si>
  <si>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</si>
  <si>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</si>
  <si>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</si>
  <si>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</si>
  <si>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</si>
  <si>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</si>
  <si>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</si>
  <si>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</si>
  <si>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</si>
  <si>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</si>
  <si>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</si>
  <si>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</si>
  <si>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</si>
  <si>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</si>
  <si>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</si>
  <si>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</si>
  <si>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</si>
  <si>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</si>
  <si>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</si>
  <si>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</si>
  <si>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</si>
  <si>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</si>
  <si>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</si>
  <si>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</si>
  <si>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</si>
  <si>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</si>
  <si>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</si>
  <si>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</si>
  <si>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</si>
  <si>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</si>
  <si>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</si>
  <si>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</si>
  <si>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</si>
  <si>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</si>
  <si>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</si>
  <si>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</si>
  <si>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</si>
  <si>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</si>
  <si>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</si>
  <si>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</si>
  <si>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</si>
  <si>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</si>
  <si>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</si>
  <si>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</si>
  <si>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</si>
  <si>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</si>
  <si>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</si>
  <si>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</si>
  <si>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</si>
  <si>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</si>
  <si>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</si>
  <si>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</si>
  <si>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</si>
  <si>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</si>
  <si>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</si>
  <si>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</si>
  <si>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</si>
  <si>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</si>
  <si>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</si>
  <si>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</si>
  <si>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</si>
  <si>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</si>
  <si>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</si>
  <si>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</si>
  <si>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</si>
  <si>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</si>
  <si>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</si>
  <si>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</si>
  <si>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</si>
  <si>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</si>
  <si>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</si>
  <si>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</si>
  <si>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</si>
  <si>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</si>
  <si>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</si>
  <si>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</si>
  <si>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</si>
  <si>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</si>
  <si>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</si>
  <si>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</si>
  <si>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</si>
  <si>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</si>
  <si>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</si>
  <si>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</si>
  <si>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</si>
  <si>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</si>
  <si>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</si>
  <si>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</si>
  <si>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</si>
  <si>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</si>
  <si>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</si>
  <si>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</si>
  <si>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</si>
  <si>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</si>
  <si>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</si>
  <si>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</si>
  <si>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</si>
  <si>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</si>
  <si>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</si>
  <si>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</si>
  <si>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</si>
  <si>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</si>
  <si>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</si>
  <si>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</si>
  <si>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</si>
  <si>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</si>
  <si>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</si>
  <si>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</si>
  <si>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</si>
  <si>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</si>
  <si>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</si>
  <si>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</si>
  <si>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</si>
  <si>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</si>
  <si>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</si>
  <si>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</si>
  <si>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</si>
  <si>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</si>
  <si>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</si>
  <si>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</si>
  <si>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</si>
  <si>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</si>
  <si>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</si>
  <si>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</si>
  <si>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</si>
  <si>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</si>
  <si>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</si>
  <si>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</si>
  <si>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</si>
  <si>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</si>
  <si>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</si>
  <si>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</si>
  <si>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</si>
  <si>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</si>
  <si>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</si>
  <si>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</si>
  <si>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</si>
  <si>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</si>
  <si>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</si>
  <si>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</si>
  <si>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</si>
  <si>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</si>
  <si>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</si>
  <si>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</si>
  <si>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</si>
  <si>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</si>
  <si>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</si>
  <si>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</si>
  <si>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</si>
  <si>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</si>
  <si>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</si>
  <si>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</si>
  <si>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</si>
  <si>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</si>
  <si>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</si>
  <si>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</si>
  <si>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</si>
  <si>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</si>
  <si>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</si>
  <si>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</si>
  <si>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</si>
  <si>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</si>
  <si>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</si>
  <si>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</si>
  <si>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</si>
  <si>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</si>
  <si>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</si>
  <si>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</si>
  <si>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</si>
  <si>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</si>
  <si>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</si>
  <si>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</si>
  <si>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</si>
  <si>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</si>
  <si>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</si>
  <si>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是</t>
  </si>
  <si>
    <t>地上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</si>
</sst>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504825</xdr:colOff>
      <xdr:row>2</xdr:row>
      <xdr:rowOff>152400</xdr:rowOff>
    </xdr:from>
    <xdr:to>
      <xdr:col>12</xdr:col>
      <xdr:colOff>408644</xdr:colOff>
      <xdr:row>16</xdr:row>
      <xdr:rowOff>9243</xdr:rowOff>
    </xdr:to>
    <xdr:pic>
      <xdr:nvPicPr>
        <xdr:cNvPr id="2" name="图片 1">
          <a:extLst>
            <a:ext uri="{FF2B5EF4-FFF2-40B4-BE49-F238E27FC236}">
              <a16:creationId xmlns:a16="http://schemas.microsoft.com/office/drawing/2014/main" id="{46E99C4F-249F-D966-82D4-21038A973977}"/>
            </a:ext>
          </a:extLst>
        </xdr:cNvPr>
        <xdr:cNvPicPr>
          <a:picLocks noChangeAspect="1"/>
        </xdr:cNvPicPr>
      </xdr:nvPicPr>
      <xdr:blipFill>
        <a:blip xmlns:r="http://schemas.openxmlformats.org/officeDocument/2006/relationships" r:embed="rId1"/>
        <a:stretch>
          <a:fillRect/>
        </a:stretch>
      </xdr:blipFill>
      <xdr:spPr>
        <a:xfrm>
          <a:off x="1190625" y="495300"/>
          <a:ext cx="7447619" cy="2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估价对象为北京市房地产，为所有。根据《国有土地使用证》[]，估价对象（分摊）出让国有建设用地使用权面积为0平方米，建筑面积为174.9平方米。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估价对象为北京市房地产,属开发建设的，该项目尚在开发建设中。根据《国有土地使用证》[]，估价对象（分摊）出让国有建设用地使用权面积为0平方米，规划建筑面积为174.9平方米。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2025年6月20日</v>
      </c>
    </row>
    <row r="13" spans="1:2">
      <c r="A13" s="1119" t="s">
        <v>529</v>
      </c>
      <c r="B13" s="1120" t="str">
        <f>'预评函-1'!A18</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174.9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2499</v>
      </c>
      <c r="B1" s="2757"/>
      <c r="C1" s="2757"/>
      <c r="D1" s="2757"/>
      <c r="E1" s="2757"/>
      <c r="F1" s="2758"/>
      <c r="I1" s="3135" t="s">
        <v>2592</v>
      </c>
      <c r="J1" s="2783"/>
      <c r="K1" s="2783"/>
      <c r="L1" s="2783"/>
      <c r="M1" s="2783"/>
      <c r="N1" s="2968"/>
      <c r="O1" s="2968"/>
      <c r="P1" s="2968"/>
      <c r="Q1" s="2968"/>
      <c r="R1" s="2968"/>
    </row>
    <row r="2" spans="1:18">
      <c r="A2" s="2760"/>
      <c r="B2" s="2761"/>
      <c r="C2" s="2761"/>
      <c r="D2" s="2761"/>
      <c r="E2" s="2761"/>
      <c r="F2" s="2762"/>
      <c r="I2" s="3204" t="s">
        <v>2579</v>
      </c>
      <c r="J2" s="3204"/>
      <c r="K2" s="3204"/>
      <c r="L2" s="3204"/>
      <c r="M2" s="3204"/>
      <c r="N2" s="3204"/>
      <c r="O2" s="3204"/>
      <c r="P2" s="3204"/>
      <c r="Q2" s="3204"/>
      <c r="R2" s="3204"/>
    </row>
    <row r="3" spans="1:18">
      <c r="A3" s="2763" t="s">
        <v>2500</v>
      </c>
      <c r="B3" s="2764">
        <f>项目基本情况!D3</f>
        <v>45828</v>
      </c>
      <c r="C3" s="2766"/>
      <c r="D3" s="2766"/>
      <c r="E3" s="2766"/>
      <c r="F3" s="2762"/>
      <c r="I3" s="2778"/>
      <c r="J3" s="2778" t="s">
        <v>2583</v>
      </c>
      <c r="K3" s="2778" t="s">
        <v>2584</v>
      </c>
      <c r="L3" s="2778" t="s">
        <v>2585</v>
      </c>
      <c r="M3" s="2778" t="s">
        <v>2586</v>
      </c>
      <c r="N3" s="3136" t="s">
        <v>2587</v>
      </c>
      <c r="O3" s="3136" t="s">
        <v>2588</v>
      </c>
      <c r="P3" s="3136" t="s">
        <v>2589</v>
      </c>
      <c r="Q3" s="3136" t="s">
        <v>2590</v>
      </c>
      <c r="R3" s="3136" t="s">
        <v>2591</v>
      </c>
    </row>
    <row r="4" spans="1:18">
      <c r="A4" s="2763" t="s">
        <v>2501</v>
      </c>
      <c r="B4" s="2766" t="s">
        <v>2502</v>
      </c>
      <c r="C4" s="2766" t="s">
        <v>2503</v>
      </c>
      <c r="D4" s="2766" t="s">
        <v>2504</v>
      </c>
      <c r="E4" s="2766" t="s">
        <v>2505</v>
      </c>
      <c r="F4" s="2762"/>
      <c r="I4" s="2778" t="s">
        <v>2580</v>
      </c>
      <c r="J4" s="2778">
        <v>80</v>
      </c>
      <c r="K4" s="2778">
        <v>70</v>
      </c>
      <c r="L4" s="2778">
        <v>20</v>
      </c>
      <c r="M4" s="2778">
        <v>30</v>
      </c>
      <c r="N4" s="2766">
        <v>45</v>
      </c>
      <c r="O4" s="2766">
        <v>60</v>
      </c>
      <c r="P4" s="2766">
        <v>50</v>
      </c>
      <c r="Q4" s="2766">
        <v>20</v>
      </c>
      <c r="R4" s="2766">
        <v>375</v>
      </c>
    </row>
    <row r="5" spans="1:18">
      <c r="A5" s="2767">
        <v>40</v>
      </c>
      <c r="B5" s="2764">
        <v>46375</v>
      </c>
      <c r="C5" s="2766">
        <f>ROUNDDOWN(MIN((B5-B3)/365,A5),2)</f>
        <v>1.49</v>
      </c>
      <c r="D5" s="2768">
        <f>IF(ISERROR(ROUND(POWER(1+E5,A5-C5)*(POWER(1+E5,C5)-1)/(POWER(1+E5,A5)-1),3)),0,ROUND(POWER(1+E5,A5-C5)*(POWER(1+E5,C5)-1)/(POWER(1+E5,A5)-1),4))</f>
        <v>7.17E-2</v>
      </c>
      <c r="E5" s="2769">
        <v>0.04</v>
      </c>
      <c r="F5" s="2762"/>
      <c r="I5" s="2778" t="s">
        <v>2581</v>
      </c>
      <c r="J5" s="2778">
        <v>70</v>
      </c>
      <c r="K5" s="2778">
        <v>60</v>
      </c>
      <c r="L5" s="2778">
        <v>15</v>
      </c>
      <c r="M5" s="2778">
        <v>25</v>
      </c>
      <c r="N5" s="2766">
        <v>40</v>
      </c>
      <c r="O5" s="2766">
        <v>50</v>
      </c>
      <c r="P5" s="2766">
        <v>40</v>
      </c>
      <c r="Q5" s="2766">
        <v>15</v>
      </c>
      <c r="R5" s="2766">
        <v>315</v>
      </c>
    </row>
    <row r="6" spans="1:18">
      <c r="A6" s="2767">
        <v>50</v>
      </c>
      <c r="B6" s="2764">
        <v>50028</v>
      </c>
      <c r="C6" s="2766">
        <f>ROUNDDOWN(MIN((B6-B3)/365,A6),2)</f>
        <v>11.5</v>
      </c>
      <c r="D6" s="2768">
        <f>IF(ISERROR(ROUND(POWER(1+E6,A6-C6)*(POWER(1+E6,C6)-1)/(POWER(1+E6,A6)-1),3)),0,ROUND(POWER(1+E6,A6-C6)*(POWER(1+E6,C6)-1)/(POWER(1+E6,A6)-1),4))</f>
        <v>0.42249999999999999</v>
      </c>
      <c r="E6" s="2769">
        <v>0.04</v>
      </c>
      <c r="F6" s="2762"/>
      <c r="I6" s="2778" t="s">
        <v>2582</v>
      </c>
      <c r="J6" s="2778">
        <v>60</v>
      </c>
      <c r="K6" s="2778">
        <v>50</v>
      </c>
      <c r="L6" s="2778">
        <v>10</v>
      </c>
      <c r="M6" s="2778">
        <v>20</v>
      </c>
      <c r="N6" s="2766">
        <v>35</v>
      </c>
      <c r="O6" s="2766">
        <v>40</v>
      </c>
      <c r="P6" s="2766">
        <v>30</v>
      </c>
      <c r="Q6" s="2766">
        <v>10</v>
      </c>
      <c r="R6" s="2766">
        <v>255</v>
      </c>
    </row>
    <row r="7" spans="1:18">
      <c r="A7" s="2767">
        <v>70</v>
      </c>
      <c r="B7" s="2764">
        <v>57333</v>
      </c>
      <c r="C7" s="2766">
        <f>ROUNDDOWN(MIN((B7-B3)/365,A7),2)</f>
        <v>31.52</v>
      </c>
      <c r="D7" s="2768">
        <f>IF(ISERROR(ROUND(POWER(1+E7,A7-C7)*(POWER(1+E7,C7)-1)/(POWER(1+E7,A7)-1),3)),0,ROUND(POWER(1+E7,A7-C7)*(POWER(1+E7,C7)-1)/(POWER(1+E7,A7)-1),4))</f>
        <v>0.75819999999999999</v>
      </c>
      <c r="E7" s="2769">
        <v>0.04</v>
      </c>
      <c r="F7" s="2762"/>
    </row>
    <row r="8" spans="1:18">
      <c r="A8" s="2760"/>
      <c r="B8" s="2761"/>
      <c r="C8" s="2761"/>
      <c r="D8" s="2761"/>
      <c r="E8" s="2761"/>
      <c r="F8" s="2762"/>
    </row>
    <row r="9" spans="1:18">
      <c r="A9" s="2763" t="s">
        <v>2506</v>
      </c>
      <c r="B9" s="2766"/>
      <c r="C9" s="2766"/>
      <c r="D9" s="2766"/>
      <c r="E9" s="2766"/>
      <c r="F9" s="2770"/>
    </row>
    <row r="10" spans="1:18">
      <c r="A10" s="2763" t="s">
        <v>2507</v>
      </c>
      <c r="B10" s="2766"/>
      <c r="C10" s="2766"/>
      <c r="D10" s="2766" t="s">
        <v>2505</v>
      </c>
      <c r="E10" s="2766"/>
      <c r="F10" s="2770" t="s">
        <v>2504</v>
      </c>
    </row>
    <row r="11" spans="1:18">
      <c r="A11" s="2763" t="s">
        <v>2508</v>
      </c>
      <c r="B11" s="2771">
        <v>70</v>
      </c>
      <c r="C11" s="2766" t="s">
        <v>2509</v>
      </c>
      <c r="D11" s="2771">
        <v>4.4999999999999998E-2</v>
      </c>
      <c r="E11" s="2766" t="s">
        <v>2510</v>
      </c>
      <c r="F11" s="2772">
        <f>ROUND(1-(1/(POWER(1+D11,B11))),4)</f>
        <v>0.95409999999999995</v>
      </c>
    </row>
    <row r="12" spans="1:18">
      <c r="A12" s="2763" t="s">
        <v>2511</v>
      </c>
      <c r="B12" s="2771">
        <v>40</v>
      </c>
      <c r="C12" s="2766" t="s">
        <v>2512</v>
      </c>
      <c r="D12" s="2771">
        <v>4.4999999999999998E-2</v>
      </c>
      <c r="E12" s="2766" t="s">
        <v>2513</v>
      </c>
      <c r="F12" s="2772">
        <f>ROUND(1-(1/(POWER(1+D12,B12))),4)</f>
        <v>0.82809999999999995</v>
      </c>
    </row>
    <row r="13" spans="1:18">
      <c r="A13" s="2763" t="s">
        <v>2514</v>
      </c>
      <c r="B13" s="2766"/>
      <c r="C13" s="2766"/>
      <c r="D13" s="2761"/>
      <c r="E13" s="2761"/>
      <c r="F13" s="2762"/>
    </row>
    <row r="14" spans="1:18">
      <c r="A14" s="2763" t="s">
        <v>2515</v>
      </c>
      <c r="B14" s="2771">
        <v>5000</v>
      </c>
      <c r="C14" s="2765"/>
      <c r="D14" s="2761"/>
      <c r="E14" s="2761"/>
      <c r="F14" s="2762"/>
    </row>
    <row r="15" spans="1:18">
      <c r="A15" s="2763" t="s">
        <v>2516</v>
      </c>
      <c r="B15" s="2766">
        <f>ROUND(B14*F12/F11,2)</f>
        <v>4339.6899999999996</v>
      </c>
      <c r="C15" s="2766">
        <f>ROUND(F12/F11,4)</f>
        <v>0.8679</v>
      </c>
      <c r="D15" s="2761"/>
      <c r="E15" s="2761"/>
      <c r="F15" s="2762"/>
    </row>
    <row r="16" spans="1:18">
      <c r="A16" s="2763" t="s">
        <v>2517</v>
      </c>
      <c r="B16" s="2766"/>
      <c r="C16" s="2766"/>
      <c r="D16" s="2761"/>
      <c r="E16" s="2761"/>
      <c r="F16" s="2762"/>
    </row>
    <row r="17" spans="1:14">
      <c r="A17" s="2763" t="s">
        <v>2516</v>
      </c>
      <c r="B17" s="2771">
        <v>4810</v>
      </c>
      <c r="C17" s="2765"/>
      <c r="D17" s="2761"/>
      <c r="E17" s="2761"/>
      <c r="F17" s="2762"/>
    </row>
    <row r="18" spans="1:14" ht="14.25" thickBot="1">
      <c r="A18" s="2773" t="s">
        <v>2515</v>
      </c>
      <c r="B18" s="2774">
        <f>ROUND(B17*F11/F12,2)</f>
        <v>5541.87</v>
      </c>
      <c r="C18" s="2774">
        <f>ROUND(F11/F12,4)</f>
        <v>1.1521999999999999</v>
      </c>
      <c r="D18" s="2775"/>
      <c r="E18" s="2775"/>
      <c r="F18" s="2776"/>
    </row>
    <row r="19" spans="1:14" ht="14.25" thickBot="1"/>
    <row r="20" spans="1:14" s="2809" customFormat="1" ht="14.25" thickTop="1">
      <c r="A20" s="2806" t="s">
        <v>2518</v>
      </c>
      <c r="B20" s="2807"/>
      <c r="C20" s="2807"/>
      <c r="D20" s="2807"/>
      <c r="E20" s="2807"/>
      <c r="F20" s="2807"/>
      <c r="G20" s="2808"/>
      <c r="I20" s="2810" t="s">
        <v>2563</v>
      </c>
      <c r="J20" s="2810" t="s">
        <v>2568</v>
      </c>
      <c r="K20" s="2810"/>
      <c r="L20" s="2810"/>
      <c r="M20" s="2810"/>
    </row>
    <row r="21" spans="1:14">
      <c r="A21" s="2777"/>
      <c r="B21" s="2778" t="s">
        <v>2519</v>
      </c>
      <c r="C21" s="2778" t="s">
        <v>2520</v>
      </c>
      <c r="D21" s="2778" t="s">
        <v>2521</v>
      </c>
      <c r="E21" s="2778" t="s">
        <v>2522</v>
      </c>
      <c r="F21" s="2778" t="s">
        <v>2523</v>
      </c>
      <c r="G21" s="2779" t="s">
        <v>2524</v>
      </c>
      <c r="I21" s="2800">
        <v>5</v>
      </c>
      <c r="J21" s="2800">
        <v>54.2</v>
      </c>
    </row>
    <row r="22" spans="1:14">
      <c r="A22" s="2777" t="s">
        <v>2525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2566</v>
      </c>
      <c r="N23" s="3153" t="s">
        <v>2567</v>
      </c>
    </row>
    <row r="24" spans="1:14">
      <c r="A24" s="2777" t="s">
        <v>2527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2565</v>
      </c>
      <c r="N24" s="3153">
        <v>10</v>
      </c>
    </row>
    <row r="25" spans="1:14">
      <c r="A25" s="2777" t="s">
        <v>2528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2569</v>
      </c>
      <c r="N25" s="3153">
        <v>8</v>
      </c>
    </row>
    <row r="26" spans="1:14">
      <c r="A26" s="2782"/>
      <c r="B26" s="2783"/>
      <c r="C26" s="2783"/>
      <c r="D26" s="2783"/>
      <c r="E26" s="2783"/>
      <c r="F26" s="2783"/>
      <c r="G26" s="2784"/>
      <c r="I26" s="2800">
        <v>30</v>
      </c>
      <c r="J26" s="2800">
        <v>90.5</v>
      </c>
      <c r="K26" s="2800">
        <f t="shared" si="2"/>
        <v>4.2000000000000028</v>
      </c>
      <c r="L26" s="2800" t="s">
        <v>2570</v>
      </c>
      <c r="N26" s="3153">
        <v>5</v>
      </c>
    </row>
    <row r="27" spans="1:14">
      <c r="A27" s="2782" t="s">
        <v>2529</v>
      </c>
      <c r="B27" s="2783"/>
      <c r="C27" s="2783"/>
      <c r="D27" s="2783"/>
      <c r="E27" s="2783"/>
      <c r="F27" s="2783"/>
      <c r="G27" s="2784"/>
      <c r="I27" s="2800">
        <v>35</v>
      </c>
      <c r="J27" s="2800">
        <v>93.8</v>
      </c>
      <c r="K27" s="2800">
        <f t="shared" si="2"/>
        <v>3.2999999999999972</v>
      </c>
      <c r="L27" s="2800" t="s">
        <v>2571</v>
      </c>
      <c r="N27" s="3153">
        <v>3</v>
      </c>
    </row>
    <row r="28" spans="1:14">
      <c r="A28" s="2782" t="s">
        <v>2530</v>
      </c>
      <c r="B28" s="2783"/>
      <c r="C28" s="2783"/>
      <c r="D28" s="2783"/>
      <c r="E28" s="2783"/>
      <c r="F28" s="2783"/>
      <c r="G28" s="2784"/>
      <c r="I28" s="2800">
        <v>40</v>
      </c>
      <c r="J28" s="2800">
        <v>96.4</v>
      </c>
      <c r="K28" s="2800">
        <f t="shared" si="2"/>
        <v>2.6000000000000085</v>
      </c>
      <c r="L28" s="2800" t="s">
        <v>2572</v>
      </c>
      <c r="N28" s="3153">
        <v>2</v>
      </c>
    </row>
    <row r="29" spans="1:14">
      <c r="A29" s="2782" t="s">
        <v>2531</v>
      </c>
      <c r="B29" s="2783"/>
      <c r="C29" s="2783"/>
      <c r="D29" s="2783"/>
      <c r="E29" s="2783"/>
      <c r="F29" s="2783"/>
      <c r="G29" s="2784"/>
      <c r="I29" s="2800">
        <v>45</v>
      </c>
      <c r="J29" s="2800">
        <v>98.4</v>
      </c>
      <c r="K29" s="2800">
        <f t="shared" si="2"/>
        <v>2</v>
      </c>
    </row>
    <row r="30" spans="1:14">
      <c r="A30" s="2782" t="s">
        <v>2532</v>
      </c>
      <c r="B30" s="2783"/>
      <c r="C30" s="2783"/>
      <c r="D30" s="2783"/>
      <c r="E30" s="2783"/>
      <c r="F30" s="2783"/>
      <c r="G30" s="2784"/>
      <c r="I30" s="2800">
        <v>50</v>
      </c>
      <c r="J30" s="2800">
        <v>100</v>
      </c>
      <c r="K30" s="2800">
        <f t="shared" si="2"/>
        <v>1.5999999999999943</v>
      </c>
    </row>
    <row r="31" spans="1:14">
      <c r="A31" s="2782" t="s">
        <v>2533</v>
      </c>
      <c r="B31" s="2783"/>
      <c r="C31" s="2783"/>
      <c r="D31" s="2783"/>
      <c r="E31" s="2783"/>
      <c r="F31" s="2783"/>
      <c r="G31" s="2784"/>
      <c r="I31" s="2800" t="s">
        <v>2564</v>
      </c>
    </row>
    <row r="32" spans="1:14">
      <c r="A32" s="2782" t="s">
        <v>2534</v>
      </c>
      <c r="B32" s="2783"/>
      <c r="C32" s="2783"/>
      <c r="D32" s="2783"/>
      <c r="E32" s="2783"/>
      <c r="F32" s="2783"/>
      <c r="G32" s="2784"/>
    </row>
    <row r="33" spans="1:14">
      <c r="A33" s="2782" t="s">
        <v>2535</v>
      </c>
      <c r="B33" s="2783"/>
      <c r="C33" s="2783"/>
      <c r="D33" s="2783"/>
      <c r="E33" s="2783"/>
      <c r="F33" s="2783"/>
      <c r="G33" s="2784"/>
      <c r="I33" s="2800" t="s">
        <v>2563</v>
      </c>
      <c r="J33" s="2800" t="s">
        <v>2573</v>
      </c>
    </row>
    <row r="34" spans="1:14">
      <c r="A34" s="2782" t="s">
        <v>2536</v>
      </c>
      <c r="B34" s="2783"/>
      <c r="C34" s="2783"/>
      <c r="D34" s="2783"/>
      <c r="E34" s="2783"/>
      <c r="F34" s="2783"/>
      <c r="G34" s="2784"/>
      <c r="I34" s="2800">
        <v>5</v>
      </c>
      <c r="J34" s="2800">
        <v>55.1</v>
      </c>
    </row>
    <row r="35" spans="1:14">
      <c r="A35" s="2782" t="s">
        <v>2537</v>
      </c>
      <c r="B35" s="2783"/>
      <c r="C35" s="2783"/>
      <c r="D35" s="2783"/>
      <c r="E35" s="2783"/>
      <c r="F35" s="2783"/>
      <c r="G35" s="2784"/>
      <c r="I35" s="2800">
        <v>10</v>
      </c>
      <c r="J35" s="2800">
        <v>67</v>
      </c>
      <c r="K35" s="2800">
        <f>J35-J34</f>
        <v>11.899999999999999</v>
      </c>
    </row>
    <row r="36" spans="1:14">
      <c r="A36" s="2782" t="s">
        <v>2538</v>
      </c>
      <c r="B36" s="2783"/>
      <c r="C36" s="2783"/>
      <c r="D36" s="2783"/>
      <c r="E36" s="2783"/>
      <c r="F36" s="2783"/>
      <c r="G36" s="2784"/>
      <c r="I36" s="2800">
        <v>15</v>
      </c>
      <c r="J36" s="2800">
        <v>76.3</v>
      </c>
      <c r="K36" s="2800">
        <f t="shared" ref="K36:K41" si="3">J36-J35</f>
        <v>9.2999999999999972</v>
      </c>
      <c r="L36" s="2800" t="s">
        <v>2566</v>
      </c>
      <c r="N36" s="3153" t="s">
        <v>2567</v>
      </c>
    </row>
    <row r="37" spans="1:14">
      <c r="A37" s="2782" t="s">
        <v>2539</v>
      </c>
      <c r="B37" s="2783"/>
      <c r="C37" s="2783"/>
      <c r="D37" s="2783"/>
      <c r="E37" s="2783"/>
      <c r="F37" s="2783"/>
      <c r="G37" s="2784"/>
      <c r="I37" s="2800">
        <v>20</v>
      </c>
      <c r="J37" s="2800">
        <v>83.6</v>
      </c>
      <c r="K37" s="2800">
        <f t="shared" si="3"/>
        <v>7.2999999999999972</v>
      </c>
      <c r="L37" s="2800" t="s">
        <v>2565</v>
      </c>
      <c r="N37" s="3153">
        <v>10</v>
      </c>
    </row>
    <row r="38" spans="1:14">
      <c r="A38" s="2782" t="s">
        <v>2540</v>
      </c>
      <c r="B38" s="2783"/>
      <c r="C38" s="2783"/>
      <c r="D38" s="2783"/>
      <c r="E38" s="2783"/>
      <c r="F38" s="2783"/>
      <c r="G38" s="2784"/>
      <c r="I38" s="2800">
        <v>25</v>
      </c>
      <c r="J38" s="2800">
        <v>89.3</v>
      </c>
      <c r="K38" s="2800">
        <f t="shared" si="3"/>
        <v>5.7000000000000028</v>
      </c>
      <c r="L38" s="2800" t="s">
        <v>2569</v>
      </c>
      <c r="N38" s="3153">
        <v>8</v>
      </c>
    </row>
    <row r="39" spans="1:14">
      <c r="A39" s="2782"/>
      <c r="B39" s="2783"/>
      <c r="C39" s="2783"/>
      <c r="D39" s="2783"/>
      <c r="E39" s="2783"/>
      <c r="F39" s="2783"/>
      <c r="G39" s="2784"/>
      <c r="I39" s="2800">
        <v>30</v>
      </c>
      <c r="J39" s="2800">
        <v>93.8</v>
      </c>
      <c r="K39" s="2800">
        <f t="shared" si="3"/>
        <v>4.5</v>
      </c>
      <c r="L39" s="2800" t="s">
        <v>2570</v>
      </c>
      <c r="N39" s="3153">
        <v>6</v>
      </c>
    </row>
    <row r="40" spans="1:14">
      <c r="A40" s="2785" t="s">
        <v>2541</v>
      </c>
      <c r="B40" s="2786"/>
      <c r="C40" s="2786"/>
      <c r="D40" s="2786"/>
      <c r="E40" s="2786"/>
      <c r="F40" s="2786"/>
      <c r="G40" s="2787"/>
      <c r="I40" s="2800">
        <v>35</v>
      </c>
      <c r="J40" s="2800">
        <v>97.2</v>
      </c>
      <c r="K40" s="2800">
        <f t="shared" si="3"/>
        <v>3.4000000000000057</v>
      </c>
      <c r="L40" s="2800" t="s">
        <v>2571</v>
      </c>
      <c r="N40" s="3153">
        <v>3</v>
      </c>
    </row>
    <row r="41" spans="1:14">
      <c r="A41" s="2788" t="s">
        <v>2542</v>
      </c>
      <c r="B41" s="2789" t="s">
        <v>2543</v>
      </c>
      <c r="C41" s="2790" t="s">
        <v>2544</v>
      </c>
      <c r="D41" s="2790" t="s">
        <v>2545</v>
      </c>
      <c r="E41" s="2791"/>
      <c r="F41" s="2792"/>
      <c r="G41" s="2793"/>
      <c r="I41" s="2800">
        <v>40</v>
      </c>
      <c r="J41" s="2800">
        <v>100</v>
      </c>
      <c r="K41" s="2800">
        <f t="shared" si="3"/>
        <v>2.7999999999999972</v>
      </c>
    </row>
    <row r="42" spans="1:14">
      <c r="A42" s="2788" t="s">
        <v>2546</v>
      </c>
      <c r="B42" s="2789" t="s">
        <v>2547</v>
      </c>
      <c r="C42" s="2790" t="s">
        <v>2548</v>
      </c>
      <c r="D42" s="2794" t="s">
        <v>2549</v>
      </c>
      <c r="E42" s="2786" t="s">
        <v>2550</v>
      </c>
      <c r="F42" s="2786"/>
      <c r="G42" s="2787"/>
    </row>
    <row r="43" spans="1:14">
      <c r="A43" s="2788" t="s">
        <v>2551</v>
      </c>
      <c r="B43" s="2789" t="s">
        <v>2552</v>
      </c>
      <c r="C43" s="2790" t="s">
        <v>2553</v>
      </c>
      <c r="D43" s="2790" t="s">
        <v>2554</v>
      </c>
      <c r="E43" s="2791" t="s">
        <v>2555</v>
      </c>
      <c r="F43" s="2792"/>
      <c r="G43" s="2793"/>
      <c r="I43" s="2800" t="s">
        <v>2563</v>
      </c>
      <c r="J43" s="2800" t="s">
        <v>2574</v>
      </c>
    </row>
    <row r="44" spans="1:14">
      <c r="A44" s="2788" t="s">
        <v>2556</v>
      </c>
      <c r="B44" s="2789" t="s">
        <v>2557</v>
      </c>
      <c r="C44" s="2790" t="s">
        <v>2558</v>
      </c>
      <c r="D44" s="2794">
        <v>0.5</v>
      </c>
      <c r="E44" s="2791" t="s">
        <v>2559</v>
      </c>
      <c r="F44" s="2792"/>
      <c r="G44" s="2793"/>
      <c r="I44" s="2800">
        <v>30</v>
      </c>
      <c r="J44" s="2800">
        <v>81.7</v>
      </c>
    </row>
    <row r="45" spans="1:14" ht="14.25" thickBot="1">
      <c r="A45" s="2795" t="s">
        <v>2560</v>
      </c>
      <c r="B45" s="2796" t="s">
        <v>2547</v>
      </c>
      <c r="C45" s="2797" t="s">
        <v>2547</v>
      </c>
      <c r="D45" s="2797" t="s">
        <v>2561</v>
      </c>
      <c r="E45" s="2798" t="s">
        <v>2562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4" sqref="E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05" t="str">
        <f>IF(B10="北京市","北京市",C10)&amp;F10&amp;IF(结果表!G1="在建","出让国有建设用地使用权及在建建筑物",IF(结果表!G1="土地","出让国有建设用地使用权",))&amp;B9&amp;"预评估"</f>
        <v>北京市房地产抵押价值预评估</v>
      </c>
      <c r="C1" s="3206"/>
      <c r="D1" s="3206"/>
      <c r="E1" s="3206"/>
      <c r="F1" s="3206"/>
      <c r="G1" s="3206"/>
      <c r="H1" s="3206"/>
      <c r="I1" s="320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c r="C3" s="2186" t="s">
        <v>2170</v>
      </c>
      <c r="D3" s="2185">
        <v>45828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3411</v>
      </c>
      <c r="C8" s="2201"/>
      <c r="D8" s="3208" t="s">
        <v>2176</v>
      </c>
      <c r="E8" s="2202" t="s">
        <v>3412</v>
      </c>
      <c r="F8" s="2203"/>
      <c r="G8" s="2442"/>
      <c r="H8" s="2442"/>
      <c r="I8" s="2442"/>
      <c r="J8" s="2245"/>
      <c r="K8" s="2400"/>
      <c r="L8" s="2399"/>
      <c r="M8" s="2399"/>
      <c r="N8" s="2245"/>
      <c r="O8" s="1670"/>
      <c r="P8" s="2245"/>
      <c r="Q8" s="2245"/>
      <c r="R8" s="2245"/>
    </row>
    <row r="9" spans="1:30" ht="13.5" thickBot="1">
      <c r="A9" s="2204" t="s">
        <v>2177</v>
      </c>
      <c r="B9" s="2205" t="s">
        <v>3412</v>
      </c>
      <c r="C9" s="2206"/>
      <c r="D9" s="3209"/>
      <c r="E9" s="2205"/>
      <c r="F9" s="2207"/>
      <c r="G9" s="2443"/>
      <c r="H9" s="2443"/>
      <c r="I9" s="2443"/>
      <c r="J9" s="2245"/>
      <c r="K9" s="2402"/>
      <c r="L9" s="2399"/>
      <c r="M9" s="2399"/>
      <c r="N9" s="2245"/>
      <c r="O9" s="1670"/>
      <c r="P9" s="2245"/>
      <c r="Q9" s="2245"/>
      <c r="R9" s="2245"/>
    </row>
    <row r="10" spans="1:30" ht="13.5" thickTop="1">
      <c r="A10" s="2208" t="s">
        <v>2178</v>
      </c>
      <c r="B10" s="2209" t="s">
        <v>3413</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3414</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2575</v>
      </c>
      <c r="J12" s="2803"/>
      <c r="K12" s="2399"/>
      <c r="L12" s="2399"/>
      <c r="M12" s="2245"/>
      <c r="N12" s="1670"/>
      <c r="O12" s="2245"/>
      <c r="P12" s="2245"/>
      <c r="Q12" s="2245"/>
      <c r="AD12" s="1618"/>
    </row>
    <row r="13" spans="1:30">
      <c r="A13" s="3122" t="s">
        <v>3331</v>
      </c>
      <c r="B13" s="2218" t="s">
        <v>2189</v>
      </c>
      <c r="C13" s="803"/>
      <c r="D13" s="803"/>
      <c r="E13" s="803">
        <v>52849</v>
      </c>
      <c r="F13" s="803"/>
      <c r="G13" s="803"/>
      <c r="H13" s="803"/>
      <c r="I13" s="803"/>
      <c r="J13" s="2803"/>
      <c r="K13" s="2399"/>
      <c r="L13" s="2399"/>
      <c r="M13" s="2245"/>
      <c r="N13" s="1670"/>
      <c r="O13" s="2245"/>
      <c r="P13" s="2245"/>
      <c r="Q13" s="2245"/>
      <c r="AD13" s="1618"/>
    </row>
    <row r="14" spans="1:30">
      <c r="A14" s="1018"/>
      <c r="B14" s="2218" t="s">
        <v>2190</v>
      </c>
      <c r="C14" s="2219"/>
      <c r="D14" s="2219"/>
      <c r="E14" s="2219">
        <v>50</v>
      </c>
      <c r="F14" s="2219"/>
      <c r="G14" s="2219"/>
      <c r="H14" s="2219"/>
      <c r="I14" s="2219"/>
      <c r="J14" s="2804"/>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f>IF(A13="出让",IF(E13="","",ROUNDDOWN(MIN((E13-$D$3)/365,E14),2)),E14)</f>
        <v>19.23</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2192</v>
      </c>
      <c r="B16" s="3215"/>
      <c r="C16" s="3216"/>
      <c r="D16" s="3217"/>
      <c r="E16" s="2222" t="s">
        <v>2193</v>
      </c>
      <c r="F16" s="3218"/>
      <c r="G16" s="3219"/>
      <c r="H16" s="3219"/>
      <c r="I16" s="3220"/>
      <c r="J16" s="2245"/>
      <c r="K16" s="2403"/>
      <c r="L16" s="1670"/>
      <c r="M16" s="1670"/>
      <c r="N16" s="2245"/>
      <c r="O16" s="1670"/>
      <c r="P16" s="2245"/>
      <c r="Q16" s="2245"/>
      <c r="R16" s="2245"/>
    </row>
    <row r="17" spans="1:28">
      <c r="A17" s="305" t="s">
        <v>2194</v>
      </c>
      <c r="B17" s="294" t="s">
        <v>2195</v>
      </c>
      <c r="C17" s="8">
        <f>'数据-汇总表'!E3</f>
        <v>174.9</v>
      </c>
      <c r="D17" s="1256" t="s">
        <v>2196</v>
      </c>
      <c r="E17" s="3221" t="s">
        <v>2197</v>
      </c>
      <c r="F17" s="3222"/>
      <c r="G17" s="3222"/>
      <c r="H17" s="3222"/>
      <c r="I17" s="3223"/>
      <c r="J17" s="2245"/>
      <c r="K17" s="2404"/>
      <c r="L17" s="1670"/>
      <c r="M17" s="1670"/>
      <c r="N17" s="2245"/>
      <c r="O17" s="1670"/>
      <c r="P17" s="2245"/>
      <c r="Q17" s="2245"/>
      <c r="R17" s="2245"/>
      <c r="S17" s="2245"/>
      <c r="T17" s="2245"/>
      <c r="U17" s="2245"/>
      <c r="V17" s="2245"/>
    </row>
    <row r="18" spans="1:28" ht="24.75" thickBot="1">
      <c r="A18" s="2223" t="s">
        <v>2198</v>
      </c>
      <c r="B18" s="1027" t="s">
        <v>2199</v>
      </c>
      <c r="C18" s="2224">
        <f>'数据-汇总表'!D3</f>
        <v>0</v>
      </c>
      <c r="D18" s="1029" t="s">
        <v>2200</v>
      </c>
      <c r="E18" s="3224" t="s">
        <v>2201</v>
      </c>
      <c r="F18" s="3225"/>
      <c r="G18" s="3225"/>
      <c r="H18" s="3225"/>
      <c r="I18" s="3226"/>
      <c r="J18" s="2245"/>
      <c r="K18" s="2404"/>
      <c r="L18" s="1670"/>
      <c r="M18" s="1670"/>
      <c r="N18" s="2245"/>
      <c r="O18" s="1670"/>
      <c r="P18" s="2245"/>
      <c r="Q18" s="2245"/>
      <c r="R18" s="2245"/>
      <c r="S18" s="2245"/>
      <c r="T18" s="2245"/>
      <c r="U18" s="2245"/>
      <c r="V18" s="2245"/>
    </row>
    <row r="19" spans="1:28" ht="37.5"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11" t="s">
        <v>2205</v>
      </c>
      <c r="C20" s="3212"/>
      <c r="D20" s="3213" t="s">
        <v>2206</v>
      </c>
      <c r="E20" s="3214"/>
      <c r="F20" s="2430" t="s">
        <v>1056</v>
      </c>
      <c r="G20" s="2442"/>
      <c r="H20" s="2442"/>
      <c r="I20" s="2442"/>
      <c r="J20" s="2245"/>
      <c r="K20" s="3210"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2208</v>
      </c>
      <c r="C21" s="2296" t="s">
        <v>1057</v>
      </c>
      <c r="D21" s="1460" t="s">
        <v>2209</v>
      </c>
      <c r="E21" s="2419" t="s">
        <v>1057</v>
      </c>
      <c r="F21" s="2431"/>
      <c r="G21" s="2442"/>
      <c r="H21" s="2442"/>
      <c r="I21" s="2442"/>
      <c r="J21" s="2245"/>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2210</v>
      </c>
      <c r="C22" s="2296" t="s">
        <v>1058</v>
      </c>
      <c r="D22" s="2442"/>
      <c r="E22" s="2442"/>
      <c r="F22" s="2442"/>
      <c r="G22" s="2442"/>
      <c r="H22" s="2442"/>
      <c r="I22" s="2442"/>
      <c r="J22" s="2245"/>
      <c r="K22" s="32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8"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8"/>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8"/>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9"/>
      <c r="B30" s="294" t="s">
        <v>2217</v>
      </c>
      <c r="C30" s="3230"/>
      <c r="D30" s="3231"/>
      <c r="E30" s="2442"/>
      <c r="F30" s="2442"/>
      <c r="G30" s="2442"/>
      <c r="H30" s="2442"/>
      <c r="I30" s="2442"/>
      <c r="J30" s="2245"/>
      <c r="K30" s="2402"/>
      <c r="L30" s="2399"/>
      <c r="M30" s="2399"/>
      <c r="N30" s="2245"/>
      <c r="O30" s="1670"/>
      <c r="P30" s="2245"/>
      <c r="Q30" s="2245"/>
      <c r="R30" s="2245"/>
      <c r="S30" s="2245"/>
      <c r="T30" s="2245"/>
      <c r="U30" s="2245"/>
      <c r="V30" s="2245"/>
    </row>
    <row r="31" spans="1:28">
      <c r="A31" s="3232"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27" t="s">
        <v>2227</v>
      </c>
      <c r="T34" s="315" t="str">
        <f>NUMBERSTRING(7-K34,1)&amp;"通"</f>
        <v>七通</v>
      </c>
      <c r="U34" s="2245"/>
      <c r="V34" s="2245"/>
    </row>
    <row r="35" spans="1:30">
      <c r="A35" s="2236"/>
      <c r="B35" s="3227" t="s">
        <v>2228</v>
      </c>
      <c r="C35" s="3227"/>
      <c r="D35" s="3227"/>
      <c r="E35" s="322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7"/>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2578</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2230</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174.9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174.9</v>
      </c>
      <c r="H5" s="13">
        <f t="shared" ref="H5:AT5" si="0">SUM(H13:H656)</f>
        <v>174.9</v>
      </c>
      <c r="I5" s="13">
        <f t="shared" si="0"/>
        <v>174.9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174.9</v>
      </c>
      <c r="BA5" s="15">
        <f t="shared" si="1"/>
        <v>174.9</v>
      </c>
      <c r="BB5" s="15">
        <f t="shared" si="1"/>
        <v>174.9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3415</v>
      </c>
      <c r="E13" s="13">
        <f>IF($C$3="是",ROUND($A$3*G13/$B$3,2),ROUND($A$3*(G13-AT13)/$B$3,2))</f>
        <v>0</v>
      </c>
      <c r="F13" s="29"/>
      <c r="G13" s="30">
        <f>H13+AC13+AT13</f>
        <v>174.9</v>
      </c>
      <c r="H13" s="17">
        <f>SUMIF(I$12:AB$12,"总值",I13:AB13)</f>
        <v>174.9</v>
      </c>
      <c r="I13" s="1514">
        <v>174.9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174.9</v>
      </c>
      <c r="BA13" s="13">
        <f>SUM(BB13:BK13)</f>
        <v>174.9</v>
      </c>
      <c r="BB13" s="13">
        <f>IF($D13="是",I13-J13,0)</f>
        <v>174.9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3" t="s">
        <v>1131</v>
      </c>
      <c r="B2" s="3243"/>
      <c r="C2" s="3243"/>
      <c r="D2" s="748" t="s">
        <v>1107</v>
      </c>
      <c r="E2" s="1523" t="s">
        <v>1108</v>
      </c>
      <c r="F2" s="2439"/>
      <c r="G2" s="2432"/>
      <c r="H2" s="2433"/>
      <c r="I2" s="2146" t="s">
        <v>1132</v>
      </c>
      <c r="J2" s="2439"/>
      <c r="K2" s="2439"/>
      <c r="L2" s="2439"/>
      <c r="M2" s="2439"/>
      <c r="N2" s="2440"/>
      <c r="O2" s="2439"/>
      <c r="P2" s="2439"/>
    </row>
    <row r="3" spans="1:16" ht="15.75" thickBot="1">
      <c r="A3" s="3244" t="s">
        <v>1105</v>
      </c>
      <c r="B3" s="3244"/>
      <c r="C3" s="3244"/>
      <c r="D3" s="41">
        <f>'数据-基础表'!AY6</f>
        <v>0</v>
      </c>
      <c r="E3" s="41">
        <f>'数据-基础表'!AZ5</f>
        <v>174.9</v>
      </c>
      <c r="F3" s="2439"/>
      <c r="G3" s="42"/>
      <c r="H3" s="43" t="s">
        <v>1106</v>
      </c>
      <c r="I3" s="802" t="e">
        <f>ROUND('数据-基础表'!B3/'数据-基础表'!A3,2)</f>
        <v>#DIV/0!</v>
      </c>
      <c r="J3" s="2439"/>
      <c r="K3" s="2439"/>
      <c r="L3" s="2439"/>
      <c r="M3" s="2439"/>
      <c r="N3" s="2440"/>
      <c r="O3" s="2439"/>
      <c r="P3" s="2439"/>
    </row>
    <row r="4" spans="1:16" ht="15">
      <c r="A4" s="3245"/>
      <c r="B4" s="3246"/>
      <c r="C4" s="3247"/>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48" t="s">
        <v>1110</v>
      </c>
      <c r="C5" s="3248"/>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8" t="s">
        <v>1111</v>
      </c>
      <c r="C6" s="3248"/>
      <c r="D6" s="43">
        <f>ROUND($D$3*E6/$E$3,2)</f>
        <v>0</v>
      </c>
      <c r="E6" s="44">
        <f>E3-E5</f>
        <v>174.9</v>
      </c>
      <c r="F6" s="2439"/>
      <c r="G6" s="1529" t="s">
        <v>1112</v>
      </c>
      <c r="H6" s="45" t="s">
        <v>1113</v>
      </c>
      <c r="I6" s="2435" t="e">
        <f>ROUND(F31/D31,2)</f>
        <v>#DIV/0!</v>
      </c>
      <c r="J6" s="2439"/>
      <c r="K6" s="2439"/>
      <c r="L6" s="2439"/>
      <c r="M6" s="2439"/>
      <c r="N6" s="2439"/>
      <c r="O6" s="2439"/>
      <c r="P6" s="2439"/>
    </row>
    <row r="7" spans="1:16" ht="15.75" thickBot="1">
      <c r="A7" s="3240"/>
      <c r="B7" s="3241"/>
      <c r="C7" s="3242"/>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174.9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174.9</v>
      </c>
      <c r="F16" s="2439"/>
      <c r="G16" s="2439"/>
      <c r="H16" s="1531" t="s">
        <v>1135</v>
      </c>
      <c r="I16" s="1532"/>
      <c r="J16" s="1071"/>
      <c r="K16" s="3237" t="s">
        <v>1135</v>
      </c>
      <c r="L16" s="3238"/>
      <c r="M16" s="3238"/>
      <c r="N16" s="3238"/>
      <c r="O16" s="3238"/>
      <c r="P16" s="3239"/>
    </row>
    <row r="17" spans="1:19" ht="15">
      <c r="A17" s="1533" t="s">
        <v>1136</v>
      </c>
      <c r="B17" s="1534" t="s">
        <v>1137</v>
      </c>
      <c r="C17" s="1535" t="s">
        <v>1138</v>
      </c>
      <c r="D17" s="1536" t="s">
        <v>1126</v>
      </c>
      <c r="E17" s="1537" t="s">
        <v>1127</v>
      </c>
      <c r="F17" s="1538"/>
      <c r="G17" s="1539"/>
      <c r="H17" s="1540" t="s">
        <v>1139</v>
      </c>
      <c r="I17" s="1541" t="s">
        <v>1124</v>
      </c>
      <c r="J17" s="1071"/>
      <c r="K17" s="3234" t="s">
        <v>1140</v>
      </c>
      <c r="L17" s="3235"/>
      <c r="M17" s="3236"/>
      <c r="N17" s="3234" t="s">
        <v>1141</v>
      </c>
      <c r="O17" s="3235"/>
      <c r="P17" s="323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v>3101</v>
      </c>
      <c r="D19" s="43">
        <f>ROUND($D$3*E19/$E$3,2)</f>
        <v>0</v>
      </c>
      <c r="E19" s="51">
        <f t="shared" ref="E19:E26" si="1">SUM(F19:G19)</f>
        <v>174.9</v>
      </c>
      <c r="F19" s="2558">
        <f>'数据-基础表'!I13</f>
        <v>174.9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174.9</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174.9</v>
      </c>
      <c r="F27" s="1072">
        <f>IF(SUM(F19:F26)=E8,SUM(F19:F26),"地上面积有误")</f>
        <v>174.9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174.9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174.9</v>
      </c>
      <c r="F31" s="644">
        <f>F27+F30</f>
        <v>174.9</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45828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3101</v>
      </c>
      <c r="B6" s="1587" t="str">
        <f>IF(A6=0,"","经营性")</f>
        <v>经营性</v>
      </c>
      <c r="C6" s="1588"/>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174.9</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174.9</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2301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2299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2294</v>
      </c>
      <c r="D34" s="2460" t="s">
        <v>2300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2309</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9" t="s">
        <v>2285</v>
      </c>
      <c r="B1" s="3250"/>
      <c r="C1" s="3250"/>
      <c r="D1" s="3250"/>
      <c r="E1" s="3250"/>
      <c r="F1" s="3250"/>
      <c r="G1" s="325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6.75">
      <c r="A4" s="2248"/>
      <c r="B4" s="315" t="s">
        <v>2253</v>
      </c>
      <c r="C4" s="2269" t="s">
        <v>2254</v>
      </c>
      <c r="D4" s="2266"/>
      <c r="E4" s="2270"/>
      <c r="F4" s="1281" t="s">
        <v>2255</v>
      </c>
      <c r="G4" s="2271" t="s">
        <v>2256</v>
      </c>
      <c r="H4" s="751"/>
      <c r="I4" s="751"/>
      <c r="J4" s="751"/>
      <c r="K4" s="751"/>
      <c r="L4" s="751"/>
      <c r="M4" s="751"/>
      <c r="N4" s="751"/>
      <c r="O4" s="751"/>
      <c r="P4" s="751"/>
      <c r="Q4" s="751"/>
    </row>
    <row r="5" spans="1:29" ht="36.75">
      <c r="A5" s="2248"/>
      <c r="B5" s="315" t="s">
        <v>2257</v>
      </c>
      <c r="C5" s="2269" t="s">
        <v>2258</v>
      </c>
      <c r="D5" s="2266"/>
      <c r="E5" s="2270"/>
      <c r="F5" s="315" t="s">
        <v>2259</v>
      </c>
      <c r="G5" s="2271" t="s">
        <v>2260</v>
      </c>
      <c r="H5" s="751"/>
      <c r="I5" s="751"/>
      <c r="J5" s="751"/>
      <c r="K5" s="751"/>
      <c r="L5" s="751"/>
      <c r="M5" s="751"/>
      <c r="N5" s="751"/>
      <c r="O5" s="751"/>
      <c r="P5" s="751"/>
      <c r="Q5" s="751"/>
    </row>
    <row r="6" spans="1:29" ht="36">
      <c r="A6" s="2248"/>
      <c r="B6" s="315" t="s">
        <v>2261</v>
      </c>
      <c r="C6" s="2271" t="s">
        <v>2256</v>
      </c>
      <c r="D6" s="2266"/>
      <c r="E6" s="2270"/>
      <c r="F6" s="315" t="s">
        <v>2262</v>
      </c>
      <c r="G6" s="2271" t="s">
        <v>2263</v>
      </c>
      <c r="H6" s="751"/>
      <c r="I6" s="751"/>
      <c r="J6" s="751"/>
      <c r="K6" s="751"/>
      <c r="L6" s="751"/>
      <c r="M6" s="751"/>
      <c r="N6" s="751"/>
      <c r="O6" s="751"/>
      <c r="P6" s="751"/>
      <c r="Q6" s="751"/>
    </row>
    <row r="7" spans="1:29" ht="24.75" thickBot="1">
      <c r="A7" s="2248"/>
      <c r="B7" s="315" t="s">
        <v>2259</v>
      </c>
      <c r="C7" s="2271" t="s">
        <v>2260</v>
      </c>
      <c r="D7" s="2245"/>
      <c r="E7" s="2272"/>
      <c r="F7" s="2273" t="s">
        <v>2264</v>
      </c>
      <c r="G7" s="2274" t="s">
        <v>2265</v>
      </c>
      <c r="H7" s="751"/>
      <c r="I7" s="751"/>
      <c r="J7" s="751"/>
      <c r="K7" s="751"/>
      <c r="L7" s="751"/>
      <c r="M7" s="751"/>
      <c r="N7" s="751"/>
      <c r="O7" s="751"/>
      <c r="P7" s="751"/>
      <c r="Q7" s="751"/>
    </row>
    <row r="8" spans="1:29">
      <c r="A8" s="2248"/>
      <c r="B8" s="315" t="s">
        <v>2262</v>
      </c>
      <c r="C8" s="2271" t="s">
        <v>2263</v>
      </c>
      <c r="D8" s="2245"/>
      <c r="E8" s="2245"/>
      <c r="F8" s="121"/>
      <c r="G8" s="121"/>
      <c r="H8" s="751"/>
      <c r="I8" s="751"/>
      <c r="J8" s="751"/>
      <c r="K8" s="751"/>
      <c r="L8" s="751"/>
      <c r="M8" s="751"/>
      <c r="N8" s="751"/>
      <c r="O8" s="751"/>
      <c r="P8" s="751"/>
      <c r="Q8" s="751"/>
    </row>
    <row r="9" spans="1:29" ht="24">
      <c r="A9" s="2248"/>
      <c r="B9" s="315" t="s">
        <v>2266</v>
      </c>
      <c r="C9" s="2269" t="s">
        <v>2267</v>
      </c>
      <c r="D9" s="2266"/>
      <c r="E9" s="2245"/>
      <c r="F9" s="121"/>
      <c r="G9" s="121"/>
      <c r="H9" s="751"/>
      <c r="I9" s="751"/>
      <c r="J9" s="751"/>
      <c r="K9" s="751"/>
      <c r="L9" s="751"/>
      <c r="M9" s="751"/>
      <c r="N9" s="751"/>
      <c r="O9" s="751"/>
      <c r="P9" s="751"/>
      <c r="Q9" s="751"/>
    </row>
    <row r="10" spans="1:29" ht="15"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2286</v>
      </c>
      <c r="B13" s="2280"/>
      <c r="C13" s="2280"/>
      <c r="D13" s="2279"/>
      <c r="E13" s="2280"/>
      <c r="F13" s="2280"/>
      <c r="G13" s="2280"/>
    </row>
    <row r="14" spans="1:29" ht="15" thickBot="1">
      <c r="A14" s="2285"/>
      <c r="B14" s="2285"/>
      <c r="C14" s="2286" t="s">
        <v>2269</v>
      </c>
      <c r="D14" s="2266"/>
      <c r="E14" s="2287"/>
      <c r="F14" s="2287"/>
      <c r="G14" s="2262" t="s">
        <v>2270</v>
      </c>
    </row>
    <row r="15" spans="1:29" ht="51">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8.25">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8.25">
      <c r="A17" s="2252"/>
      <c r="B17" s="2291" t="s">
        <v>2257</v>
      </c>
      <c r="C17" s="2292" t="str">
        <f>C5</f>
        <v>估价对象位于XX商圈，周边办公楼项目较多，入驻率高，办公集聚程度较好</v>
      </c>
      <c r="D17" s="2245"/>
      <c r="E17" s="2253"/>
      <c r="F17" s="2293" t="s">
        <v>2274</v>
      </c>
      <c r="G17" s="2295"/>
    </row>
    <row r="18" spans="1:17" ht="38.25">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5.5">
      <c r="A19" s="2252"/>
      <c r="B19" s="2293" t="s">
        <v>2275</v>
      </c>
      <c r="C19" s="2295"/>
      <c r="D19" s="2266"/>
      <c r="E19" s="2253"/>
      <c r="F19" s="315" t="s">
        <v>2259</v>
      </c>
      <c r="G19" s="2294" t="str">
        <f>G5</f>
        <v>估价对象所在区域公共配套设施齐备情况</v>
      </c>
    </row>
    <row r="20" spans="1:17" ht="25.5">
      <c r="A20" s="2252"/>
      <c r="B20" s="2293" t="s">
        <v>2276</v>
      </c>
      <c r="C20" s="2292" t="str">
        <f>C9</f>
        <v>区域自然环境：；人文环境；综合评价环境状况一般</v>
      </c>
      <c r="D20" s="2245"/>
      <c r="E20" s="2253"/>
      <c r="F20" s="315" t="s">
        <v>2262</v>
      </c>
      <c r="G20" s="2294" t="str">
        <f>G6</f>
        <v>估价对象所在区域基础设施水平</v>
      </c>
    </row>
    <row r="21" spans="1:17" ht="25.5">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5"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5"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132.30000000000001</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45828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582</v>
      </c>
      <c r="C5" s="2300">
        <f ca="1">IF(B5=D14,结果表!H102,ROUND(B5*10000/$B$1,0))</f>
        <v>0</v>
      </c>
      <c r="D5" s="2300" t="e">
        <f>ROUND(B5*10000/$B$2,0)</f>
        <v>#DIV/0!</v>
      </c>
      <c r="E5" s="2462"/>
      <c r="F5" s="2463"/>
      <c r="G5" s="2463"/>
      <c r="H5" s="2463"/>
      <c r="I5" s="2463"/>
      <c r="J5" s="2463"/>
      <c r="K5" s="2463"/>
    </row>
    <row r="6" spans="1:11" ht="16.5">
      <c r="A6" s="2300" t="s">
        <v>656</v>
      </c>
      <c r="B6" s="2300">
        <f>SUM(G14:G23)</f>
        <v>582</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7"/>
      <c r="F10" s="3141" t="s">
        <v>3357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典型户型修正!B28</f>
        <v>132.30000000000001</v>
      </c>
      <c r="C14" s="2306"/>
      <c r="D14" s="2306">
        <f>ROUND(B14*E14/10000,0)</f>
        <v>582</v>
      </c>
      <c r="E14" s="2306">
        <f>典型户型修正!R24</f>
        <v>44000</v>
      </c>
      <c r="F14" s="2306" t="e">
        <f>ROUND(D14*10000/C14,0)</f>
        <v>#DIV/0!</v>
      </c>
      <c r="G14" s="2306">
        <f>D14</f>
        <v>582</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N115" sqref="N11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8" t="str">
        <f>项目基本情况!S2</f>
        <v>北京市房地产</v>
      </c>
      <c r="B2" s="3319"/>
      <c r="C2" s="3319"/>
      <c r="D2" s="3319"/>
      <c r="E2" s="3319"/>
      <c r="F2" s="3319"/>
      <c r="G2" s="3319"/>
      <c r="H2" s="3319"/>
      <c r="I2" s="3320"/>
    </row>
    <row r="3" spans="1:12" ht="12.75">
      <c r="A3" s="3322" t="s">
        <v>1264</v>
      </c>
      <c r="B3" s="3323"/>
      <c r="C3" s="3323"/>
      <c r="D3" s="3323"/>
      <c r="E3" s="3323"/>
      <c r="F3" s="3323"/>
      <c r="G3" s="3323"/>
      <c r="H3" s="3323"/>
      <c r="I3" s="3323"/>
    </row>
    <row r="4" spans="1:12" ht="14.25">
      <c r="A4" s="1624" t="s">
        <v>1265</v>
      </c>
      <c r="B4" s="1625" t="s">
        <v>1266</v>
      </c>
      <c r="C4" s="1626"/>
      <c r="D4" s="1626"/>
      <c r="E4" s="3327" t="s">
        <v>1267</v>
      </c>
      <c r="F4" s="3328"/>
      <c r="G4" s="3328"/>
      <c r="H4" s="3328"/>
      <c r="I4" s="3329"/>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66" t="s">
        <v>1268</v>
      </c>
      <c r="B5" s="3321">
        <v>25</v>
      </c>
      <c r="C5" s="3324"/>
      <c r="D5" s="3312"/>
      <c r="E5" s="123" t="s">
        <v>1269</v>
      </c>
      <c r="F5" s="1627"/>
      <c r="G5" s="1627"/>
      <c r="H5" s="1627"/>
      <c r="I5" s="1281"/>
    </row>
    <row r="6" spans="1:12" ht="12.75">
      <c r="A6" s="3266"/>
      <c r="B6" s="3321"/>
      <c r="C6" s="3326"/>
      <c r="D6" s="3312"/>
      <c r="E6" s="123" t="s">
        <v>1270</v>
      </c>
      <c r="F6" s="1627"/>
      <c r="G6" s="1627"/>
      <c r="H6" s="1627"/>
      <c r="I6" s="1281"/>
    </row>
    <row r="7" spans="1:12" ht="12.75">
      <c r="A7" s="3266"/>
      <c r="B7" s="3321"/>
      <c r="C7" s="3325"/>
      <c r="D7" s="3312"/>
      <c r="E7" s="123" t="s">
        <v>1271</v>
      </c>
      <c r="F7" s="1627"/>
      <c r="G7" s="1627"/>
      <c r="H7" s="1627"/>
      <c r="I7" s="1281"/>
    </row>
    <row r="8" spans="1:12" ht="12.75">
      <c r="A8" s="3266" t="s">
        <v>1272</v>
      </c>
      <c r="B8" s="3321">
        <v>15</v>
      </c>
      <c r="C8" s="3324"/>
      <c r="D8" s="3312"/>
      <c r="E8" s="123" t="s">
        <v>1273</v>
      </c>
      <c r="F8" s="1627"/>
      <c r="G8" s="1627"/>
      <c r="H8" s="1627"/>
      <c r="I8" s="1281"/>
    </row>
    <row r="9" spans="1:12" ht="12.75">
      <c r="A9" s="3266"/>
      <c r="B9" s="3321"/>
      <c r="C9" s="3325"/>
      <c r="D9" s="3312"/>
      <c r="E9" s="123" t="s">
        <v>1274</v>
      </c>
      <c r="F9" s="1627"/>
      <c r="G9" s="1627"/>
      <c r="H9" s="1627"/>
      <c r="I9" s="1281"/>
    </row>
    <row r="10" spans="1:12" ht="12.75">
      <c r="A10" s="3266" t="s">
        <v>1275</v>
      </c>
      <c r="B10" s="3321">
        <v>15</v>
      </c>
      <c r="C10" s="3324"/>
      <c r="D10" s="3312"/>
      <c r="E10" s="123" t="s">
        <v>1276</v>
      </c>
      <c r="F10" s="1627"/>
      <c r="G10" s="1627"/>
      <c r="H10" s="1627"/>
      <c r="I10" s="1281"/>
    </row>
    <row r="11" spans="1:12" ht="12.75">
      <c r="A11" s="3266"/>
      <c r="B11" s="3321"/>
      <c r="C11" s="3325"/>
      <c r="D11" s="3312"/>
      <c r="E11" s="123" t="s">
        <v>1277</v>
      </c>
      <c r="F11" s="1627"/>
      <c r="G11" s="1627"/>
      <c r="H11" s="1627"/>
      <c r="I11" s="1281"/>
    </row>
    <row r="12" spans="1:12" ht="12.75">
      <c r="A12" s="3266" t="s">
        <v>1278</v>
      </c>
      <c r="B12" s="3321">
        <v>15</v>
      </c>
      <c r="C12" s="3324"/>
      <c r="D12" s="3312"/>
      <c r="E12" s="123" t="s">
        <v>1279</v>
      </c>
      <c r="F12" s="1627"/>
      <c r="G12" s="1627"/>
      <c r="H12" s="1627"/>
      <c r="I12" s="1281"/>
    </row>
    <row r="13" spans="1:12" ht="12.75">
      <c r="A13" s="3266"/>
      <c r="B13" s="3321"/>
      <c r="C13" s="3325"/>
      <c r="D13" s="3312"/>
      <c r="E13" s="123" t="s">
        <v>1280</v>
      </c>
      <c r="F13" s="1627"/>
      <c r="G13" s="1627"/>
      <c r="H13" s="1627"/>
      <c r="I13" s="1281"/>
    </row>
    <row r="14" spans="1:12" ht="12.75">
      <c r="A14" s="3266" t="s">
        <v>1281</v>
      </c>
      <c r="B14" s="3321">
        <v>30</v>
      </c>
      <c r="C14" s="3324"/>
      <c r="D14" s="3312"/>
      <c r="E14" s="123" t="s">
        <v>1282</v>
      </c>
      <c r="F14" s="1627"/>
      <c r="G14" s="1627"/>
      <c r="H14" s="1627"/>
      <c r="I14" s="1281"/>
    </row>
    <row r="15" spans="1:12" ht="12.75">
      <c r="A15" s="3266"/>
      <c r="B15" s="3321"/>
      <c r="C15" s="3326"/>
      <c r="D15" s="3312"/>
      <c r="E15" s="123" t="s">
        <v>1283</v>
      </c>
      <c r="F15" s="1627"/>
      <c r="G15" s="1627"/>
      <c r="H15" s="1627"/>
      <c r="I15" s="1281"/>
    </row>
    <row r="16" spans="1:12" ht="12.75">
      <c r="A16" s="3266"/>
      <c r="B16" s="3321"/>
      <c r="C16" s="3325"/>
      <c r="D16" s="3312"/>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43" t="s">
        <v>2130</v>
      </c>
      <c r="F18" s="3344"/>
      <c r="G18" s="3344"/>
      <c r="H18" s="3344"/>
      <c r="I18" s="3344"/>
      <c r="K18" s="294" t="s">
        <v>1289</v>
      </c>
      <c r="L18" s="294">
        <f>IF(C1="",'数据-汇总表'!E3,SUMIF(项目类型,C1,'数据-汇总表'!E17:E26)+SUMIF(项目类型,C1,'数据-汇总表'!I17:I26))</f>
        <v>174.9</v>
      </c>
      <c r="M18" s="294">
        <f>IF(C1="",'数据-汇总表'!E3,SUMIF(项目类型,C1,'数据-汇总表'!E17:E26))</f>
        <v>174.9</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36" t="s">
        <v>1299</v>
      </c>
      <c r="B24" s="1631" t="s">
        <v>1291</v>
      </c>
      <c r="C24" s="128">
        <f>IF(B30=0,0,D30)</f>
        <v>0</v>
      </c>
      <c r="D24" s="1637"/>
      <c r="E24" s="121"/>
      <c r="F24" s="121"/>
      <c r="G24" s="121"/>
      <c r="H24" s="121"/>
      <c r="I24" s="121"/>
    </row>
    <row r="25" spans="1:36" ht="14.25">
      <c r="A25" s="333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13" t="s">
        <v>1312</v>
      </c>
      <c r="B36" s="1652" t="s">
        <v>1313</v>
      </c>
      <c r="C36" s="137"/>
      <c r="D36" s="1653"/>
      <c r="E36" s="1567"/>
      <c r="F36" s="1654"/>
      <c r="G36" s="121"/>
      <c r="H36" s="121"/>
      <c r="I36" s="121"/>
    </row>
    <row r="37" spans="1:15" ht="15.75" thickBot="1">
      <c r="A37" s="3314"/>
      <c r="B37" s="1555" t="s">
        <v>1314</v>
      </c>
      <c r="C37" s="139"/>
      <c r="D37" s="1071"/>
      <c r="E37" s="1071"/>
      <c r="F37" s="1654"/>
      <c r="G37" s="121"/>
      <c r="H37" s="121"/>
      <c r="I37" s="121"/>
    </row>
    <row r="38" spans="1:15" ht="15.75" thickBot="1">
      <c r="A38" s="331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3" t="s">
        <v>1326</v>
      </c>
      <c r="B45" s="3334"/>
      <c r="C45" s="3335"/>
      <c r="D45" s="147" t="e">
        <f ca="1">ROUND(H101*F45,0)</f>
        <v>#REF!</v>
      </c>
      <c r="E45" s="148" t="s">
        <v>1327</v>
      </c>
      <c r="F45" s="149">
        <v>1</v>
      </c>
      <c r="G45" s="150" t="s">
        <v>1328</v>
      </c>
      <c r="H45" s="121"/>
      <c r="I45" s="121"/>
      <c r="J45" s="3253" t="s">
        <v>1329</v>
      </c>
      <c r="K45" s="3253"/>
      <c r="L45" s="3253"/>
      <c r="M45" s="3253"/>
      <c r="N45" s="3253"/>
      <c r="O45" s="3253"/>
    </row>
    <row r="46" spans="1:15" ht="14.25" customHeight="1">
      <c r="A46" s="3330" t="s">
        <v>1330</v>
      </c>
      <c r="B46" s="3331"/>
      <c r="C46" s="3331"/>
      <c r="D46" s="3331"/>
      <c r="E46" s="3331"/>
      <c r="F46" s="3331"/>
      <c r="G46" s="3332"/>
      <c r="H46" s="1668"/>
      <c r="I46" s="151"/>
      <c r="J46" s="2310">
        <v>1</v>
      </c>
      <c r="K46" s="3254" t="s">
        <v>1331</v>
      </c>
      <c r="L46" s="3254"/>
      <c r="M46" s="3255"/>
      <c r="N46" s="3255"/>
      <c r="O46" s="3255"/>
    </row>
    <row r="47" spans="1:15" ht="12" customHeight="1">
      <c r="A47" s="152" t="s">
        <v>1332</v>
      </c>
      <c r="B47" s="153"/>
      <c r="C47" s="154"/>
      <c r="D47" s="1024" t="s">
        <v>1333</v>
      </c>
      <c r="E47" s="294" t="s">
        <v>1334</v>
      </c>
      <c r="F47" s="155" t="s">
        <v>1335</v>
      </c>
      <c r="G47" s="2333" t="s">
        <v>1336</v>
      </c>
      <c r="H47" s="2334"/>
      <c r="I47" s="151"/>
      <c r="J47" s="2310">
        <v>2</v>
      </c>
      <c r="K47" s="3254" t="s">
        <v>1337</v>
      </c>
      <c r="L47" s="3254"/>
      <c r="M47" s="3256">
        <f>'数据-取费表'!B2</f>
        <v>45828</v>
      </c>
      <c r="N47" s="3256"/>
      <c r="O47" s="3256"/>
    </row>
    <row r="48" spans="1:15" ht="25.5">
      <c r="A48" s="3316" t="s">
        <v>1338</v>
      </c>
      <c r="B48" s="3317"/>
      <c r="C48" s="3317"/>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254" t="s">
        <v>1340</v>
      </c>
      <c r="L48" s="3254"/>
      <c r="M48" s="3257" t="e">
        <f ca="1">H101</f>
        <v>#REF!</v>
      </c>
      <c r="N48" s="3257"/>
      <c r="O48" s="3257"/>
    </row>
    <row r="49" spans="1:35" ht="25.5" customHeight="1">
      <c r="A49" s="2152" t="s">
        <v>1341</v>
      </c>
      <c r="B49" s="3302" t="s">
        <v>1342</v>
      </c>
      <c r="C49" s="3302"/>
      <c r="D49" s="1478">
        <v>0</v>
      </c>
      <c r="E49" s="316" t="s">
        <v>1343</v>
      </c>
      <c r="F49" s="2233" t="s">
        <v>28</v>
      </c>
      <c r="G49" s="3285"/>
      <c r="H49" s="2134" t="s">
        <v>2133</v>
      </c>
      <c r="I49" s="2135"/>
      <c r="J49" s="2310">
        <v>4</v>
      </c>
      <c r="K49" s="3254" t="str">
        <f>IF(项目基本情况!E8="房地产抵押价值","房地产抵押价值","抵押担保权已注销时的房地产抵押价值")</f>
        <v>房地产抵押价值</v>
      </c>
      <c r="L49" s="3254"/>
      <c r="M49" s="3257" t="str">
        <f ca="1">IF(项目基本情况!E8="房地产抵押价值",H107,H109)</f>
        <v>——</v>
      </c>
      <c r="N49" s="3257"/>
      <c r="O49" s="3257"/>
    </row>
    <row r="50" spans="1:35" ht="25.5" customHeight="1">
      <c r="A50" s="2338"/>
      <c r="B50" s="3302" t="s">
        <v>1344</v>
      </c>
      <c r="C50" s="3302"/>
      <c r="D50" s="2189"/>
      <c r="E50" s="323"/>
      <c r="F50" s="2233"/>
      <c r="G50" s="3286"/>
      <c r="H50" s="2136" t="s">
        <v>2134</v>
      </c>
      <c r="I50" s="2135"/>
      <c r="J50" s="3253" t="s">
        <v>1345</v>
      </c>
      <c r="K50" s="3253"/>
      <c r="L50" s="3253"/>
      <c r="M50" s="3253"/>
      <c r="N50" s="3253"/>
      <c r="O50" s="3253"/>
    </row>
    <row r="51" spans="1:35" ht="20.45" customHeight="1">
      <c r="A51" s="2339"/>
      <c r="B51" s="3302" t="s">
        <v>1346</v>
      </c>
      <c r="C51" s="3302"/>
      <c r="D51" s="1024"/>
      <c r="E51" s="319"/>
      <c r="F51" s="2233"/>
      <c r="G51" s="3287"/>
      <c r="H51" s="2136" t="s">
        <v>2135</v>
      </c>
      <c r="I51" s="2135"/>
      <c r="J51" s="2311" t="s">
        <v>1347</v>
      </c>
      <c r="K51" s="3254" t="s">
        <v>1348</v>
      </c>
      <c r="L51" s="3254"/>
      <c r="M51" s="2311" t="s">
        <v>1349</v>
      </c>
      <c r="N51" s="2311" t="s">
        <v>1350</v>
      </c>
      <c r="O51" s="2311" t="s">
        <v>1351</v>
      </c>
    </row>
    <row r="52" spans="1:35" ht="24" customHeight="1">
      <c r="A52" s="2153" t="s">
        <v>1352</v>
      </c>
      <c r="B52" s="3302" t="s">
        <v>1353</v>
      </c>
      <c r="C52" s="3302"/>
      <c r="D52" s="1024" t="e">
        <f ca="1">ROUND(D45*'数据-取费表'!B41/(1+'数据-取费表'!C42),0)</f>
        <v>#REF!</v>
      </c>
      <c r="E52" s="1256" t="s">
        <v>1354</v>
      </c>
      <c r="F52" s="2340">
        <f>'数据-取费表'!B41</f>
        <v>0</v>
      </c>
      <c r="G52" s="2341"/>
      <c r="H52" s="2331"/>
      <c r="I52" s="1669"/>
      <c r="J52" s="2310">
        <v>1</v>
      </c>
      <c r="K52" s="3279" t="s">
        <v>1355</v>
      </c>
      <c r="L52" s="3279"/>
      <c r="M52" s="2312" t="b">
        <f>D48</f>
        <v>0</v>
      </c>
      <c r="N52" s="2310" t="str">
        <f>E48</f>
        <v>销售额×税（费）率</v>
      </c>
      <c r="O52" s="2313">
        <f>F48</f>
        <v>0</v>
      </c>
    </row>
    <row r="53" spans="1:35" ht="12" customHeight="1">
      <c r="A53" s="2153" t="s">
        <v>1356</v>
      </c>
      <c r="B53" s="3303" t="s">
        <v>2290</v>
      </c>
      <c r="C53" s="3304"/>
      <c r="D53" s="1024" t="e">
        <f ca="1">ROUND(D45*'数据-取费表'!B41/(1+'数据-取费表'!C42),0)</f>
        <v>#REF!</v>
      </c>
      <c r="E53" s="1256" t="s">
        <v>1354</v>
      </c>
      <c r="F53" s="2340">
        <f>'数据-取费表'!B41</f>
        <v>0</v>
      </c>
      <c r="G53" s="2341"/>
      <c r="H53" s="2331"/>
      <c r="I53" s="1669"/>
      <c r="J53" s="2310">
        <v>2</v>
      </c>
      <c r="K53" s="3279" t="s">
        <v>1357</v>
      </c>
      <c r="L53" s="3279"/>
      <c r="M53" s="2312" t="e">
        <f t="shared" ref="M53:O54" ca="1" si="0">D55</f>
        <v>#REF!</v>
      </c>
      <c r="N53" s="2310" t="str">
        <f t="shared" si="0"/>
        <v>销售额×税（费）率</v>
      </c>
      <c r="O53" s="2313" t="str">
        <f t="shared" si="0"/>
        <v>免征</v>
      </c>
    </row>
    <row r="54" spans="1:35" ht="12" customHeight="1">
      <c r="A54" s="2153" t="s">
        <v>1358</v>
      </c>
      <c r="B54" s="3303" t="s">
        <v>2291</v>
      </c>
      <c r="C54" s="3304"/>
      <c r="D54" s="1024" t="e">
        <f ca="1">C68</f>
        <v>#REF!</v>
      </c>
      <c r="E54" s="319" t="s">
        <v>1359</v>
      </c>
      <c r="F54" s="2340">
        <f>'数据-取费表'!B41</f>
        <v>0</v>
      </c>
      <c r="G54" s="2341"/>
      <c r="H54" s="2342"/>
      <c r="I54" s="1669"/>
      <c r="J54" s="2310">
        <v>3</v>
      </c>
      <c r="K54" s="3279" t="s">
        <v>1360</v>
      </c>
      <c r="L54" s="3279"/>
      <c r="M54" s="2312" t="e">
        <f t="shared" ca="1" si="0"/>
        <v>#REF!</v>
      </c>
      <c r="N54" s="2310" t="str">
        <f t="shared" si="0"/>
        <v>增值额×税（费）率</v>
      </c>
      <c r="O54" s="2314" t="str">
        <f t="shared" si="0"/>
        <v>免征</v>
      </c>
    </row>
    <row r="55" spans="1:35" ht="24" customHeight="1">
      <c r="A55" s="3339" t="s">
        <v>1361</v>
      </c>
      <c r="B55" s="3317"/>
      <c r="C55" s="3317"/>
      <c r="D55" s="12" t="e">
        <f ca="1">IF(H55="个人住宅",0,ROUND(D45*I55,0))</f>
        <v>#REF!</v>
      </c>
      <c r="E55" s="1256" t="s">
        <v>1362</v>
      </c>
      <c r="F55" s="2340" t="str">
        <f>IF(H55="正常",I55,"免征")</f>
        <v>免征</v>
      </c>
      <c r="G55" s="2341"/>
      <c r="H55" s="2337"/>
      <c r="I55" s="157">
        <f>'数据-取费表'!B49</f>
        <v>0</v>
      </c>
      <c r="J55" s="2310">
        <f>IF(H59="非个人房产","",4)</f>
        <v>4</v>
      </c>
      <c r="K55" s="3279" t="str">
        <f>IF(H59="非个人房产","——","个人所得税")</f>
        <v>个人所得税</v>
      </c>
      <c r="L55" s="3279"/>
      <c r="M55" s="2315" t="e">
        <f ca="1">D59</f>
        <v>#REF!</v>
      </c>
      <c r="N55" s="1883" t="str">
        <f>E59</f>
        <v>差额计税</v>
      </c>
      <c r="O55" s="2316">
        <f>F59</f>
        <v>0.01</v>
      </c>
    </row>
    <row r="56" spans="1:35" ht="24.75">
      <c r="A56" s="3339" t="s">
        <v>1363</v>
      </c>
      <c r="B56" s="3317"/>
      <c r="C56" s="3317"/>
      <c r="D56" s="12" t="e">
        <f ca="1">IF(H56="个人住宅",D57,D58)</f>
        <v>#REF!</v>
      </c>
      <c r="E56" s="1256" t="s">
        <v>1364</v>
      </c>
      <c r="F56" s="2340" t="str">
        <f>IF(H56="正常",F58,"免征")</f>
        <v>免征</v>
      </c>
      <c r="G56" s="2343" t="s">
        <v>1365</v>
      </c>
      <c r="H56" s="2344"/>
      <c r="I56" s="1670"/>
      <c r="J56" s="2310" t="str">
        <f>IF(项目基本情况!K6="上海银行",IF(J55="",4,J55+1),"")</f>
        <v/>
      </c>
      <c r="K56" s="3260" t="str">
        <f>IF(项目基本情况!K6="上海银行","其他处置费用","")</f>
        <v/>
      </c>
      <c r="L56" s="3261"/>
      <c r="M56" s="2312" t="str">
        <f>IF(项目基本情况!K6="上海银行",M69,"")</f>
        <v/>
      </c>
      <c r="N56" s="3260" t="str">
        <f>IF(项目基本情况!K6="上海银行","包含处置中涉及的律师、诉讼、拍卖、评估等费用","")</f>
        <v/>
      </c>
      <c r="O56" s="3263"/>
    </row>
    <row r="57" spans="1:35" ht="12.75">
      <c r="A57" s="2153" t="s">
        <v>1341</v>
      </c>
      <c r="B57" s="3303" t="s">
        <v>1366</v>
      </c>
      <c r="C57" s="3304"/>
      <c r="D57" s="1478">
        <v>0</v>
      </c>
      <c r="E57" s="316" t="s">
        <v>1343</v>
      </c>
      <c r="F57" s="294"/>
      <c r="G57" s="2341"/>
      <c r="H57" s="2345"/>
      <c r="I57" s="1670"/>
      <c r="J57" s="3279">
        <f>IF(AND(J55="",J56=""),4,IF(项目基本情况!K6="上海银行",结果表!J56+1,结果表!J55+1))</f>
        <v>5</v>
      </c>
      <c r="K57" s="3279" t="s">
        <v>1367</v>
      </c>
      <c r="L57" s="2317" t="s">
        <v>1368</v>
      </c>
      <c r="M57" s="2318"/>
      <c r="N57" s="2319">
        <f ca="1">SUMIF(M52:M56,"&lt;9e307")</f>
        <v>0</v>
      </c>
      <c r="O57" s="2320"/>
      <c r="P57" s="2465" t="e">
        <f ca="1">N57/M49</f>
        <v>#VALUE!</v>
      </c>
    </row>
    <row r="58" spans="1:35" ht="24.75">
      <c r="A58" s="2153" t="s">
        <v>1352</v>
      </c>
      <c r="B58" s="3303" t="s">
        <v>1369</v>
      </c>
      <c r="C58" s="3302"/>
      <c r="D58" s="12" t="e">
        <f ca="1">IF(H58="转让取得",C81,C97)</f>
        <v>#REF!</v>
      </c>
      <c r="E58" s="1256" t="s">
        <v>1364</v>
      </c>
      <c r="F58" s="294" t="s">
        <v>28</v>
      </c>
      <c r="G58" s="2341"/>
      <c r="H58" s="2344"/>
      <c r="I58" s="1670"/>
      <c r="J58" s="3279"/>
      <c r="K58" s="3279"/>
      <c r="L58" s="2317" t="s">
        <v>1370</v>
      </c>
      <c r="M58" s="2321"/>
      <c r="N58" s="2322" t="str">
        <f ca="1">NUMBERSTRING(INT(N57*10000),2)&amp;"元整"</f>
        <v>零元整</v>
      </c>
      <c r="O58" s="2323"/>
    </row>
    <row r="59" spans="1:35" ht="24.75" thickBot="1">
      <c r="A59" s="3283" t="s">
        <v>1371</v>
      </c>
      <c r="B59" s="3284"/>
      <c r="C59" s="3284"/>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281">
        <f>J57+1</f>
        <v>6</v>
      </c>
      <c r="K59" s="3279" t="s">
        <v>1372</v>
      </c>
      <c r="L59" s="2310" t="s">
        <v>1368</v>
      </c>
      <c r="M59" s="2324"/>
      <c r="N59" s="2325" t="e">
        <f ca="1">M49-N57</f>
        <v>#VALUE!</v>
      </c>
      <c r="O59" s="2326"/>
    </row>
    <row r="60" spans="1:35" ht="12" customHeight="1">
      <c r="A60" s="1671"/>
      <c r="B60" s="646"/>
      <c r="C60" s="646"/>
      <c r="D60" s="646"/>
      <c r="E60" s="1466"/>
      <c r="F60" s="1670"/>
      <c r="G60" s="1670"/>
      <c r="H60" s="151"/>
      <c r="I60" s="121"/>
      <c r="J60" s="3282"/>
      <c r="K60" s="3279"/>
      <c r="L60" s="2317" t="s">
        <v>1370</v>
      </c>
      <c r="M60" s="2321"/>
      <c r="N60" s="2322" t="e">
        <f ca="1">NUMBERSTRING(INT(N59*10000),2)&amp;"元整"</f>
        <v>#VALUE!</v>
      </c>
      <c r="O60" s="2323"/>
    </row>
    <row r="61" spans="1:35" ht="13.5" thickBot="1">
      <c r="A61" s="3338" t="s">
        <v>1373</v>
      </c>
      <c r="B61" s="3338"/>
      <c r="C61" s="3338"/>
      <c r="D61" s="3338"/>
      <c r="E61" s="3338"/>
      <c r="F61" s="1670"/>
      <c r="G61" s="1670"/>
      <c r="H61" s="151"/>
      <c r="I61" s="121"/>
      <c r="J61" s="2310">
        <f>J59+1</f>
        <v>7</v>
      </c>
      <c r="K61" s="3279" t="s">
        <v>1374</v>
      </c>
      <c r="L61" s="3279"/>
      <c r="M61" s="2327"/>
      <c r="N61" s="2328" t="e">
        <f ca="1">ROUND(N59*10000/'数据-汇总表'!E3,0)</f>
        <v>#VALUE!</v>
      </c>
      <c r="O61" s="2329"/>
    </row>
    <row r="62" spans="1:35" ht="12.75">
      <c r="A62" s="3298" t="s">
        <v>1375</v>
      </c>
      <c r="B62" s="3299"/>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62"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262"/>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262"/>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262"/>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62"/>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262"/>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262"/>
      <c r="K69" s="1245" t="s">
        <v>1393</v>
      </c>
      <c r="L69" s="1245"/>
      <c r="M69" s="294" t="e">
        <f ca="1">ROUND(SUM(M63:M68),0)</f>
        <v>#VALUE!</v>
      </c>
      <c r="N69" s="2332" t="e">
        <f ca="1">M69/M49</f>
        <v>#VALUE!</v>
      </c>
      <c r="Z69" s="1623"/>
      <c r="AI69" s="1561"/>
    </row>
    <row r="70" spans="1:35" s="642" customFormat="1" ht="15"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8" t="s">
        <v>1375</v>
      </c>
      <c r="B71" s="329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3" t="s">
        <v>1402</v>
      </c>
      <c r="F76" s="3302"/>
      <c r="G76" s="3302"/>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95" t="s">
        <v>1406</v>
      </c>
      <c r="F78" s="3296"/>
      <c r="G78" s="3296"/>
      <c r="H78" s="329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8" t="s">
        <v>1375</v>
      </c>
      <c r="B84" s="329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64" t="s">
        <v>2128</v>
      </c>
      <c r="H90" s="3265"/>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5" t="s">
        <v>1419</v>
      </c>
      <c r="F91" s="3296"/>
      <c r="G91" s="329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5" t="s">
        <v>1422</v>
      </c>
      <c r="F92" s="3296"/>
      <c r="G92" s="3296"/>
      <c r="H92" s="3297"/>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95" t="s">
        <v>1406</v>
      </c>
      <c r="F93" s="3296"/>
      <c r="G93" s="3296"/>
      <c r="H93" s="329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0" t="s">
        <v>1426</v>
      </c>
      <c r="F94" s="3341"/>
      <c r="G94" s="3341"/>
      <c r="H94" s="334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80"/>
      <c r="E100" s="3246" t="s">
        <v>1429</v>
      </c>
      <c r="F100" s="3246"/>
      <c r="G100" s="3246"/>
      <c r="H100" s="3280"/>
      <c r="I100" s="121"/>
    </row>
    <row r="101" spans="1:35" ht="18.75" customHeight="1">
      <c r="A101" s="3288" t="s">
        <v>1430</v>
      </c>
      <c r="B101" s="3289"/>
      <c r="C101" s="2371">
        <f>C4</f>
        <v>0</v>
      </c>
      <c r="D101" s="2372">
        <f>D4</f>
        <v>0</v>
      </c>
      <c r="E101" s="3258" t="s">
        <v>1431</v>
      </c>
      <c r="F101" s="3259"/>
      <c r="G101" s="1687" t="s">
        <v>1432</v>
      </c>
      <c r="H101" s="2381" t="e">
        <f ca="1">H118</f>
        <v>#REF!</v>
      </c>
      <c r="I101" s="121"/>
    </row>
    <row r="102" spans="1:35" ht="18.75" customHeight="1">
      <c r="A102" s="3290" t="s">
        <v>1433</v>
      </c>
      <c r="B102" s="2370" t="s">
        <v>1432</v>
      </c>
      <c r="C102" s="2371" t="e">
        <f ca="1">IF(D32="楼面单价",ROUND(C19,0),C19)</f>
        <v>#REF!</v>
      </c>
      <c r="D102" s="2372" t="e">
        <f ca="1">IF(D32="楼面单价",ROUND(D19,0),D19)</f>
        <v>#REF!</v>
      </c>
      <c r="E102" s="3258"/>
      <c r="F102" s="3259"/>
      <c r="G102" s="1687" t="s">
        <v>1434</v>
      </c>
      <c r="H102" s="2341" t="e">
        <f ca="1">I118</f>
        <v>#REF!</v>
      </c>
      <c r="I102" s="121"/>
    </row>
    <row r="103" spans="1:35" ht="42.75" customHeight="1">
      <c r="A103" s="3290"/>
      <c r="B103" s="2370" t="s">
        <v>1434</v>
      </c>
      <c r="C103" s="2373" t="e">
        <f ca="1">C20</f>
        <v>#REF!</v>
      </c>
      <c r="D103" s="2374" t="e">
        <f ca="1">D20</f>
        <v>#REF!</v>
      </c>
      <c r="E103" s="3251" t="s">
        <v>1435</v>
      </c>
      <c r="F103" s="3252"/>
      <c r="G103" s="1688" t="s">
        <v>1436</v>
      </c>
      <c r="H103" s="2381">
        <f>IF(D36="正常操作",H104+H105+H106,H105+H106)</f>
        <v>0</v>
      </c>
      <c r="I103" s="121"/>
    </row>
    <row r="104" spans="1:35" ht="18.75" customHeight="1">
      <c r="A104" s="3290"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0"/>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1" t="str">
        <f>IF(项目基本情况!E8="已注销","——","3.房地产抵押价值")</f>
        <v>3.房地产抵押价值</v>
      </c>
      <c r="F107" s="3259"/>
      <c r="G107" s="1687" t="s">
        <v>1432</v>
      </c>
      <c r="H107" s="2381" t="e">
        <f ca="1">IF(E107="——","——",H101-H103)</f>
        <v>#REF!</v>
      </c>
      <c r="I107" s="121"/>
    </row>
    <row r="108" spans="1:35" ht="18.75" customHeight="1">
      <c r="A108" s="121"/>
      <c r="B108" s="121"/>
      <c r="C108" s="121"/>
      <c r="D108" s="121"/>
      <c r="E108" s="3291"/>
      <c r="F108" s="3259"/>
      <c r="G108" s="1687" t="s">
        <v>1434</v>
      </c>
      <c r="H108" s="2341">
        <f ca="1">IF(H107=H101,H102,ROUND(H107*10000/'数据-汇总表'!E3,0))</f>
        <v>0</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59"/>
      <c r="G109" s="1687" t="s">
        <v>1432</v>
      </c>
      <c r="H109" s="2384" t="str">
        <f>IF(E109="——","——",H101-H105-H106)</f>
        <v>——</v>
      </c>
      <c r="I109" s="121"/>
    </row>
    <row r="110" spans="1:35" ht="18.75" customHeight="1">
      <c r="A110" s="121"/>
      <c r="B110" s="121"/>
      <c r="C110" s="121"/>
      <c r="D110" s="121"/>
      <c r="E110" s="3291"/>
      <c r="F110" s="3259"/>
      <c r="G110" s="1687" t="s">
        <v>1434</v>
      </c>
      <c r="H110" s="2341" t="str">
        <f>IF(H109="——","——",ROUND(H109*10000/'数据-汇总表'!E3,0))</f>
        <v>——</v>
      </c>
      <c r="I110" s="121"/>
    </row>
    <row r="111" spans="1:35" ht="18.75" customHeight="1">
      <c r="A111" s="121"/>
      <c r="B111" s="121"/>
      <c r="C111" s="121"/>
      <c r="D111" s="121"/>
      <c r="E111" s="3292" t="str">
        <f>IF(项目基本情况!E9="抵押净值",IF(OR(项目基本情况!E8="已注销",项目基本情况!E8="房地产抵押价值"),"4.抵押净值","5.抵押净值"),"——")</f>
        <v>——</v>
      </c>
      <c r="F111" s="3278"/>
      <c r="G111" s="1687" t="s">
        <v>1432</v>
      </c>
      <c r="H111" s="2381" t="str">
        <f>IF(E111="——","——",N59)</f>
        <v>——</v>
      </c>
      <c r="I111" s="121"/>
    </row>
    <row r="112" spans="1:35" ht="18.75" customHeight="1" thickBot="1">
      <c r="A112" s="121"/>
      <c r="B112" s="121"/>
      <c r="C112" s="121"/>
      <c r="D112" s="121"/>
      <c r="E112" s="3293"/>
      <c r="F112" s="3294"/>
      <c r="G112" s="1690" t="s">
        <v>1434</v>
      </c>
      <c r="H112" s="2385" t="str">
        <f>IF(E111="——","——",N61)</f>
        <v>——</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6" t="s">
        <v>1443</v>
      </c>
      <c r="B116" s="3270" t="s">
        <v>1444</v>
      </c>
      <c r="C116" s="3270" t="s">
        <v>1445</v>
      </c>
      <c r="D116" s="3276" t="s">
        <v>1446</v>
      </c>
      <c r="E116" s="3277"/>
      <c r="F116" s="3308" t="s">
        <v>1447</v>
      </c>
      <c r="G116" s="3308"/>
      <c r="H116" s="3266" t="s">
        <v>1448</v>
      </c>
      <c r="I116" s="3266"/>
    </row>
    <row r="117" spans="1:27" ht="18.75" customHeight="1">
      <c r="A117" s="3266"/>
      <c r="B117" s="3271"/>
      <c r="C117" s="327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174.9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6" t="s">
        <v>1452</v>
      </c>
      <c r="B119" s="3266"/>
      <c r="C119" s="3266"/>
      <c r="D119" s="3272" t="e">
        <f ca="1">NUMBERSTRING(INT(D118*10000),2)&amp;"元整"</f>
        <v>#REF!</v>
      </c>
      <c r="E119" s="3273"/>
      <c r="F119" s="3272" t="e">
        <f ca="1">NUMBERSTRING(INT(F118*10000),2)&amp;"元整"</f>
        <v>#REF!</v>
      </c>
      <c r="G119" s="3273"/>
      <c r="H119" s="3272" t="e">
        <f ca="1">NUMBERSTRING(INT(H118*10000),2)&amp;"元整"</f>
        <v>#REF!</v>
      </c>
      <c r="I119" s="3273"/>
    </row>
    <row r="120" spans="1:27" ht="18.75" customHeight="1">
      <c r="A120" s="3267" t="str">
        <f>IF(项目基本情况!B9="房地产市场价值","",MID(E103,3,LEN(E103)-2))</f>
        <v>估价师知悉的法定优先受偿款</v>
      </c>
      <c r="B120" s="3268"/>
      <c r="C120" s="3269"/>
      <c r="D120" s="3267">
        <f>H103</f>
        <v>0</v>
      </c>
      <c r="E120" s="3268"/>
      <c r="F120" s="3268"/>
      <c r="G120" s="3268"/>
      <c r="H120" s="3268"/>
      <c r="I120" s="326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2" t="s">
        <v>1452</v>
      </c>
      <c r="B121" s="3274"/>
      <c r="C121" s="3273"/>
      <c r="D121" s="3272" t="str">
        <f>IF(D120=0,"零元整",NUMBERSTRING(INT(D120*10000),2)&amp;"元整")</f>
        <v>零元整</v>
      </c>
      <c r="E121" s="3274"/>
      <c r="F121" s="3274"/>
      <c r="G121" s="3274"/>
      <c r="H121" s="3274"/>
      <c r="I121" s="3273"/>
      <c r="AA121" s="684"/>
    </row>
    <row r="122" spans="1:27" ht="18.75" customHeight="1">
      <c r="A122" s="3278" t="str">
        <f>IF(项目基本情况!B9="房地产市场价值","",MID(E107,3,LEN(E107)-2))</f>
        <v>房地产抵押价值</v>
      </c>
      <c r="B122" s="3278"/>
      <c r="C122" s="3278"/>
      <c r="D122" s="3267" t="e">
        <f ca="1">H107</f>
        <v>#REF!</v>
      </c>
      <c r="E122" s="3268"/>
      <c r="F122" s="3268"/>
      <c r="G122" s="3268"/>
      <c r="H122" s="3268"/>
      <c r="I122" s="3269"/>
      <c r="AA122" s="684"/>
    </row>
    <row r="123" spans="1:27" ht="18.75" customHeight="1">
      <c r="A123" s="3266" t="s">
        <v>1452</v>
      </c>
      <c r="B123" s="3266"/>
      <c r="C123" s="3266"/>
      <c r="D123" s="3272" t="e">
        <f ca="1">NUMBERSTRING(INT(D122*10000),2)&amp;"元整"</f>
        <v>#REF!</v>
      </c>
      <c r="E123" s="3274"/>
      <c r="F123" s="3274"/>
      <c r="G123" s="3274"/>
      <c r="H123" s="3274"/>
      <c r="I123" s="3273"/>
      <c r="AA123" s="684"/>
    </row>
    <row r="124" spans="1:27" ht="18.75" customHeight="1">
      <c r="A124" s="3278" t="str">
        <f>IF(项目基本情况!B9="房地产市场价值","",MID(E109,3,LEN(E109)-2))</f>
        <v/>
      </c>
      <c r="B124" s="3278"/>
      <c r="C124" s="3278"/>
      <c r="D124" s="3267" t="str">
        <f>H109</f>
        <v>——</v>
      </c>
      <c r="E124" s="3268"/>
      <c r="F124" s="3268"/>
      <c r="G124" s="3268"/>
      <c r="H124" s="3268"/>
      <c r="I124" s="3269"/>
      <c r="AA124" s="684"/>
    </row>
    <row r="125" spans="1:27" ht="18.75" customHeight="1">
      <c r="A125" s="3266" t="s">
        <v>1452</v>
      </c>
      <c r="B125" s="3266"/>
      <c r="C125" s="3266"/>
      <c r="D125" s="3272" t="e">
        <f>NUMBERSTRING(INT(D124*10000),2)&amp;"元整"</f>
        <v>#VALUE!</v>
      </c>
      <c r="E125" s="3274"/>
      <c r="F125" s="3274"/>
      <c r="G125" s="3274"/>
      <c r="H125" s="3274"/>
      <c r="I125" s="3273"/>
      <c r="AA125" s="684"/>
    </row>
    <row r="126" spans="1:27" ht="18.75" customHeight="1">
      <c r="A126" s="3278" t="str">
        <f>IF(项目基本情况!B9="房地产市场价值","",MID(E111,3,LEN(E111)-2))</f>
        <v/>
      </c>
      <c r="B126" s="3278"/>
      <c r="C126" s="3278"/>
      <c r="D126" s="3267" t="str">
        <f>H111</f>
        <v>——</v>
      </c>
      <c r="E126" s="3268"/>
      <c r="F126" s="3268"/>
      <c r="G126" s="3268"/>
      <c r="H126" s="3268"/>
      <c r="I126" s="3269"/>
      <c r="AA126" s="684"/>
    </row>
    <row r="127" spans="1:27" ht="18.75" customHeight="1">
      <c r="A127" s="3266" t="s">
        <v>1452</v>
      </c>
      <c r="B127" s="3266"/>
      <c r="C127" s="3266"/>
      <c r="D127" s="3272" t="e">
        <f>NUMBERSTRING(INT(D126*10000),2)&amp;"元整"</f>
        <v>#VALUE!</v>
      </c>
      <c r="E127" s="3274"/>
      <c r="F127" s="3274"/>
      <c r="G127" s="3274"/>
      <c r="H127" s="3274"/>
      <c r="I127" s="3273"/>
      <c r="AA127" s="684"/>
    </row>
    <row r="128" spans="1:27" ht="21.75" customHeight="1">
      <c r="A128" s="3275" t="s">
        <v>1453</v>
      </c>
      <c r="B128" s="3275"/>
      <c r="C128" s="3275"/>
      <c r="D128" s="3275"/>
      <c r="E128" s="3275"/>
      <c r="F128" s="3275"/>
      <c r="G128" s="3275"/>
      <c r="H128" s="3275"/>
      <c r="I128" s="327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457E6-D08D-48D0-9207-0ADECD63E4B6}">
  <dimension ref="A1"/>
  <sheetViews>
    <sheetView workbookViewId="0">
      <selection activeCell="L41" sqref="L41"/>
    </sheetView>
  </sheetViews>
  <sheetFormatPr defaultRowHeight="13.5"/>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北京市房地产抵押价值预评估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174.9</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174.9</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174.9</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5" t="s">
        <v>1544</v>
      </c>
    </row>
    <row r="43" spans="1:7" ht="13.5" customHeight="1">
      <c r="A43" s="734" t="s">
        <v>347</v>
      </c>
      <c r="B43" s="207" t="s">
        <v>1545</v>
      </c>
      <c r="C43" s="230" t="e">
        <f ca="1">ROUND(IF('数据-取费表'!B22&lt;=1,C39*F22*'数据-取费表'!B21/2,C39*(POWER((1+F22),'数据-取费表'!B21/2)-1)),0)</f>
        <v>#VALUE!</v>
      </c>
      <c r="D43" s="230"/>
      <c r="E43" s="230"/>
      <c r="F43" s="231"/>
      <c r="G43" s="3346"/>
    </row>
    <row r="44" spans="1:7" ht="13.5" customHeight="1">
      <c r="A44" s="734" t="s">
        <v>348</v>
      </c>
      <c r="B44" s="207" t="s">
        <v>1546</v>
      </c>
      <c r="C44" s="230" t="e">
        <f ca="1">ROUND(IF('数据-取费表'!B22&lt;=1,C40*F22*'数据-取费表'!B21/2,C40*(POWER((1+F22),'数据-取费表'!B21/2)-1)),4)</f>
        <v>#VALUE!</v>
      </c>
      <c r="D44" s="230"/>
      <c r="E44" s="230"/>
      <c r="F44" s="231"/>
      <c r="G44" s="334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174.9</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174.9</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174.9</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5" t="s">
        <v>1591</v>
      </c>
    </row>
    <row r="43" spans="1:7" ht="13.5" customHeight="1">
      <c r="A43" s="734" t="s">
        <v>347</v>
      </c>
      <c r="B43" s="207" t="s">
        <v>1545</v>
      </c>
      <c r="C43" s="230" t="e">
        <f ca="1">ROUND(IF('数据-取费表'!B22&lt;=1,C39*F22*'数据-取费表'!B20/2,C39*(POWER((1+F22),'数据-取费表'!B20/2)-1)),0)</f>
        <v>#VALUE!</v>
      </c>
      <c r="D43" s="230"/>
      <c r="E43" s="230"/>
      <c r="F43" s="231"/>
      <c r="G43" s="3346"/>
    </row>
    <row r="44" spans="1:7" ht="13.5" customHeight="1">
      <c r="A44" s="734" t="s">
        <v>348</v>
      </c>
      <c r="B44" s="207" t="s">
        <v>1546</v>
      </c>
      <c r="C44" s="230" t="e">
        <f ca="1">ROUND(IF('数据-取费表'!B22&lt;=1,C40*F22*'数据-取费表'!B20/2,C40*(POWER((1+F22),'数据-取费表'!B20/2)-1)),4)</f>
        <v>#VALUE!</v>
      </c>
      <c r="D44" s="230"/>
      <c r="E44" s="230"/>
      <c r="F44" s="231"/>
      <c r="G44" s="334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174.9</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174.9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174.9</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0" t="s">
        <v>694</v>
      </c>
      <c r="C6" s="1011">
        <f ca="1">ROUND(F6*F8*F7*(1-F9)/10000,0)</f>
        <v>0</v>
      </c>
      <c r="D6" s="147" t="s">
        <v>2108</v>
      </c>
      <c r="E6" s="294" t="s">
        <v>696</v>
      </c>
      <c r="F6" s="295">
        <f ca="1">INDIRECT("'数据-取费表'!u"&amp;$G$1)</f>
        <v>0</v>
      </c>
      <c r="G6" s="1292"/>
      <c r="H6" s="1006" t="s">
        <v>398</v>
      </c>
      <c r="I6" s="3350" t="s">
        <v>694</v>
      </c>
      <c r="J6" s="293">
        <f ca="1">ROUND(M6*M8*M7*(1-M9)/10000,0)</f>
        <v>0</v>
      </c>
      <c r="K6" s="147" t="s">
        <v>2107</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0" t="s">
        <v>694</v>
      </c>
      <c r="C6" s="1011">
        <f ca="1">ROUND(F6*F8*F7*(1-F9),0)</f>
        <v>0</v>
      </c>
      <c r="D6" s="147" t="s">
        <v>2105</v>
      </c>
      <c r="E6" s="294" t="s">
        <v>696</v>
      </c>
      <c r="F6" s="295">
        <f ca="1">INDIRECT("'数据-取费表'!u"&amp;$G$1)</f>
        <v>0</v>
      </c>
      <c r="G6" s="1292"/>
      <c r="H6" s="1006" t="s">
        <v>398</v>
      </c>
      <c r="I6" s="3350" t="s">
        <v>694</v>
      </c>
      <c r="J6" s="293">
        <f ca="1">ROUND(M6*M8*M7*(1-M9),0)</f>
        <v>0</v>
      </c>
      <c r="K6" s="1284" t="s">
        <v>2106</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#VALUE!</v>
      </c>
      <c r="D45" s="3131" t="s">
        <v>3352</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2434</v>
      </c>
      <c r="B1" s="2584"/>
      <c r="C1" s="2596"/>
      <c r="D1" s="2596"/>
      <c r="E1" s="2585"/>
      <c r="F1" s="2586"/>
      <c r="G1" s="2587"/>
      <c r="J1" s="2590" t="s">
        <v>2313</v>
      </c>
      <c r="K1" s="2591"/>
      <c r="L1" s="2591"/>
      <c r="M1" s="2591"/>
      <c r="N1" s="2591"/>
      <c r="O1" s="2591"/>
      <c r="P1" s="2591"/>
      <c r="Q1" s="2591"/>
      <c r="R1" s="2592"/>
      <c r="S1" s="2593"/>
      <c r="T1" s="2593"/>
      <c r="U1" s="2593"/>
    </row>
    <row r="2" spans="1:22" s="2605" customFormat="1" ht="13.15" customHeight="1">
      <c r="A2" s="1293" t="s">
        <v>2314</v>
      </c>
      <c r="B2" s="2595" t="e">
        <f>IF(D2="——",C40,C40+E2)</f>
        <v>#DIV/0!</v>
      </c>
      <c r="C2" s="2596" t="s">
        <v>2315</v>
      </c>
      <c r="D2" s="3139" t="s">
        <v>3358</v>
      </c>
      <c r="E2" s="3140"/>
      <c r="F2" s="2598"/>
      <c r="G2" s="2599"/>
      <c r="H2" s="2600"/>
      <c r="I2" s="2601"/>
      <c r="J2" s="3353" t="s">
        <v>2316</v>
      </c>
      <c r="K2" s="3354"/>
      <c r="L2" s="2602" t="s">
        <v>2317</v>
      </c>
      <c r="M2" s="2602" t="s">
        <v>2318</v>
      </c>
      <c r="N2" s="2602" t="s">
        <v>2319</v>
      </c>
      <c r="O2" s="2602" t="s">
        <v>2320</v>
      </c>
      <c r="P2" s="2602" t="s">
        <v>2321</v>
      </c>
      <c r="Q2" s="2603" t="s">
        <v>2322</v>
      </c>
      <c r="R2" s="2604" t="s">
        <v>2323</v>
      </c>
      <c r="S2" s="2593"/>
      <c r="T2" s="2593"/>
      <c r="U2" s="2593"/>
      <c r="V2" s="2601"/>
    </row>
    <row r="3" spans="1:22" s="2605" customFormat="1" ht="13.15" customHeight="1">
      <c r="A3" s="2606" t="s">
        <v>2324</v>
      </c>
      <c r="B3" s="2607" t="e">
        <f>ROUND(B2*10000/B4,0)</f>
        <v>#DIV/0!</v>
      </c>
      <c r="C3" s="2596" t="s">
        <v>2325</v>
      </c>
      <c r="D3" s="2596"/>
      <c r="E3" s="2597"/>
      <c r="F3" s="2598"/>
      <c r="G3" s="2599"/>
      <c r="H3" s="2600"/>
      <c r="I3" s="2601"/>
      <c r="J3" s="3355" t="s">
        <v>2326</v>
      </c>
      <c r="K3" s="3356"/>
      <c r="L3" s="2608"/>
      <c r="M3" s="2608"/>
      <c r="N3" s="2608"/>
      <c r="O3" s="2608"/>
      <c r="P3" s="2608"/>
      <c r="Q3" s="2609"/>
      <c r="R3" s="2610">
        <f>SUM(L3:Q3)</f>
        <v>0</v>
      </c>
      <c r="S3" s="2593"/>
      <c r="T3" s="2593"/>
      <c r="U3" s="2593"/>
      <c r="V3" s="2601"/>
    </row>
    <row r="4" spans="1:22" s="2605" customFormat="1" ht="13.15" customHeight="1">
      <c r="A4" s="2611" t="s">
        <v>2327</v>
      </c>
      <c r="B4" s="2612"/>
      <c r="C4" s="2596"/>
      <c r="D4" s="2596"/>
      <c r="E4" s="2597"/>
      <c r="F4" s="2598"/>
      <c r="G4" s="2599"/>
      <c r="H4" s="2600"/>
      <c r="I4" s="2601"/>
      <c r="J4" s="3355" t="s">
        <v>2328</v>
      </c>
      <c r="K4" s="3356"/>
      <c r="L4" s="2613"/>
      <c r="M4" s="2613"/>
      <c r="N4" s="2613"/>
      <c r="O4" s="2613"/>
      <c r="P4" s="2613"/>
      <c r="Q4" s="2614"/>
      <c r="R4" s="2615">
        <f>SUM(L4:Q4)</f>
        <v>0</v>
      </c>
      <c r="S4" s="2593"/>
      <c r="T4" s="2593"/>
      <c r="U4" s="2593"/>
      <c r="V4" s="2601"/>
    </row>
    <row r="5" spans="1:22" s="2605" customFormat="1" ht="13.15" customHeight="1" thickBot="1">
      <c r="A5" s="2616" t="s">
        <v>2329</v>
      </c>
      <c r="B5" s="2617"/>
      <c r="C5" s="2596"/>
      <c r="D5" s="2618"/>
      <c r="E5" s="2598"/>
      <c r="F5" s="2598"/>
      <c r="G5" s="2599"/>
      <c r="H5" s="2600"/>
      <c r="I5" s="2601"/>
      <c r="J5" s="2619" t="s">
        <v>2330</v>
      </c>
      <c r="K5" s="2620"/>
      <c r="L5" s="2620"/>
      <c r="M5" s="2621"/>
      <c r="N5" s="2621"/>
      <c r="O5" s="2621"/>
      <c r="P5" s="2621"/>
      <c r="Q5" s="2621"/>
      <c r="R5" s="2604">
        <f>SUM(R14,R19,R24,R25,R27,R28)</f>
        <v>0</v>
      </c>
      <c r="S5" s="2593"/>
      <c r="T5" s="2593" t="s">
        <v>2331</v>
      </c>
      <c r="U5" s="2593" t="e">
        <f>ROUND(R5*10000/365/R3,1)</f>
        <v>#DIV/0!</v>
      </c>
      <c r="V5" s="2601"/>
    </row>
    <row r="6" spans="1:22" s="2605" customFormat="1" ht="13.15" customHeight="1" thickBot="1">
      <c r="A6" s="3357" t="s">
        <v>2332</v>
      </c>
      <c r="B6" s="3358"/>
      <c r="C6" s="3359"/>
      <c r="D6" s="2622"/>
      <c r="E6" s="2623"/>
      <c r="F6" s="2624"/>
      <c r="G6" s="2625"/>
      <c r="H6" s="2600"/>
      <c r="I6" s="2601"/>
      <c r="J6" s="3360">
        <v>1</v>
      </c>
      <c r="K6" s="3361" t="s">
        <v>2333</v>
      </c>
      <c r="L6" s="2626" t="s">
        <v>2334</v>
      </c>
      <c r="M6" s="2627" t="s">
        <v>2335</v>
      </c>
      <c r="N6" s="2627" t="s">
        <v>2336</v>
      </c>
      <c r="O6" s="2627" t="s">
        <v>2337</v>
      </c>
      <c r="P6" s="2627" t="s">
        <v>2338</v>
      </c>
      <c r="Q6" s="2627" t="s">
        <v>2339</v>
      </c>
      <c r="R6" s="2610" t="s">
        <v>2340</v>
      </c>
      <c r="S6" s="2593"/>
      <c r="T6" s="2593" t="s">
        <v>2341</v>
      </c>
      <c r="U6" s="2593"/>
      <c r="V6" s="2601"/>
    </row>
    <row r="7" spans="1:22" s="2605" customFormat="1" ht="13.15" customHeight="1">
      <c r="A7" s="2628" t="s">
        <v>2342</v>
      </c>
      <c r="B7" s="2629"/>
      <c r="C7" s="2630"/>
      <c r="D7" s="2631">
        <f>SUM(D9,D10,D11,D17,0)</f>
        <v>0</v>
      </c>
      <c r="E7" s="2632" t="e">
        <f>E9+E10+E11+E17</f>
        <v>#DIV/0!</v>
      </c>
      <c r="F7" s="2633"/>
      <c r="G7" s="2634"/>
      <c r="H7" s="2600"/>
      <c r="I7" s="2601"/>
      <c r="J7" s="3360"/>
      <c r="K7" s="3362"/>
      <c r="L7" s="2635" t="s">
        <v>2343</v>
      </c>
      <c r="M7" s="2636"/>
      <c r="N7" s="2612"/>
      <c r="O7" s="2637"/>
      <c r="P7" s="2637"/>
      <c r="Q7" s="2638">
        <v>365</v>
      </c>
      <c r="R7" s="2639">
        <f>ROUND(M7*N7*O7*P7*Q7/10000,0)</f>
        <v>0</v>
      </c>
      <c r="S7" s="2593"/>
      <c r="T7" s="2593" t="s">
        <v>2344</v>
      </c>
      <c r="U7" s="2593"/>
      <c r="V7" s="2601"/>
    </row>
    <row r="8" spans="1:22" s="2605" customFormat="1" ht="13.15" customHeight="1">
      <c r="A8" s="2640" t="s">
        <v>2345</v>
      </c>
      <c r="B8" s="3364" t="s">
        <v>2346</v>
      </c>
      <c r="C8" s="3365"/>
      <c r="D8" s="2641" t="s">
        <v>2347</v>
      </c>
      <c r="E8" s="2642" t="s">
        <v>2348</v>
      </c>
      <c r="F8" s="2643" t="s">
        <v>2349</v>
      </c>
      <c r="G8" s="2644"/>
      <c r="H8" s="2600"/>
      <c r="I8" s="2601"/>
      <c r="J8" s="3360"/>
      <c r="K8" s="3362"/>
      <c r="L8" s="2635" t="s">
        <v>2350</v>
      </c>
      <c r="M8" s="2636"/>
      <c r="N8" s="2612"/>
      <c r="O8" s="2637"/>
      <c r="P8" s="2637"/>
      <c r="Q8" s="2638">
        <v>365</v>
      </c>
      <c r="R8" s="2639">
        <f t="shared" ref="R8:R13" si="0">ROUND(M8*N8*O8*P8*Q8/10000,0)</f>
        <v>0</v>
      </c>
      <c r="S8" s="2593"/>
      <c r="T8" s="2593" t="s">
        <v>2351</v>
      </c>
      <c r="U8" s="2593"/>
      <c r="V8" s="2601"/>
    </row>
    <row r="9" spans="1:22" s="2605" customFormat="1" ht="13.15" customHeight="1">
      <c r="A9" s="2640">
        <v>1</v>
      </c>
      <c r="B9" s="3364" t="s">
        <v>2352</v>
      </c>
      <c r="C9" s="3365"/>
      <c r="D9" s="2641">
        <f>ROUND(D6*E9,0)</f>
        <v>0</v>
      </c>
      <c r="E9" s="2645"/>
      <c r="F9" s="2646" t="s">
        <v>2353</v>
      </c>
      <c r="G9" s="2625"/>
      <c r="H9" s="2600"/>
      <c r="I9" s="2601"/>
      <c r="J9" s="3360"/>
      <c r="K9" s="3362"/>
      <c r="L9" s="2635" t="s">
        <v>2354</v>
      </c>
      <c r="M9" s="2636"/>
      <c r="N9" s="2612"/>
      <c r="O9" s="2637"/>
      <c r="P9" s="2637"/>
      <c r="Q9" s="2638">
        <v>365</v>
      </c>
      <c r="R9" s="2639">
        <f t="shared" si="0"/>
        <v>0</v>
      </c>
      <c r="S9" s="2593"/>
      <c r="T9" s="2593"/>
      <c r="U9" s="2593"/>
      <c r="V9" s="2601"/>
    </row>
    <row r="10" spans="1:22" s="2605" customFormat="1" ht="13.15" customHeight="1">
      <c r="A10" s="2640">
        <v>2</v>
      </c>
      <c r="B10" s="3364" t="s">
        <v>2355</v>
      </c>
      <c r="C10" s="3365"/>
      <c r="D10" s="2641">
        <f>ROUND(D6*E10,0)</f>
        <v>0</v>
      </c>
      <c r="E10" s="2645"/>
      <c r="F10" s="2646" t="s">
        <v>2356</v>
      </c>
      <c r="G10" s="2625"/>
      <c r="H10" s="2600"/>
      <c r="I10" s="2601"/>
      <c r="J10" s="3360"/>
      <c r="K10" s="3362"/>
      <c r="L10" s="2635" t="s">
        <v>2357</v>
      </c>
      <c r="M10" s="2636"/>
      <c r="N10" s="2612"/>
      <c r="O10" s="2637"/>
      <c r="P10" s="2637"/>
      <c r="Q10" s="2638">
        <v>365</v>
      </c>
      <c r="R10" s="2639">
        <f t="shared" si="0"/>
        <v>0</v>
      </c>
      <c r="S10" s="2593"/>
      <c r="T10" s="2593"/>
      <c r="U10" s="2593"/>
      <c r="V10" s="2601"/>
    </row>
    <row r="11" spans="1:22" s="2605" customFormat="1" ht="13.15" customHeight="1">
      <c r="A11" s="2640">
        <v>3</v>
      </c>
      <c r="B11" s="3364" t="s">
        <v>2358</v>
      </c>
      <c r="C11" s="3365"/>
      <c r="D11" s="2641">
        <f>D12+D14+D15+D16</f>
        <v>0</v>
      </c>
      <c r="E11" s="2647" t="e">
        <f>D11/D6</f>
        <v>#DIV/0!</v>
      </c>
      <c r="F11" s="2643"/>
      <c r="G11" s="2644"/>
      <c r="H11" s="2600"/>
      <c r="I11" s="2601"/>
      <c r="J11" s="3360"/>
      <c r="K11" s="3362"/>
      <c r="L11" s="2635" t="s">
        <v>2359</v>
      </c>
      <c r="M11" s="2636"/>
      <c r="N11" s="2612"/>
      <c r="O11" s="2637"/>
      <c r="P11" s="2637"/>
      <c r="Q11" s="2638">
        <v>365</v>
      </c>
      <c r="R11" s="2639">
        <f t="shared" si="0"/>
        <v>0</v>
      </c>
      <c r="S11" s="2593"/>
      <c r="T11" s="2593"/>
      <c r="U11" s="2593"/>
      <c r="V11" s="2601"/>
    </row>
    <row r="12" spans="1:22" s="2605" customFormat="1" ht="13.15" customHeight="1">
      <c r="A12" s="2648" t="s">
        <v>2360</v>
      </c>
      <c r="B12" s="3366" t="s">
        <v>2361</v>
      </c>
      <c r="C12" s="3367"/>
      <c r="D12" s="2649">
        <f>ROUND(D13*1.2%*(1-30%),0)</f>
        <v>0</v>
      </c>
      <c r="E12" s="2650">
        <v>1.2E-2</v>
      </c>
      <c r="F12" s="2643" t="s">
        <v>2362</v>
      </c>
      <c r="G12" s="2644"/>
      <c r="H12" s="2600"/>
      <c r="I12" s="2601"/>
      <c r="J12" s="3360"/>
      <c r="K12" s="3362"/>
      <c r="L12" s="2635" t="s">
        <v>2363</v>
      </c>
      <c r="M12" s="2636"/>
      <c r="N12" s="2612"/>
      <c r="O12" s="2637"/>
      <c r="P12" s="2637"/>
      <c r="Q12" s="2638">
        <v>365</v>
      </c>
      <c r="R12" s="2639">
        <f t="shared" si="0"/>
        <v>0</v>
      </c>
      <c r="S12" s="2593"/>
      <c r="T12" s="2593"/>
      <c r="U12" s="2593"/>
      <c r="V12" s="2601"/>
    </row>
    <row r="13" spans="1:22" s="2605" customFormat="1" ht="13.15" customHeight="1">
      <c r="A13" s="2648"/>
      <c r="B13" s="2651"/>
      <c r="C13" s="2652" t="s">
        <v>2364</v>
      </c>
      <c r="D13" s="2653"/>
      <c r="E13" s="2654"/>
      <c r="F13" s="2643"/>
      <c r="G13" s="2644"/>
      <c r="H13" s="2600"/>
      <c r="I13" s="2601"/>
      <c r="J13" s="3360"/>
      <c r="K13" s="3362"/>
      <c r="L13" s="2635" t="s">
        <v>2365</v>
      </c>
      <c r="M13" s="2636"/>
      <c r="N13" s="2612"/>
      <c r="O13" s="2637"/>
      <c r="P13" s="2637"/>
      <c r="Q13" s="2638">
        <v>365</v>
      </c>
      <c r="R13" s="2639">
        <f t="shared" si="0"/>
        <v>0</v>
      </c>
      <c r="S13" s="2593"/>
      <c r="T13" s="2593"/>
      <c r="U13" s="2593"/>
      <c r="V13" s="2601"/>
    </row>
    <row r="14" spans="1:22" s="2605" customFormat="1" ht="13.15" customHeight="1">
      <c r="A14" s="2648" t="s">
        <v>2366</v>
      </c>
      <c r="B14" s="3366" t="s">
        <v>2367</v>
      </c>
      <c r="C14" s="3367"/>
      <c r="D14" s="2649">
        <f>ROUND(E14*B5/10000,0)</f>
        <v>0</v>
      </c>
      <c r="E14" s="2638"/>
      <c r="F14" s="2643" t="s">
        <v>2368</v>
      </c>
      <c r="G14" s="2644"/>
      <c r="H14" s="2600"/>
      <c r="I14" s="2601"/>
      <c r="J14" s="3360"/>
      <c r="K14" s="3363"/>
      <c r="L14" s="2655" t="s">
        <v>2369</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2370</v>
      </c>
      <c r="B15" s="3366" t="s">
        <v>2371</v>
      </c>
      <c r="C15" s="3367"/>
      <c r="D15" s="2649">
        <f>ROUND(D6*E15,0)</f>
        <v>0</v>
      </c>
      <c r="E15" s="2650">
        <v>5.5E-2</v>
      </c>
      <c r="F15" s="2643" t="s">
        <v>2372</v>
      </c>
      <c r="G15" s="2625"/>
      <c r="H15" s="2600"/>
      <c r="I15" s="2601"/>
      <c r="J15" s="3360">
        <v>2</v>
      </c>
      <c r="K15" s="3361" t="s">
        <v>2373</v>
      </c>
      <c r="L15" s="2635" t="s">
        <v>2374</v>
      </c>
      <c r="M15" s="2636" t="s">
        <v>2375</v>
      </c>
      <c r="N15" s="2636" t="s">
        <v>2376</v>
      </c>
      <c r="O15" s="2637" t="s">
        <v>2377</v>
      </c>
      <c r="P15" s="2637" t="s">
        <v>2339</v>
      </c>
      <c r="Q15" s="2612" t="s">
        <v>2378</v>
      </c>
      <c r="R15" s="2659" t="s">
        <v>2340</v>
      </c>
      <c r="S15" s="2593"/>
      <c r="T15" s="2593"/>
      <c r="U15" s="2593"/>
      <c r="V15" s="2601"/>
    </row>
    <row r="16" spans="1:22" s="2605" customFormat="1" ht="13.15" customHeight="1">
      <c r="A16" s="2648" t="s">
        <v>2379</v>
      </c>
      <c r="B16" s="3366" t="s">
        <v>2380</v>
      </c>
      <c r="C16" s="3367"/>
      <c r="D16" s="2660">
        <f>D6*E16</f>
        <v>0</v>
      </c>
      <c r="E16" s="2661"/>
      <c r="F16" s="2646" t="s">
        <v>2381</v>
      </c>
      <c r="G16" s="2625"/>
      <c r="H16" s="2600"/>
      <c r="I16" s="2601"/>
      <c r="J16" s="3360"/>
      <c r="K16" s="3362"/>
      <c r="L16" s="2635" t="s">
        <v>2382</v>
      </c>
      <c r="M16" s="2636"/>
      <c r="N16" s="2636"/>
      <c r="O16" s="2637"/>
      <c r="P16" s="2638">
        <v>365</v>
      </c>
      <c r="Q16" s="2612"/>
      <c r="R16" s="2659">
        <f>ROUND(M16*N16*O16*P16/10000,0)</f>
        <v>0</v>
      </c>
      <c r="S16" s="2593"/>
      <c r="T16" s="2593"/>
      <c r="U16" s="2593"/>
      <c r="V16" s="2601"/>
    </row>
    <row r="17" spans="1:22" s="2605" customFormat="1" ht="13.15" customHeight="1" thickBot="1">
      <c r="A17" s="2662">
        <v>4</v>
      </c>
      <c r="B17" s="3368" t="s">
        <v>2383</v>
      </c>
      <c r="C17" s="3369"/>
      <c r="D17" s="2663">
        <f>ROUND(D6*E17,0)</f>
        <v>0</v>
      </c>
      <c r="E17" s="2664"/>
      <c r="F17" s="2665" t="s">
        <v>2384</v>
      </c>
      <c r="G17" s="2625"/>
      <c r="H17" s="2600"/>
      <c r="I17" s="2601"/>
      <c r="J17" s="3360"/>
      <c r="K17" s="3362"/>
      <c r="L17" s="2635" t="s">
        <v>2385</v>
      </c>
      <c r="M17" s="2636"/>
      <c r="N17" s="2636"/>
      <c r="O17" s="2637"/>
      <c r="P17" s="2638">
        <v>365</v>
      </c>
      <c r="Q17" s="2612"/>
      <c r="R17" s="2659">
        <f>ROUND(M17*N17*O17*P17/10000,0)</f>
        <v>0</v>
      </c>
      <c r="S17" s="2593"/>
      <c r="T17" s="2593"/>
      <c r="U17" s="2593"/>
      <c r="V17" s="2601"/>
    </row>
    <row r="18" spans="1:22" s="2605" customFormat="1" ht="13.15" customHeight="1" thickBot="1">
      <c r="A18" s="2628" t="s">
        <v>2386</v>
      </c>
      <c r="B18" s="2629"/>
      <c r="C18" s="2629"/>
      <c r="D18" s="2666">
        <f>ROUND(D6*E18,0)</f>
        <v>0</v>
      </c>
      <c r="E18" s="2667"/>
      <c r="F18" s="2668" t="s">
        <v>2387</v>
      </c>
      <c r="G18" s="2625"/>
      <c r="H18" s="2600"/>
      <c r="I18" s="2601"/>
      <c r="J18" s="3360"/>
      <c r="K18" s="3362"/>
      <c r="L18" s="2635" t="s">
        <v>2388</v>
      </c>
      <c r="M18" s="2636"/>
      <c r="N18" s="2636"/>
      <c r="O18" s="2637"/>
      <c r="P18" s="2638">
        <v>365</v>
      </c>
      <c r="Q18" s="2612"/>
      <c r="R18" s="2659">
        <f>ROUND(M18*N18*O18*P18/10000,0)</f>
        <v>0</v>
      </c>
      <c r="S18" s="2593"/>
      <c r="T18" s="2593"/>
      <c r="U18" s="2593"/>
      <c r="V18" s="2601"/>
    </row>
    <row r="19" spans="1:22" s="2605" customFormat="1" ht="13.15" customHeight="1" thickBot="1">
      <c r="A19" s="2669" t="s">
        <v>2389</v>
      </c>
      <c r="B19" s="2623"/>
      <c r="C19" s="2623"/>
      <c r="D19" s="2623"/>
      <c r="E19" s="2623"/>
      <c r="F19" s="2624"/>
      <c r="G19" s="2644"/>
      <c r="H19" s="2600"/>
      <c r="I19" s="2601"/>
      <c r="J19" s="3360"/>
      <c r="K19" s="3363"/>
      <c r="L19" s="2655" t="s">
        <v>2369</v>
      </c>
      <c r="M19" s="2656"/>
      <c r="N19" s="2656">
        <f>SUM(N16:N18)</f>
        <v>0</v>
      </c>
      <c r="O19" s="2657"/>
      <c r="P19" s="2670" t="s">
        <v>2433</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0">
        <v>3</v>
      </c>
      <c r="K20" s="3361" t="s">
        <v>2390</v>
      </c>
      <c r="L20" s="2635" t="s">
        <v>2391</v>
      </c>
      <c r="M20" s="2636" t="s">
        <v>2392</v>
      </c>
      <c r="N20" s="2673" t="s">
        <v>2393</v>
      </c>
      <c r="O20" s="2637" t="s">
        <v>2394</v>
      </c>
      <c r="P20" s="2638" t="s">
        <v>2395</v>
      </c>
      <c r="Q20" s="2612" t="s">
        <v>2396</v>
      </c>
      <c r="R20" s="2659" t="s">
        <v>2397</v>
      </c>
      <c r="S20" s="2593"/>
      <c r="T20" s="2593"/>
      <c r="U20" s="2593"/>
      <c r="V20" s="2601"/>
    </row>
    <row r="21" spans="1:22" s="2605" customFormat="1" ht="13.15" customHeight="1">
      <c r="A21" s="2628"/>
      <c r="B21" s="2629"/>
      <c r="C21" s="2674" t="s">
        <v>2398</v>
      </c>
      <c r="D21" s="2675" t="s">
        <v>2399</v>
      </c>
      <c r="E21" s="2676" t="s">
        <v>2400</v>
      </c>
      <c r="F21" s="2672"/>
      <c r="G21" s="2644"/>
      <c r="H21" s="2600"/>
      <c r="I21" s="2601"/>
      <c r="J21" s="3360"/>
      <c r="K21" s="3362"/>
      <c r="L21" s="2635" t="s">
        <v>2401</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2402</v>
      </c>
      <c r="D22" s="2679" t="s">
        <v>2403</v>
      </c>
      <c r="E22" s="2680" t="s">
        <v>2404</v>
      </c>
      <c r="F22" s="2672"/>
      <c r="G22" s="2593"/>
      <c r="H22" s="2600"/>
      <c r="I22" s="2601"/>
      <c r="J22" s="3360"/>
      <c r="K22" s="3362"/>
      <c r="L22" s="2635" t="s">
        <v>2405</v>
      </c>
      <c r="M22" s="2636"/>
      <c r="N22" s="2636"/>
      <c r="O22" s="2637"/>
      <c r="P22" s="2638">
        <v>365</v>
      </c>
      <c r="Q22" s="2612"/>
      <c r="R22" s="2677">
        <f>ROUND(M22*N22*O22*P22/10000,0)</f>
        <v>0</v>
      </c>
      <c r="S22" s="2593"/>
      <c r="T22" s="2593"/>
      <c r="U22" s="2593"/>
      <c r="V22" s="2601"/>
    </row>
    <row r="23" spans="1:22" s="2605" customFormat="1" ht="13.15" customHeight="1">
      <c r="A23" s="2681">
        <v>1</v>
      </c>
      <c r="B23" s="2682" t="s">
        <v>2406</v>
      </c>
      <c r="C23" s="2683">
        <f>D6</f>
        <v>0</v>
      </c>
      <c r="D23" s="2684">
        <f>C23*(1+D24)</f>
        <v>0</v>
      </c>
      <c r="E23" s="2685">
        <f>D23*(1+E24)</f>
        <v>0</v>
      </c>
      <c r="F23" s="2686"/>
      <c r="G23" s="2687"/>
      <c r="H23" s="2600"/>
      <c r="I23" s="2601"/>
      <c r="J23" s="3360"/>
      <c r="K23" s="3362"/>
      <c r="L23" s="2635" t="s">
        <v>2407</v>
      </c>
      <c r="M23" s="2636"/>
      <c r="N23" s="2636"/>
      <c r="O23" s="2637"/>
      <c r="P23" s="2638">
        <v>365</v>
      </c>
      <c r="Q23" s="2612"/>
      <c r="R23" s="2677">
        <f>ROUND(M23*N23*O23*P23/10000,0)</f>
        <v>0</v>
      </c>
      <c r="S23" s="2593"/>
      <c r="T23" s="2593"/>
      <c r="U23" s="2593"/>
      <c r="V23" s="2601"/>
    </row>
    <row r="24" spans="1:22" s="2605" customFormat="1" ht="13.15" customHeight="1">
      <c r="A24" s="2688"/>
      <c r="B24" s="2689" t="s">
        <v>2408</v>
      </c>
      <c r="C24" s="2690"/>
      <c r="D24" s="2691"/>
      <c r="E24" s="2692"/>
      <c r="F24" s="2693"/>
      <c r="G24" s="2687"/>
      <c r="H24" s="2600"/>
      <c r="I24" s="2601"/>
      <c r="J24" s="3360"/>
      <c r="K24" s="3363"/>
      <c r="L24" s="2655" t="s">
        <v>2369</v>
      </c>
      <c r="M24" s="2656">
        <f>SUM(M21:M23)</f>
        <v>0</v>
      </c>
      <c r="N24" s="2656"/>
      <c r="O24" s="2657"/>
      <c r="P24" s="2670" t="s">
        <v>2433</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2409</v>
      </c>
      <c r="L25" s="2696"/>
      <c r="M25" s="2696"/>
      <c r="N25" s="2696"/>
      <c r="O25" s="2696"/>
      <c r="P25" s="2697"/>
      <c r="Q25" s="2698">
        <v>0</v>
      </c>
      <c r="R25" s="2671">
        <f>ROUND(R14*Q25,0)</f>
        <v>0</v>
      </c>
      <c r="S25" s="2593"/>
      <c r="T25" s="2593"/>
      <c r="U25" s="2593"/>
      <c r="V25" s="2699"/>
    </row>
    <row r="26" spans="1:22" s="2700" customFormat="1" ht="13.15" customHeight="1">
      <c r="A26" s="2681">
        <v>2</v>
      </c>
      <c r="B26" s="2682" t="s">
        <v>2410</v>
      </c>
      <c r="C26" s="2683">
        <f>D7</f>
        <v>0</v>
      </c>
      <c r="D26" s="2684">
        <f>D23*D27</f>
        <v>0</v>
      </c>
      <c r="E26" s="2685">
        <f>E23*E27</f>
        <v>0</v>
      </c>
      <c r="F26" s="2686"/>
      <c r="G26" s="2687"/>
      <c r="H26" s="2600"/>
      <c r="I26" s="2601"/>
      <c r="J26" s="3370">
        <v>5</v>
      </c>
      <c r="K26" s="2701" t="s">
        <v>2411</v>
      </c>
      <c r="L26" s="2702"/>
      <c r="M26" s="2703"/>
      <c r="N26" s="2704" t="s">
        <v>2412</v>
      </c>
      <c r="O26" s="2704" t="s">
        <v>2413</v>
      </c>
      <c r="P26" s="2705" t="s">
        <v>2414</v>
      </c>
      <c r="Q26" s="2705" t="s">
        <v>2415</v>
      </c>
      <c r="R26" s="2610" t="s">
        <v>2340</v>
      </c>
      <c r="S26" s="2644"/>
      <c r="T26" s="2644"/>
      <c r="U26" s="2644"/>
      <c r="V26" s="2699"/>
    </row>
    <row r="27" spans="1:22" s="2605" customFormat="1" ht="13.15" customHeight="1">
      <c r="A27" s="2688"/>
      <c r="B27" s="2689" t="s">
        <v>2416</v>
      </c>
      <c r="C27" s="2706" t="e">
        <f>E7</f>
        <v>#DIV/0!</v>
      </c>
      <c r="D27" s="2691"/>
      <c r="E27" s="2692"/>
      <c r="F27" s="2693"/>
      <c r="G27" s="2687"/>
      <c r="H27" s="2707"/>
      <c r="I27" s="2699"/>
      <c r="J27" s="337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2417</v>
      </c>
      <c r="F28" s="2693"/>
      <c r="G28" s="2593"/>
      <c r="H28" s="2707"/>
      <c r="I28" s="2699"/>
      <c r="J28" s="2713">
        <v>6</v>
      </c>
      <c r="K28" s="2714" t="s">
        <v>2418</v>
      </c>
      <c r="L28" s="2715" t="s">
        <v>2419</v>
      </c>
      <c r="M28" s="2716"/>
      <c r="N28" s="2715" t="s">
        <v>2420</v>
      </c>
      <c r="O28" s="2717"/>
      <c r="P28" s="2715" t="s">
        <v>2421</v>
      </c>
      <c r="Q28" s="2718">
        <v>1.4999999999999999E-2</v>
      </c>
      <c r="R28" s="2719"/>
      <c r="S28" s="2593"/>
      <c r="T28" s="2593"/>
      <c r="U28" s="2593"/>
      <c r="V28" s="2699"/>
    </row>
    <row r="29" spans="1:22" s="2700" customFormat="1" ht="13.15" customHeight="1">
      <c r="A29" s="2681">
        <v>3</v>
      </c>
      <c r="B29" s="2682" t="s">
        <v>2422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2423</v>
      </c>
      <c r="K31" s="2591"/>
      <c r="L31" s="2591"/>
      <c r="M31" s="2591"/>
      <c r="N31" s="2591"/>
      <c r="O31" s="2591"/>
      <c r="P31" s="2591"/>
      <c r="Q31" s="2591"/>
      <c r="R31" s="2592"/>
      <c r="S31" s="2593"/>
      <c r="T31" s="2593"/>
      <c r="U31" s="2593"/>
      <c r="V31" s="2699"/>
    </row>
    <row r="32" spans="1:22" s="2700" customFormat="1" ht="13.15" customHeight="1">
      <c r="A32" s="2681">
        <v>4</v>
      </c>
      <c r="B32" s="2682" t="s">
        <v>2424</v>
      </c>
      <c r="C32" s="2683">
        <f>C23-C26-C29</f>
        <v>0</v>
      </c>
      <c r="D32" s="2684">
        <f>D23-D26-D29</f>
        <v>0</v>
      </c>
      <c r="E32" s="2685">
        <f>E23-E26-E29</f>
        <v>0</v>
      </c>
      <c r="F32" s="2686"/>
      <c r="G32" s="2593"/>
      <c r="H32" s="2600"/>
      <c r="I32" s="2601"/>
      <c r="J32" s="3353" t="s">
        <v>2316</v>
      </c>
      <c r="K32" s="3354"/>
      <c r="L32" s="2602" t="s">
        <v>2317</v>
      </c>
      <c r="M32" s="2602" t="s">
        <v>2318</v>
      </c>
      <c r="N32" s="2602" t="s">
        <v>2319</v>
      </c>
      <c r="O32" s="2602" t="s">
        <v>2320</v>
      </c>
      <c r="P32" s="2602" t="s">
        <v>2321</v>
      </c>
      <c r="Q32" s="2603" t="s">
        <v>2322</v>
      </c>
      <c r="R32" s="2722" t="s">
        <v>2323</v>
      </c>
      <c r="S32" s="2593"/>
      <c r="T32" s="2593"/>
      <c r="U32" s="2593"/>
      <c r="V32" s="2699"/>
    </row>
    <row r="33" spans="1:23" s="2605" customFormat="1" ht="13.15" customHeight="1">
      <c r="A33" s="2681"/>
      <c r="B33" s="2682"/>
      <c r="C33" s="2683"/>
      <c r="D33" s="2723"/>
      <c r="E33" s="2724"/>
      <c r="F33" s="2686"/>
      <c r="G33" s="2593"/>
      <c r="H33" s="2707"/>
      <c r="I33" s="2699"/>
      <c r="J33" s="3355" t="s">
        <v>2326</v>
      </c>
      <c r="K33" s="3356"/>
      <c r="L33" s="2608"/>
      <c r="M33" s="2608"/>
      <c r="N33" s="2608"/>
      <c r="O33" s="2608"/>
      <c r="P33" s="2608"/>
      <c r="Q33" s="2609"/>
      <c r="R33" s="2725">
        <f>SUM(L33:Q33)</f>
        <v>0</v>
      </c>
      <c r="S33" s="2593"/>
      <c r="T33" s="2593"/>
      <c r="U33" s="2593"/>
      <c r="V33" s="2601"/>
    </row>
    <row r="34" spans="1:23" s="2605" customFormat="1" ht="13.15" customHeight="1">
      <c r="A34" s="2681">
        <v>5</v>
      </c>
      <c r="B34" s="2682" t="s">
        <v>2425</v>
      </c>
      <c r="C34" s="2726"/>
      <c r="D34" s="2727"/>
      <c r="E34" s="2728"/>
      <c r="F34" s="2686"/>
      <c r="G34" s="2593"/>
      <c r="H34" s="2707"/>
      <c r="I34" s="2699"/>
      <c r="J34" s="3355" t="s">
        <v>2328</v>
      </c>
      <c r="K34" s="335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2426</v>
      </c>
      <c r="C35" s="2730"/>
      <c r="D35" s="2731"/>
      <c r="E35" s="2732"/>
      <c r="F35" s="2686"/>
      <c r="G35" s="2733"/>
      <c r="H35" s="2600"/>
      <c r="I35" s="2699"/>
      <c r="J35" s="2619" t="s">
        <v>2330</v>
      </c>
      <c r="K35" s="2620"/>
      <c r="L35" s="2620"/>
      <c r="M35" s="2621"/>
      <c r="N35" s="2621"/>
      <c r="O35" s="2621"/>
      <c r="P35" s="2621"/>
      <c r="Q35" s="2621"/>
      <c r="R35" s="2734">
        <f>R40+R41+R43</f>
        <v>0</v>
      </c>
      <c r="S35" s="2593"/>
      <c r="T35" s="2593" t="s">
        <v>2331</v>
      </c>
      <c r="U35" s="2593"/>
      <c r="V35" s="2601"/>
    </row>
    <row r="36" spans="1:23" s="2605" customFormat="1" ht="13.15" customHeight="1" thickBot="1">
      <c r="A36" s="2681">
        <v>7</v>
      </c>
      <c r="B36" s="2735" t="s">
        <v>2427</v>
      </c>
      <c r="C36" s="2736"/>
      <c r="D36" s="2737"/>
      <c r="E36" s="2738"/>
      <c r="F36" s="2739">
        <f>C36+D36+E36</f>
        <v>0</v>
      </c>
      <c r="G36" s="2593"/>
      <c r="H36" s="2600"/>
      <c r="I36" s="2601"/>
      <c r="J36" s="3360">
        <v>1</v>
      </c>
      <c r="K36" s="3361" t="s">
        <v>2428</v>
      </c>
      <c r="L36" s="2626"/>
      <c r="M36" s="2627"/>
      <c r="N36" s="2627"/>
      <c r="O36" s="2627"/>
      <c r="P36" s="2627"/>
      <c r="Q36" s="2627"/>
      <c r="R36" s="2610" t="s">
        <v>2340</v>
      </c>
      <c r="S36" s="2593"/>
      <c r="T36" s="2593" t="s">
        <v>2341</v>
      </c>
      <c r="U36" s="2593"/>
      <c r="V36" s="2601"/>
    </row>
    <row r="37" spans="1:23" s="2605" customFormat="1" ht="13.15" customHeight="1">
      <c r="A37" s="2681"/>
      <c r="B37" s="2682"/>
      <c r="C37" s="2682"/>
      <c r="D37" s="2682"/>
      <c r="E37" s="2682"/>
      <c r="F37" s="2686"/>
      <c r="G37" s="2593"/>
      <c r="H37" s="2600"/>
      <c r="I37" s="2601"/>
      <c r="J37" s="3360"/>
      <c r="K37" s="3362"/>
      <c r="L37" s="2635"/>
      <c r="M37" s="2636"/>
      <c r="N37" s="2612"/>
      <c r="O37" s="2637"/>
      <c r="P37" s="2637"/>
      <c r="Q37" s="2638"/>
      <c r="R37" s="2639"/>
      <c r="S37" s="2593"/>
      <c r="T37" s="2593" t="s">
        <v>2344</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0"/>
      <c r="K38" s="3362"/>
      <c r="L38" s="2635"/>
      <c r="M38" s="2636"/>
      <c r="N38" s="2612"/>
      <c r="O38" s="2637"/>
      <c r="P38" s="2637"/>
      <c r="Q38" s="2638"/>
      <c r="R38" s="2639"/>
      <c r="S38" s="2593"/>
      <c r="T38" s="2593" t="s">
        <v>2351</v>
      </c>
      <c r="U38" s="2593"/>
      <c r="V38" s="2601"/>
    </row>
    <row r="39" spans="1:23" s="2605" customFormat="1" ht="13.15" customHeight="1">
      <c r="A39" s="2681">
        <v>9</v>
      </c>
      <c r="B39" s="2682" t="s">
        <v>2429</v>
      </c>
      <c r="C39" s="2649" t="e">
        <f>C38</f>
        <v>#DIV/0!</v>
      </c>
      <c r="D39" s="2682">
        <f>D38/(1+D34)^C36</f>
        <v>0</v>
      </c>
      <c r="E39" s="2682">
        <f>E38/(1+E34)^(C36+D36)</f>
        <v>0</v>
      </c>
      <c r="F39" s="2686"/>
      <c r="G39" s="2601"/>
      <c r="H39" s="2600"/>
      <c r="I39" s="2601"/>
      <c r="J39" s="3360"/>
      <c r="K39" s="3362"/>
      <c r="L39" s="2635"/>
      <c r="M39" s="2636"/>
      <c r="N39" s="2612"/>
      <c r="O39" s="2637"/>
      <c r="P39" s="2637"/>
      <c r="Q39" s="2638"/>
      <c r="R39" s="2639"/>
      <c r="S39" s="2593"/>
      <c r="T39" s="2593"/>
      <c r="U39" s="2593"/>
      <c r="V39" s="2601"/>
    </row>
    <row r="40" spans="1:23" s="2605" customFormat="1" ht="13.15" customHeight="1">
      <c r="A40" s="2740">
        <v>10</v>
      </c>
      <c r="B40" s="2682" t="s">
        <v>2430</v>
      </c>
      <c r="C40" s="2741" t="e">
        <f>C39+D39+E39</f>
        <v>#DIV/0!</v>
      </c>
      <c r="D40" s="2742"/>
      <c r="E40" s="2742"/>
      <c r="F40" s="2743"/>
      <c r="G40" s="2593"/>
      <c r="H40" s="2600"/>
      <c r="I40" s="2601"/>
      <c r="J40" s="3360"/>
      <c r="K40" s="3363"/>
      <c r="L40" s="2655" t="s">
        <v>2369</v>
      </c>
      <c r="M40" s="2656"/>
      <c r="N40" s="2656"/>
      <c r="O40" s="2657"/>
      <c r="P40" s="2657"/>
      <c r="Q40" s="2658"/>
      <c r="R40" s="2604">
        <f>SUM(R37:R39)</f>
        <v>0</v>
      </c>
      <c r="S40" s="2593"/>
      <c r="T40" s="2593"/>
      <c r="U40" s="2593"/>
      <c r="V40" s="2601"/>
    </row>
    <row r="41" spans="1:23" s="2605" customFormat="1" ht="13.15" customHeight="1" thickBot="1">
      <c r="A41" s="2744">
        <v>11</v>
      </c>
      <c r="B41" s="2745" t="s">
        <v>2431</v>
      </c>
      <c r="C41" s="2745" t="e">
        <f>ROUND(C40*10000/B4,0)</f>
        <v>#DIV/0!</v>
      </c>
      <c r="D41" s="2746"/>
      <c r="E41" s="2746"/>
      <c r="F41" s="2747"/>
      <c r="G41" s="2600"/>
      <c r="H41" s="2600"/>
      <c r="I41" s="2601"/>
      <c r="J41" s="2694">
        <v>2</v>
      </c>
      <c r="K41" s="2695" t="s">
        <v>2409</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0">
        <v>3</v>
      </c>
      <c r="K42" s="2701" t="s">
        <v>2411</v>
      </c>
      <c r="L42" s="2702"/>
      <c r="M42" s="2703"/>
      <c r="N42" s="2704" t="s">
        <v>2412</v>
      </c>
      <c r="O42" s="2704" t="s">
        <v>2413</v>
      </c>
      <c r="P42" s="2705" t="s">
        <v>2414</v>
      </c>
      <c r="Q42" s="2705" t="s">
        <v>2415</v>
      </c>
      <c r="R42" s="2610" t="s">
        <v>2340</v>
      </c>
      <c r="S42" s="2644"/>
      <c r="T42" s="2644"/>
      <c r="U42" s="2593"/>
      <c r="V42" s="2601"/>
    </row>
    <row r="43" spans="1:23" ht="13.15" customHeight="1">
      <c r="A43" s="2605"/>
      <c r="B43" s="2605"/>
      <c r="C43" s="2605"/>
      <c r="D43" s="2605"/>
      <c r="E43" s="2605"/>
      <c r="F43" s="2605"/>
      <c r="I43" s="2588"/>
      <c r="J43" s="337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2418</v>
      </c>
      <c r="L44" s="2750" t="s">
        <v>2419</v>
      </c>
      <c r="M44" s="2716"/>
      <c r="N44" s="2750" t="s">
        <v>2420</v>
      </c>
      <c r="O44" s="2716"/>
      <c r="P44" s="2750" t="s">
        <v>2421</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2" t="s">
        <v>1654</v>
      </c>
      <c r="C5" s="3373"/>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174.9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2" t="s">
        <v>1667</v>
      </c>
      <c r="D4" s="3393"/>
      <c r="E4" s="3394" t="s">
        <v>1668</v>
      </c>
      <c r="F4" s="3395"/>
      <c r="G4" s="3392" t="s">
        <v>1669</v>
      </c>
      <c r="H4" s="3393"/>
      <c r="I4" s="3392" t="s">
        <v>1670</v>
      </c>
      <c r="J4" s="3393"/>
      <c r="K4" s="1744" t="s">
        <v>1671</v>
      </c>
      <c r="L4" s="2487"/>
      <c r="M4" s="2488"/>
      <c r="N4" s="2488"/>
      <c r="O4" s="2488"/>
      <c r="P4" s="3396" t="s">
        <v>1672</v>
      </c>
      <c r="Q4" s="3397"/>
      <c r="R4" s="3379" t="s">
        <v>1668</v>
      </c>
      <c r="S4" s="3380"/>
      <c r="T4" s="3379" t="s">
        <v>1669</v>
      </c>
      <c r="U4" s="3380"/>
      <c r="V4" s="3404" t="s">
        <v>1670</v>
      </c>
      <c r="W4" s="3404"/>
      <c r="X4" s="1265"/>
      <c r="Y4" s="3379" t="s">
        <v>1672</v>
      </c>
      <c r="Z4" s="3380"/>
      <c r="AA4" s="3374" t="s">
        <v>1668</v>
      </c>
      <c r="AB4" s="3374" t="s">
        <v>1669</v>
      </c>
      <c r="AC4" s="3374" t="s">
        <v>1670</v>
      </c>
    </row>
    <row r="5" spans="1:29" ht="15">
      <c r="A5" s="348"/>
      <c r="B5" s="349"/>
      <c r="C5" s="3385" t="s">
        <v>1673</v>
      </c>
      <c r="D5" s="3386"/>
      <c r="E5" s="3383" t="s">
        <v>1674</v>
      </c>
      <c r="F5" s="3384"/>
      <c r="G5" s="3385" t="s">
        <v>1675</v>
      </c>
      <c r="H5" s="3386"/>
      <c r="I5" s="3385" t="s">
        <v>1676</v>
      </c>
      <c r="J5" s="3386"/>
      <c r="K5" s="1745"/>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1745"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77" t="s">
        <v>1680</v>
      </c>
      <c r="Q7" s="3405"/>
      <c r="R7" s="664" t="s">
        <v>20</v>
      </c>
      <c r="S7" s="665">
        <f t="shared" ref="S7:S15" si="0">F7</f>
        <v>0</v>
      </c>
      <c r="T7" s="664" t="s">
        <v>20</v>
      </c>
      <c r="U7" s="665">
        <f t="shared" ref="U7:U15" si="1">H7</f>
        <v>0</v>
      </c>
      <c r="V7" s="664" t="s">
        <v>20</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77" t="s">
        <v>1683</v>
      </c>
      <c r="Q8" s="3378"/>
      <c r="R8" s="664" t="s">
        <v>20</v>
      </c>
      <c r="S8" s="665">
        <f t="shared" si="0"/>
        <v>100</v>
      </c>
      <c r="T8" s="664" t="s">
        <v>20</v>
      </c>
      <c r="U8" s="665">
        <f t="shared" si="1"/>
        <v>100</v>
      </c>
      <c r="V8" s="664" t="s">
        <v>20</v>
      </c>
      <c r="W8" s="665">
        <f t="shared" si="2"/>
        <v>100</v>
      </c>
      <c r="X8" s="666"/>
      <c r="Y8" s="3377" t="s">
        <v>1683</v>
      </c>
      <c r="Z8" s="337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1"/>
      <c r="Q11" s="530" t="str">
        <f t="shared" si="6"/>
        <v>容积率</v>
      </c>
      <c r="R11" s="664" t="s">
        <v>18</v>
      </c>
      <c r="S11" s="665" t="e">
        <f t="shared" si="0"/>
        <v>#N/A</v>
      </c>
      <c r="T11" s="664" t="s">
        <v>18</v>
      </c>
      <c r="U11" s="665" t="e">
        <f t="shared" si="1"/>
        <v>#N/A</v>
      </c>
      <c r="V11" s="664" t="s">
        <v>18</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1"/>
      <c r="Q12" s="530">
        <f t="shared" si="6"/>
        <v>111</v>
      </c>
      <c r="R12" s="664" t="s">
        <v>18</v>
      </c>
      <c r="S12" s="665">
        <f t="shared" si="0"/>
        <v>100</v>
      </c>
      <c r="T12" s="664" t="s">
        <v>18</v>
      </c>
      <c r="U12" s="665">
        <f t="shared" si="1"/>
        <v>100</v>
      </c>
      <c r="V12" s="664" t="s">
        <v>18</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1"/>
      <c r="Q13" s="530">
        <f t="shared" si="6"/>
        <v>111</v>
      </c>
      <c r="R13" s="664" t="s">
        <v>18</v>
      </c>
      <c r="S13" s="665">
        <f t="shared" si="0"/>
        <v>100</v>
      </c>
      <c r="T13" s="664" t="s">
        <v>18</v>
      </c>
      <c r="U13" s="665">
        <f t="shared" si="1"/>
        <v>100</v>
      </c>
      <c r="V13" s="664" t="s">
        <v>18</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1"/>
      <c r="Q14" s="530">
        <f t="shared" si="6"/>
        <v>111</v>
      </c>
      <c r="R14" s="664" t="s">
        <v>18</v>
      </c>
      <c r="S14" s="665">
        <f t="shared" si="0"/>
        <v>100</v>
      </c>
      <c r="T14" s="664" t="s">
        <v>18</v>
      </c>
      <c r="U14" s="665">
        <f t="shared" si="1"/>
        <v>100</v>
      </c>
      <c r="V14" s="664" t="s">
        <v>18</v>
      </c>
      <c r="W14" s="665">
        <f t="shared" si="2"/>
        <v>100</v>
      </c>
      <c r="X14" s="666"/>
      <c r="Y14" s="3321"/>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17" t="s">
        <v>1691</v>
      </c>
      <c r="Q15" s="1263" t="str">
        <f t="shared" si="6"/>
        <v>居住社区成熟度</v>
      </c>
      <c r="R15" s="667" t="s">
        <v>18</v>
      </c>
      <c r="S15" s="668">
        <f t="shared" si="0"/>
        <v>100</v>
      </c>
      <c r="T15" s="667" t="s">
        <v>18</v>
      </c>
      <c r="U15" s="668">
        <f t="shared" si="1"/>
        <v>100</v>
      </c>
      <c r="V15" s="667" t="s">
        <v>18</v>
      </c>
      <c r="W15" s="668">
        <f t="shared" si="2"/>
        <v>100</v>
      </c>
      <c r="X15" s="1265"/>
      <c r="Y15" s="341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18"/>
      <c r="Q16" s="1263"/>
      <c r="R16" s="667"/>
      <c r="S16" s="668"/>
      <c r="T16" s="667"/>
      <c r="U16" s="668"/>
      <c r="V16" s="667"/>
      <c r="W16" s="668"/>
      <c r="X16" s="1265"/>
      <c r="Y16" s="341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18"/>
      <c r="Q17" s="1263" t="str">
        <f>B17</f>
        <v>交通便捷度</v>
      </c>
      <c r="R17" s="667" t="s">
        <v>18</v>
      </c>
      <c r="S17" s="668">
        <f>F17</f>
        <v>100</v>
      </c>
      <c r="T17" s="667" t="s">
        <v>18</v>
      </c>
      <c r="U17" s="668">
        <f>H17</f>
        <v>100</v>
      </c>
      <c r="V17" s="667" t="s">
        <v>18</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18"/>
      <c r="Q18" s="1263"/>
      <c r="R18" s="667"/>
      <c r="S18" s="668"/>
      <c r="T18" s="667"/>
      <c r="U18" s="668"/>
      <c r="V18" s="667"/>
      <c r="W18" s="668"/>
      <c r="X18" s="1265"/>
      <c r="Y18" s="341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18"/>
      <c r="Q19" s="1263" t="str">
        <f>B19</f>
        <v>公共配套设施</v>
      </c>
      <c r="R19" s="667" t="s">
        <v>18</v>
      </c>
      <c r="S19" s="668">
        <f>F19</f>
        <v>100</v>
      </c>
      <c r="T19" s="667" t="s">
        <v>18</v>
      </c>
      <c r="U19" s="668">
        <f>H19</f>
        <v>100</v>
      </c>
      <c r="V19" s="667" t="s">
        <v>18</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18"/>
      <c r="Q20" s="1263"/>
      <c r="R20" s="667"/>
      <c r="S20" s="668"/>
      <c r="T20" s="667"/>
      <c r="U20" s="668"/>
      <c r="V20" s="667"/>
      <c r="W20" s="668"/>
      <c r="X20" s="1265"/>
      <c r="Y20" s="341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18"/>
      <c r="Q22" s="1263"/>
      <c r="R22" s="667"/>
      <c r="S22" s="668"/>
      <c r="T22" s="667"/>
      <c r="U22" s="668"/>
      <c r="V22" s="667"/>
      <c r="W22" s="668"/>
      <c r="X22" s="1265"/>
      <c r="Y22" s="341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18"/>
      <c r="Q23" s="1263" t="str">
        <f>B23</f>
        <v>自然及人文环境</v>
      </c>
      <c r="R23" s="667" t="s">
        <v>18</v>
      </c>
      <c r="S23" s="668">
        <f>F23</f>
        <v>100</v>
      </c>
      <c r="T23" s="667" t="s">
        <v>18</v>
      </c>
      <c r="U23" s="668">
        <f>H23</f>
        <v>100</v>
      </c>
      <c r="V23" s="667" t="s">
        <v>18</v>
      </c>
      <c r="W23" s="668">
        <f>J23</f>
        <v>100</v>
      </c>
      <c r="X23" s="1265"/>
      <c r="Y23" s="341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18"/>
      <c r="Q24" s="1263"/>
      <c r="R24" s="667"/>
      <c r="S24" s="668"/>
      <c r="T24" s="667"/>
      <c r="U24" s="668"/>
      <c r="V24" s="667"/>
      <c r="W24" s="668"/>
      <c r="X24" s="1265"/>
      <c r="Y24" s="341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1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18"/>
      <c r="Q26" s="1263" t="str">
        <f t="shared" si="11"/>
        <v>朝向</v>
      </c>
      <c r="R26" s="667" t="s">
        <v>18</v>
      </c>
      <c r="S26" s="668">
        <f t="shared" si="12"/>
        <v>100</v>
      </c>
      <c r="T26" s="667" t="s">
        <v>18</v>
      </c>
      <c r="U26" s="668">
        <f t="shared" si="13"/>
        <v>100</v>
      </c>
      <c r="V26" s="667" t="s">
        <v>18</v>
      </c>
      <c r="W26" s="668">
        <f t="shared" si="14"/>
        <v>100</v>
      </c>
      <c r="X26" s="1265"/>
      <c r="Y26" s="341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18"/>
      <c r="Q27" s="530">
        <f t="shared" si="11"/>
        <v>111</v>
      </c>
      <c r="R27" s="664" t="s">
        <v>18</v>
      </c>
      <c r="S27" s="665">
        <f t="shared" si="12"/>
        <v>100</v>
      </c>
      <c r="T27" s="664" t="s">
        <v>18</v>
      </c>
      <c r="U27" s="665">
        <f t="shared" si="13"/>
        <v>100</v>
      </c>
      <c r="V27" s="664" t="s">
        <v>18</v>
      </c>
      <c r="W27" s="665">
        <f t="shared" si="14"/>
        <v>100</v>
      </c>
      <c r="X27" s="666"/>
      <c r="Y27" s="341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18"/>
      <c r="Q28" s="1263">
        <f t="shared" si="11"/>
        <v>111</v>
      </c>
      <c r="R28" s="667" t="s">
        <v>18</v>
      </c>
      <c r="S28" s="668">
        <f t="shared" si="12"/>
        <v>100</v>
      </c>
      <c r="T28" s="667" t="s">
        <v>18</v>
      </c>
      <c r="U28" s="668">
        <f t="shared" si="13"/>
        <v>100</v>
      </c>
      <c r="V28" s="667" t="s">
        <v>18</v>
      </c>
      <c r="W28" s="668">
        <f t="shared" si="14"/>
        <v>100</v>
      </c>
      <c r="X28" s="1265"/>
      <c r="Y28" s="341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18"/>
      <c r="Q29" s="1263">
        <f t="shared" si="11"/>
        <v>111</v>
      </c>
      <c r="R29" s="667" t="s">
        <v>18</v>
      </c>
      <c r="S29" s="668">
        <f t="shared" si="12"/>
        <v>100</v>
      </c>
      <c r="T29" s="667" t="s">
        <v>18</v>
      </c>
      <c r="U29" s="668">
        <f t="shared" si="13"/>
        <v>100</v>
      </c>
      <c r="V29" s="667" t="s">
        <v>18</v>
      </c>
      <c r="W29" s="668">
        <f t="shared" si="14"/>
        <v>100</v>
      </c>
      <c r="X29" s="1265"/>
      <c r="Y29" s="341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18"/>
      <c r="Q30" s="1263">
        <f t="shared" si="11"/>
        <v>111</v>
      </c>
      <c r="R30" s="667" t="s">
        <v>18</v>
      </c>
      <c r="S30" s="668">
        <f t="shared" si="12"/>
        <v>100</v>
      </c>
      <c r="T30" s="667" t="s">
        <v>18</v>
      </c>
      <c r="U30" s="668">
        <f t="shared" si="13"/>
        <v>100</v>
      </c>
      <c r="V30" s="667" t="s">
        <v>18</v>
      </c>
      <c r="W30" s="668">
        <f t="shared" si="14"/>
        <v>100</v>
      </c>
      <c r="X30" s="1265"/>
      <c r="Y30" s="341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18"/>
      <c r="Q31" s="1263">
        <f t="shared" si="11"/>
        <v>111</v>
      </c>
      <c r="R31" s="667" t="s">
        <v>18</v>
      </c>
      <c r="S31" s="668">
        <f t="shared" si="12"/>
        <v>100</v>
      </c>
      <c r="T31" s="667" t="s">
        <v>18</v>
      </c>
      <c r="U31" s="668">
        <f t="shared" si="13"/>
        <v>100</v>
      </c>
      <c r="V31" s="667" t="s">
        <v>18</v>
      </c>
      <c r="W31" s="668">
        <f t="shared" si="14"/>
        <v>100</v>
      </c>
      <c r="X31" s="1265"/>
      <c r="Y31" s="341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2" t="s">
        <v>1696</v>
      </c>
      <c r="Q32" s="1263" t="str">
        <f t="shared" si="11"/>
        <v>建筑类型</v>
      </c>
      <c r="R32" s="667" t="s">
        <v>18</v>
      </c>
      <c r="S32" s="668">
        <f t="shared" si="12"/>
        <v>100</v>
      </c>
      <c r="T32" s="667" t="s">
        <v>18</v>
      </c>
      <c r="U32" s="668">
        <f t="shared" si="13"/>
        <v>100</v>
      </c>
      <c r="V32" s="667" t="s">
        <v>18</v>
      </c>
      <c r="W32" s="668">
        <f t="shared" si="14"/>
        <v>100</v>
      </c>
      <c r="X32" s="1265"/>
      <c r="Y32" s="341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3"/>
      <c r="Q33" s="531" t="str">
        <f t="shared" si="11"/>
        <v>项目建筑规模</v>
      </c>
      <c r="R33" s="669" t="s">
        <v>18</v>
      </c>
      <c r="S33" s="670" t="e">
        <f t="shared" si="12"/>
        <v>#N/A</v>
      </c>
      <c r="T33" s="669" t="s">
        <v>18</v>
      </c>
      <c r="U33" s="670" t="e">
        <f t="shared" si="13"/>
        <v>#N/A</v>
      </c>
      <c r="V33" s="669" t="s">
        <v>18</v>
      </c>
      <c r="W33" s="670" t="e">
        <f t="shared" si="14"/>
        <v>#N/A</v>
      </c>
      <c r="X33" s="671"/>
      <c r="Y33" s="341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3"/>
      <c r="Q34" s="1263" t="str">
        <f t="shared" si="11"/>
        <v>建筑结构</v>
      </c>
      <c r="R34" s="667" t="s">
        <v>18</v>
      </c>
      <c r="S34" s="668">
        <f t="shared" si="12"/>
        <v>100</v>
      </c>
      <c r="T34" s="667" t="s">
        <v>18</v>
      </c>
      <c r="U34" s="668">
        <f t="shared" si="13"/>
        <v>100</v>
      </c>
      <c r="V34" s="667" t="s">
        <v>18</v>
      </c>
      <c r="W34" s="668">
        <f t="shared" si="14"/>
        <v>100</v>
      </c>
      <c r="X34" s="1265"/>
      <c r="Y34" s="341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3"/>
      <c r="Q35" s="1263" t="str">
        <f t="shared" si="11"/>
        <v>建筑品质</v>
      </c>
      <c r="R35" s="667" t="s">
        <v>18</v>
      </c>
      <c r="S35" s="668">
        <f t="shared" si="12"/>
        <v>100</v>
      </c>
      <c r="T35" s="667" t="s">
        <v>18</v>
      </c>
      <c r="U35" s="668">
        <f t="shared" si="13"/>
        <v>100</v>
      </c>
      <c r="V35" s="667" t="s">
        <v>18</v>
      </c>
      <c r="W35" s="668">
        <f t="shared" si="14"/>
        <v>100</v>
      </c>
      <c r="X35" s="1265"/>
      <c r="Y35" s="341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3"/>
      <c r="Q36" s="1263" t="str">
        <f t="shared" si="11"/>
        <v>公共部分装修</v>
      </c>
      <c r="R36" s="667" t="s">
        <v>18</v>
      </c>
      <c r="S36" s="668">
        <f t="shared" si="12"/>
        <v>100</v>
      </c>
      <c r="T36" s="667" t="s">
        <v>18</v>
      </c>
      <c r="U36" s="668">
        <f t="shared" si="13"/>
        <v>100</v>
      </c>
      <c r="V36" s="667" t="s">
        <v>18</v>
      </c>
      <c r="W36" s="668">
        <f t="shared" si="14"/>
        <v>100</v>
      </c>
      <c r="X36" s="1265"/>
      <c r="Y36" s="341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3"/>
      <c r="Q37" s="530" t="str">
        <f t="shared" si="11"/>
        <v>成新度</v>
      </c>
      <c r="R37" s="664" t="s">
        <v>18</v>
      </c>
      <c r="S37" s="665" t="e">
        <f t="shared" si="12"/>
        <v>#N/A</v>
      </c>
      <c r="T37" s="664" t="s">
        <v>18</v>
      </c>
      <c r="U37" s="665" t="e">
        <f t="shared" si="13"/>
        <v>#N/A</v>
      </c>
      <c r="V37" s="664" t="s">
        <v>18</v>
      </c>
      <c r="W37" s="665" t="e">
        <f t="shared" si="14"/>
        <v>#N/A</v>
      </c>
      <c r="X37" s="666"/>
      <c r="Y37" s="341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3" t="s">
        <v>1696</v>
      </c>
      <c r="Q38" s="1263" t="str">
        <f t="shared" si="11"/>
        <v>物业管理</v>
      </c>
      <c r="R38" s="667" t="s">
        <v>18</v>
      </c>
      <c r="S38" s="668">
        <f t="shared" si="12"/>
        <v>100</v>
      </c>
      <c r="T38" s="667" t="s">
        <v>18</v>
      </c>
      <c r="U38" s="668">
        <f t="shared" si="13"/>
        <v>100</v>
      </c>
      <c r="V38" s="667" t="s">
        <v>18</v>
      </c>
      <c r="W38" s="668">
        <f t="shared" si="14"/>
        <v>100</v>
      </c>
      <c r="X38" s="1265"/>
      <c r="Y38" s="341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3"/>
      <c r="Q39" s="1263" t="str">
        <f t="shared" si="11"/>
        <v>市政基础设施</v>
      </c>
      <c r="R39" s="667" t="s">
        <v>18</v>
      </c>
      <c r="S39" s="668">
        <f t="shared" si="12"/>
        <v>100</v>
      </c>
      <c r="T39" s="667" t="s">
        <v>18</v>
      </c>
      <c r="U39" s="668">
        <f t="shared" si="13"/>
        <v>100</v>
      </c>
      <c r="V39" s="667" t="s">
        <v>18</v>
      </c>
      <c r="W39" s="668">
        <f t="shared" si="14"/>
        <v>100</v>
      </c>
      <c r="X39" s="1265"/>
      <c r="Y39" s="341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3"/>
      <c r="Q40" s="1263" t="str">
        <f t="shared" si="11"/>
        <v>房型</v>
      </c>
      <c r="R40" s="667" t="s">
        <v>18</v>
      </c>
      <c r="S40" s="668">
        <f t="shared" si="12"/>
        <v>100</v>
      </c>
      <c r="T40" s="667" t="s">
        <v>18</v>
      </c>
      <c r="U40" s="668">
        <f t="shared" si="13"/>
        <v>100</v>
      </c>
      <c r="V40" s="667" t="s">
        <v>18</v>
      </c>
      <c r="W40" s="668">
        <f t="shared" si="14"/>
        <v>100</v>
      </c>
      <c r="X40" s="1265"/>
      <c r="Y40" s="341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3"/>
      <c r="Q41" s="531" t="str">
        <f t="shared" si="11"/>
        <v>单套/主力户型建筑面积</v>
      </c>
      <c r="R41" s="669" t="s">
        <v>18</v>
      </c>
      <c r="S41" s="670">
        <f t="shared" si="12"/>
        <v>100</v>
      </c>
      <c r="T41" s="669" t="s">
        <v>18</v>
      </c>
      <c r="U41" s="670">
        <f t="shared" si="13"/>
        <v>100</v>
      </c>
      <c r="V41" s="669" t="s">
        <v>18</v>
      </c>
      <c r="W41" s="670">
        <f t="shared" si="14"/>
        <v>100</v>
      </c>
      <c r="X41" s="671"/>
      <c r="Y41" s="341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3"/>
      <c r="Q42" s="1263" t="str">
        <f t="shared" si="11"/>
        <v>内部装修</v>
      </c>
      <c r="R42" s="667" t="s">
        <v>18</v>
      </c>
      <c r="S42" s="668">
        <f t="shared" si="12"/>
        <v>100</v>
      </c>
      <c r="T42" s="667" t="s">
        <v>18</v>
      </c>
      <c r="U42" s="668">
        <f t="shared" si="13"/>
        <v>100</v>
      </c>
      <c r="V42" s="667" t="s">
        <v>18</v>
      </c>
      <c r="W42" s="668">
        <f t="shared" si="14"/>
        <v>100</v>
      </c>
      <c r="X42" s="1265"/>
      <c r="Y42" s="341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3"/>
      <c r="Q43" s="1263" t="str">
        <f t="shared" si="11"/>
        <v>内部装修维护情况</v>
      </c>
      <c r="R43" s="667" t="s">
        <v>18</v>
      </c>
      <c r="S43" s="668">
        <f t="shared" si="12"/>
        <v>100</v>
      </c>
      <c r="T43" s="667" t="s">
        <v>18</v>
      </c>
      <c r="U43" s="668">
        <f t="shared" si="13"/>
        <v>100</v>
      </c>
      <c r="V43" s="667" t="s">
        <v>18</v>
      </c>
      <c r="W43" s="668">
        <f t="shared" si="14"/>
        <v>100</v>
      </c>
      <c r="X43" s="1265"/>
      <c r="Y43" s="341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3"/>
      <c r="Q44" s="530">
        <f t="shared" si="11"/>
        <v>111</v>
      </c>
      <c r="R44" s="664" t="s">
        <v>18</v>
      </c>
      <c r="S44" s="665">
        <f t="shared" si="12"/>
        <v>100</v>
      </c>
      <c r="T44" s="664" t="s">
        <v>18</v>
      </c>
      <c r="U44" s="665">
        <f t="shared" si="13"/>
        <v>100</v>
      </c>
      <c r="V44" s="664" t="s">
        <v>18</v>
      </c>
      <c r="W44" s="665">
        <f t="shared" si="14"/>
        <v>100</v>
      </c>
      <c r="X44" s="666"/>
      <c r="Y44" s="341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3"/>
      <c r="Q45" s="1263">
        <f t="shared" si="11"/>
        <v>111</v>
      </c>
      <c r="R45" s="667" t="s">
        <v>18</v>
      </c>
      <c r="S45" s="668">
        <f t="shared" si="12"/>
        <v>100</v>
      </c>
      <c r="T45" s="667" t="s">
        <v>18</v>
      </c>
      <c r="U45" s="668">
        <f t="shared" si="13"/>
        <v>100</v>
      </c>
      <c r="V45" s="667" t="s">
        <v>18</v>
      </c>
      <c r="W45" s="668">
        <f t="shared" si="14"/>
        <v>100</v>
      </c>
      <c r="X45" s="1265"/>
      <c r="Y45" s="341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4"/>
      <c r="Q46" s="1263">
        <f t="shared" si="11"/>
        <v>111</v>
      </c>
      <c r="R46" s="667" t="s">
        <v>17</v>
      </c>
      <c r="S46" s="668">
        <f t="shared" si="12"/>
        <v>100</v>
      </c>
      <c r="T46" s="667" t="s">
        <v>17</v>
      </c>
      <c r="U46" s="668">
        <f t="shared" si="13"/>
        <v>100</v>
      </c>
      <c r="V46" s="667" t="s">
        <v>17</v>
      </c>
      <c r="W46" s="668">
        <f t="shared" si="14"/>
        <v>100</v>
      </c>
      <c r="X46" s="1265"/>
      <c r="Y46" s="341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09" t="str">
        <f>A47</f>
        <v>成交单价（元/平方米）</v>
      </c>
      <c r="Q47" s="3409"/>
      <c r="R47" s="3404">
        <f>E47</f>
        <v>0</v>
      </c>
      <c r="S47" s="3404"/>
      <c r="T47" s="3404">
        <f>G47</f>
        <v>0</v>
      </c>
      <c r="U47" s="3404"/>
      <c r="V47" s="3404">
        <f>I47</f>
        <v>0</v>
      </c>
      <c r="W47" s="3404"/>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409" t="str">
        <f>A48</f>
        <v>比较价值（元/平方米）</v>
      </c>
      <c r="Q48" s="3409"/>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174.9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404"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404"/>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404"/>
      <c r="AC6" s="3376"/>
    </row>
    <row r="7" spans="1:29" s="102" customFormat="1" ht="15.7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1"/>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1"/>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17" t="s">
        <v>1691</v>
      </c>
      <c r="Q15" s="1263" t="str">
        <f t="shared" si="6"/>
        <v>商业繁华度</v>
      </c>
      <c r="R15" s="667" t="s">
        <v>14</v>
      </c>
      <c r="S15" s="668">
        <f t="shared" si="0"/>
        <v>100</v>
      </c>
      <c r="T15" s="667" t="s">
        <v>14</v>
      </c>
      <c r="U15" s="668">
        <f t="shared" si="1"/>
        <v>100</v>
      </c>
      <c r="V15" s="667" t="s">
        <v>14</v>
      </c>
      <c r="W15" s="668">
        <f t="shared" si="2"/>
        <v>100</v>
      </c>
      <c r="X15" s="1265"/>
      <c r="Y15" s="341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18"/>
      <c r="Q16" s="1263"/>
      <c r="R16" s="667"/>
      <c r="S16" s="668"/>
      <c r="T16" s="667"/>
      <c r="U16" s="668"/>
      <c r="V16" s="667"/>
      <c r="W16" s="668"/>
      <c r="X16" s="1265"/>
      <c r="Y16" s="341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18"/>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18"/>
      <c r="Q18" s="1263"/>
      <c r="R18" s="667"/>
      <c r="S18" s="668"/>
      <c r="T18" s="667"/>
      <c r="U18" s="668"/>
      <c r="V18" s="667"/>
      <c r="W18" s="668"/>
      <c r="X18" s="1265"/>
      <c r="Y18" s="341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18"/>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18"/>
      <c r="Q20" s="1263"/>
      <c r="R20" s="667"/>
      <c r="S20" s="668"/>
      <c r="T20" s="667"/>
      <c r="U20" s="668"/>
      <c r="V20" s="667"/>
      <c r="W20" s="668"/>
      <c r="X20" s="1265"/>
      <c r="Y20" s="341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18"/>
      <c r="Q22" s="1263"/>
      <c r="R22" s="667"/>
      <c r="S22" s="668"/>
      <c r="T22" s="667"/>
      <c r="U22" s="668"/>
      <c r="V22" s="667"/>
      <c r="W22" s="668"/>
      <c r="X22" s="1265"/>
      <c r="Y22" s="341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18"/>
      <c r="Q23" s="1263" t="str">
        <f>B23</f>
        <v>自然及人文环境</v>
      </c>
      <c r="R23" s="667" t="s">
        <v>14</v>
      </c>
      <c r="S23" s="668">
        <f>F23</f>
        <v>100</v>
      </c>
      <c r="T23" s="667" t="s">
        <v>14</v>
      </c>
      <c r="U23" s="668">
        <f>H23</f>
        <v>100</v>
      </c>
      <c r="V23" s="667" t="s">
        <v>14</v>
      </c>
      <c r="W23" s="668">
        <f>J23</f>
        <v>100</v>
      </c>
      <c r="X23" s="1265"/>
      <c r="Y23" s="341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18"/>
      <c r="Q24" s="1263"/>
      <c r="R24" s="667"/>
      <c r="S24" s="668"/>
      <c r="T24" s="667"/>
      <c r="U24" s="668"/>
      <c r="V24" s="667"/>
      <c r="W24" s="668"/>
      <c r="X24" s="1265"/>
      <c r="Y24" s="341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18"/>
      <c r="Q25" s="1263" t="str">
        <f t="shared" ref="Q25:Q46" si="11">B25</f>
        <v>临街状况</v>
      </c>
      <c r="R25" s="667" t="s">
        <v>14</v>
      </c>
      <c r="S25" s="668">
        <f>F25</f>
        <v>100</v>
      </c>
      <c r="T25" s="667" t="s">
        <v>14</v>
      </c>
      <c r="U25" s="668">
        <f>H25</f>
        <v>100</v>
      </c>
      <c r="V25" s="667" t="s">
        <v>14</v>
      </c>
      <c r="W25" s="668">
        <f>J25</f>
        <v>100</v>
      </c>
      <c r="X25" s="1265"/>
      <c r="Y25" s="341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18"/>
      <c r="Q26" s="1263" t="str">
        <f t="shared" si="11"/>
        <v>平面位置/可视性</v>
      </c>
      <c r="R26" s="667" t="s">
        <v>14</v>
      </c>
      <c r="S26" s="668">
        <f>F26</f>
        <v>100</v>
      </c>
      <c r="T26" s="667" t="s">
        <v>14</v>
      </c>
      <c r="U26" s="668">
        <f>H26</f>
        <v>100</v>
      </c>
      <c r="V26" s="667" t="s">
        <v>14</v>
      </c>
      <c r="W26" s="668">
        <f>J26</f>
        <v>100</v>
      </c>
      <c r="X26" s="1265"/>
      <c r="Y26" s="341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18"/>
      <c r="Q27" s="530" t="str">
        <f t="shared" si="11"/>
        <v>人流量</v>
      </c>
      <c r="R27" s="664" t="s">
        <v>14</v>
      </c>
      <c r="S27" s="665">
        <f>F27</f>
        <v>100</v>
      </c>
      <c r="T27" s="664" t="s">
        <v>14</v>
      </c>
      <c r="U27" s="665">
        <f>H27</f>
        <v>100</v>
      </c>
      <c r="V27" s="664" t="s">
        <v>14</v>
      </c>
      <c r="W27" s="665">
        <f>J27</f>
        <v>100</v>
      </c>
      <c r="X27" s="666"/>
      <c r="Y27" s="341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1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18"/>
      <c r="Q29" s="1263">
        <f t="shared" si="11"/>
        <v>111</v>
      </c>
      <c r="R29" s="667" t="s">
        <v>14</v>
      </c>
      <c r="S29" s="668">
        <f t="shared" si="12"/>
        <v>100</v>
      </c>
      <c r="T29" s="667" t="s">
        <v>14</v>
      </c>
      <c r="U29" s="668">
        <f t="shared" si="13"/>
        <v>100</v>
      </c>
      <c r="V29" s="667" t="s">
        <v>14</v>
      </c>
      <c r="W29" s="668">
        <f t="shared" si="14"/>
        <v>100</v>
      </c>
      <c r="X29" s="1265"/>
      <c r="Y29" s="341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18"/>
      <c r="Q30" s="1263">
        <f t="shared" si="11"/>
        <v>111</v>
      </c>
      <c r="R30" s="667" t="s">
        <v>14</v>
      </c>
      <c r="S30" s="668">
        <f t="shared" si="12"/>
        <v>100</v>
      </c>
      <c r="T30" s="667" t="s">
        <v>14</v>
      </c>
      <c r="U30" s="668">
        <f t="shared" si="13"/>
        <v>100</v>
      </c>
      <c r="V30" s="667" t="s">
        <v>14</v>
      </c>
      <c r="W30" s="668">
        <f t="shared" si="14"/>
        <v>100</v>
      </c>
      <c r="X30" s="1265"/>
      <c r="Y30" s="341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18"/>
      <c r="Q31" s="1263">
        <f t="shared" si="11"/>
        <v>111</v>
      </c>
      <c r="R31" s="667" t="s">
        <v>14</v>
      </c>
      <c r="S31" s="668">
        <f t="shared" si="12"/>
        <v>100</v>
      </c>
      <c r="T31" s="667" t="s">
        <v>14</v>
      </c>
      <c r="U31" s="668">
        <f t="shared" si="13"/>
        <v>100</v>
      </c>
      <c r="V31" s="667" t="s">
        <v>14</v>
      </c>
      <c r="W31" s="668">
        <f t="shared" si="14"/>
        <v>100</v>
      </c>
      <c r="X31" s="1265"/>
      <c r="Y31" s="341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2" t="s">
        <v>1696</v>
      </c>
      <c r="Q32" s="1263" t="str">
        <f t="shared" si="11"/>
        <v>商业类型</v>
      </c>
      <c r="R32" s="667" t="s">
        <v>14</v>
      </c>
      <c r="S32" s="668">
        <f t="shared" si="12"/>
        <v>100</v>
      </c>
      <c r="T32" s="667" t="s">
        <v>14</v>
      </c>
      <c r="U32" s="668">
        <f t="shared" si="13"/>
        <v>100</v>
      </c>
      <c r="V32" s="667" t="s">
        <v>14</v>
      </c>
      <c r="W32" s="668">
        <f t="shared" si="14"/>
        <v>100</v>
      </c>
      <c r="X32" s="1265"/>
      <c r="Y32" s="341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13"/>
      <c r="Q33" s="531" t="str">
        <f t="shared" si="11"/>
        <v>项目建筑规模</v>
      </c>
      <c r="R33" s="669" t="s">
        <v>14</v>
      </c>
      <c r="S33" s="670" t="e">
        <f t="shared" si="12"/>
        <v>#N/A</v>
      </c>
      <c r="T33" s="669" t="s">
        <v>14</v>
      </c>
      <c r="U33" s="670" t="e">
        <f t="shared" si="13"/>
        <v>#N/A</v>
      </c>
      <c r="V33" s="669" t="s">
        <v>14</v>
      </c>
      <c r="W33" s="670" t="e">
        <f t="shared" si="14"/>
        <v>#N/A</v>
      </c>
      <c r="X33" s="671"/>
      <c r="Y33" s="341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3"/>
      <c r="Q34" s="1263" t="str">
        <f t="shared" si="11"/>
        <v>建筑结构</v>
      </c>
      <c r="R34" s="667" t="s">
        <v>14</v>
      </c>
      <c r="S34" s="668">
        <f t="shared" si="12"/>
        <v>100</v>
      </c>
      <c r="T34" s="667" t="s">
        <v>14</v>
      </c>
      <c r="U34" s="668">
        <f t="shared" si="13"/>
        <v>100</v>
      </c>
      <c r="V34" s="667" t="s">
        <v>14</v>
      </c>
      <c r="W34" s="668">
        <f t="shared" si="14"/>
        <v>100</v>
      </c>
      <c r="X34" s="1265"/>
      <c r="Y34" s="341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3"/>
      <c r="Q35" s="1263" t="str">
        <f t="shared" si="11"/>
        <v>公共部分装修</v>
      </c>
      <c r="R35" s="667" t="s">
        <v>14</v>
      </c>
      <c r="S35" s="668">
        <f t="shared" si="12"/>
        <v>100</v>
      </c>
      <c r="T35" s="667" t="s">
        <v>14</v>
      </c>
      <c r="U35" s="668">
        <f t="shared" si="13"/>
        <v>100</v>
      </c>
      <c r="V35" s="667" t="s">
        <v>14</v>
      </c>
      <c r="W35" s="668">
        <f t="shared" si="14"/>
        <v>100</v>
      </c>
      <c r="X35" s="1265"/>
      <c r="Y35" s="341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13"/>
      <c r="Q36" s="1263" t="str">
        <f t="shared" si="11"/>
        <v>成新度</v>
      </c>
      <c r="R36" s="667" t="s">
        <v>14</v>
      </c>
      <c r="S36" s="668" t="e">
        <f t="shared" si="12"/>
        <v>#N/A</v>
      </c>
      <c r="T36" s="667" t="s">
        <v>14</v>
      </c>
      <c r="U36" s="668" t="e">
        <f t="shared" si="13"/>
        <v>#N/A</v>
      </c>
      <c r="V36" s="667" t="s">
        <v>14</v>
      </c>
      <c r="W36" s="668" t="e">
        <f t="shared" si="14"/>
        <v>#N/A</v>
      </c>
      <c r="X36" s="1265"/>
      <c r="Y36" s="341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3"/>
      <c r="Q37" s="530" t="str">
        <f t="shared" si="11"/>
        <v>市政基础设施</v>
      </c>
      <c r="R37" s="664" t="s">
        <v>14</v>
      </c>
      <c r="S37" s="665">
        <f t="shared" si="12"/>
        <v>100</v>
      </c>
      <c r="T37" s="664" t="s">
        <v>14</v>
      </c>
      <c r="U37" s="665">
        <f t="shared" si="13"/>
        <v>100</v>
      </c>
      <c r="V37" s="664" t="s">
        <v>14</v>
      </c>
      <c r="W37" s="665">
        <f t="shared" si="14"/>
        <v>100</v>
      </c>
      <c r="X37" s="666"/>
      <c r="Y37" s="341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3" t="s">
        <v>1696</v>
      </c>
      <c r="Q38" s="1263" t="str">
        <f t="shared" si="11"/>
        <v>业态</v>
      </c>
      <c r="R38" s="667" t="s">
        <v>14</v>
      </c>
      <c r="S38" s="668">
        <f t="shared" si="12"/>
        <v>100</v>
      </c>
      <c r="T38" s="667" t="s">
        <v>14</v>
      </c>
      <c r="U38" s="668">
        <f t="shared" si="13"/>
        <v>100</v>
      </c>
      <c r="V38" s="667" t="s">
        <v>14</v>
      </c>
      <c r="W38" s="668">
        <f t="shared" si="14"/>
        <v>100</v>
      </c>
      <c r="X38" s="1265"/>
      <c r="Y38" s="341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3"/>
      <c r="Q39" s="1263" t="str">
        <f t="shared" si="11"/>
        <v>层高</v>
      </c>
      <c r="R39" s="667" t="s">
        <v>14</v>
      </c>
      <c r="S39" s="668">
        <f t="shared" si="12"/>
        <v>100</v>
      </c>
      <c r="T39" s="667" t="s">
        <v>14</v>
      </c>
      <c r="U39" s="668">
        <f t="shared" si="13"/>
        <v>100</v>
      </c>
      <c r="V39" s="667" t="s">
        <v>14</v>
      </c>
      <c r="W39" s="668">
        <f t="shared" si="14"/>
        <v>100</v>
      </c>
      <c r="X39" s="1265"/>
      <c r="Y39" s="341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3"/>
      <c r="Q40" s="1263" t="str">
        <f t="shared" si="11"/>
        <v>单套建筑面积</v>
      </c>
      <c r="R40" s="667" t="s">
        <v>14</v>
      </c>
      <c r="S40" s="668">
        <f t="shared" si="12"/>
        <v>100</v>
      </c>
      <c r="T40" s="667" t="s">
        <v>14</v>
      </c>
      <c r="U40" s="668">
        <f t="shared" si="13"/>
        <v>100</v>
      </c>
      <c r="V40" s="667" t="s">
        <v>14</v>
      </c>
      <c r="W40" s="668">
        <f t="shared" si="14"/>
        <v>100</v>
      </c>
      <c r="X40" s="1265"/>
      <c r="Y40" s="341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3"/>
      <c r="Q41" s="531" t="str">
        <f t="shared" si="11"/>
        <v>进深比</v>
      </c>
      <c r="R41" s="669" t="s">
        <v>14</v>
      </c>
      <c r="S41" s="670">
        <f t="shared" si="12"/>
        <v>100</v>
      </c>
      <c r="T41" s="669" t="s">
        <v>14</v>
      </c>
      <c r="U41" s="670">
        <f t="shared" si="13"/>
        <v>100</v>
      </c>
      <c r="V41" s="669" t="s">
        <v>14</v>
      </c>
      <c r="W41" s="670">
        <f t="shared" si="14"/>
        <v>100</v>
      </c>
      <c r="X41" s="671"/>
      <c r="Y41" s="341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3"/>
      <c r="Q42" s="1263" t="str">
        <f t="shared" si="11"/>
        <v>内部装修</v>
      </c>
      <c r="R42" s="667" t="s">
        <v>14</v>
      </c>
      <c r="S42" s="668">
        <f t="shared" si="12"/>
        <v>100</v>
      </c>
      <c r="T42" s="667" t="s">
        <v>14</v>
      </c>
      <c r="U42" s="668">
        <f t="shared" si="13"/>
        <v>100</v>
      </c>
      <c r="V42" s="667" t="s">
        <v>14</v>
      </c>
      <c r="W42" s="668">
        <f t="shared" si="14"/>
        <v>100</v>
      </c>
      <c r="X42" s="1265"/>
      <c r="Y42" s="341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3"/>
      <c r="Q43" s="1263" t="str">
        <f t="shared" si="11"/>
        <v>内部装修维护情况</v>
      </c>
      <c r="R43" s="667" t="s">
        <v>14</v>
      </c>
      <c r="S43" s="668">
        <f t="shared" si="12"/>
        <v>100</v>
      </c>
      <c r="T43" s="667" t="s">
        <v>14</v>
      </c>
      <c r="U43" s="668">
        <f t="shared" si="13"/>
        <v>100</v>
      </c>
      <c r="V43" s="667" t="s">
        <v>14</v>
      </c>
      <c r="W43" s="668">
        <f t="shared" si="14"/>
        <v>100</v>
      </c>
      <c r="X43" s="1265"/>
      <c r="Y43" s="341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3"/>
      <c r="Q44" s="530">
        <f t="shared" si="11"/>
        <v>111</v>
      </c>
      <c r="R44" s="664" t="s">
        <v>14</v>
      </c>
      <c r="S44" s="665">
        <f t="shared" si="12"/>
        <v>100</v>
      </c>
      <c r="T44" s="664" t="s">
        <v>14</v>
      </c>
      <c r="U44" s="665">
        <f t="shared" si="13"/>
        <v>100</v>
      </c>
      <c r="V44" s="664" t="s">
        <v>14</v>
      </c>
      <c r="W44" s="665">
        <f t="shared" si="14"/>
        <v>100</v>
      </c>
      <c r="X44" s="666"/>
      <c r="Y44" s="341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3"/>
      <c r="Q45" s="1263">
        <f t="shared" si="11"/>
        <v>111</v>
      </c>
      <c r="R45" s="667" t="s">
        <v>14</v>
      </c>
      <c r="S45" s="668">
        <f t="shared" si="12"/>
        <v>100</v>
      </c>
      <c r="T45" s="667" t="s">
        <v>14</v>
      </c>
      <c r="U45" s="668">
        <f t="shared" si="13"/>
        <v>100</v>
      </c>
      <c r="V45" s="667" t="s">
        <v>14</v>
      </c>
      <c r="W45" s="668">
        <f t="shared" si="14"/>
        <v>100</v>
      </c>
      <c r="X45" s="1265"/>
      <c r="Y45" s="341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4"/>
      <c r="Q46" s="1263">
        <f t="shared" si="11"/>
        <v>111</v>
      </c>
      <c r="R46" s="667" t="s">
        <v>14</v>
      </c>
      <c r="S46" s="668">
        <f t="shared" si="12"/>
        <v>100</v>
      </c>
      <c r="T46" s="667" t="s">
        <v>14</v>
      </c>
      <c r="U46" s="668">
        <f t="shared" si="13"/>
        <v>100</v>
      </c>
      <c r="V46" s="667" t="s">
        <v>14</v>
      </c>
      <c r="W46" s="668">
        <f t="shared" si="14"/>
        <v>100</v>
      </c>
      <c r="X46" s="1265"/>
      <c r="Y46" s="341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09" t="str">
        <f>A47</f>
        <v>成交单价（元/平方米）</v>
      </c>
      <c r="Q47" s="3409"/>
      <c r="R47" s="3404">
        <f>E47</f>
        <v>0</v>
      </c>
      <c r="S47" s="3404"/>
      <c r="T47" s="3404">
        <f>G47</f>
        <v>0</v>
      </c>
      <c r="U47" s="3404"/>
      <c r="V47" s="3404">
        <f>I47</f>
        <v>0</v>
      </c>
      <c r="W47" s="3404"/>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409" t="str">
        <f>A48</f>
        <v>比较价值（元/平方米）</v>
      </c>
      <c r="Q48" s="3409"/>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174.9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425" t="s">
        <v>1775</v>
      </c>
      <c r="Q4" s="3426"/>
      <c r="R4" s="3420" t="s">
        <v>1771</v>
      </c>
      <c r="S4" s="3421"/>
      <c r="T4" s="3420" t="s">
        <v>1772</v>
      </c>
      <c r="U4" s="3421"/>
      <c r="V4" s="3429" t="s">
        <v>1773</v>
      </c>
      <c r="W4" s="3429"/>
      <c r="X4" s="1809"/>
      <c r="Y4" s="3420" t="s">
        <v>1775</v>
      </c>
      <c r="Z4" s="3421"/>
      <c r="AA4" s="3419" t="s">
        <v>1771</v>
      </c>
      <c r="AB4" s="3419" t="s">
        <v>1772</v>
      </c>
      <c r="AC4" s="3422" t="s">
        <v>1773</v>
      </c>
    </row>
    <row r="5" spans="1:29" ht="15">
      <c r="A5" s="348"/>
      <c r="B5" s="349"/>
      <c r="C5" s="3385" t="s">
        <v>1673</v>
      </c>
      <c r="D5" s="3386"/>
      <c r="E5" s="3383" t="s">
        <v>1674</v>
      </c>
      <c r="F5" s="3384"/>
      <c r="G5" s="3385" t="s">
        <v>1675</v>
      </c>
      <c r="H5" s="3386"/>
      <c r="I5" s="3385" t="s">
        <v>1676</v>
      </c>
      <c r="J5" s="3386"/>
      <c r="K5" s="537"/>
      <c r="L5" s="2487"/>
      <c r="M5" s="2488"/>
      <c r="N5" s="2488"/>
      <c r="O5" s="2488"/>
      <c r="P5" s="3427"/>
      <c r="Q5" s="3399"/>
      <c r="R5" s="3381"/>
      <c r="S5" s="3382"/>
      <c r="T5" s="3381"/>
      <c r="U5" s="3382"/>
      <c r="V5" s="3404"/>
      <c r="W5" s="3404"/>
      <c r="X5" s="1265"/>
      <c r="Y5" s="3381"/>
      <c r="Z5" s="3382"/>
      <c r="AA5" s="3375"/>
      <c r="AB5" s="3375"/>
      <c r="AC5" s="3423"/>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28"/>
      <c r="Q6" s="3401"/>
      <c r="R6" s="3381"/>
      <c r="S6" s="3382"/>
      <c r="T6" s="3402"/>
      <c r="U6" s="3403"/>
      <c r="V6" s="3404"/>
      <c r="W6" s="3404"/>
      <c r="X6" s="1265"/>
      <c r="Y6" s="3402"/>
      <c r="Z6" s="3403"/>
      <c r="AA6" s="3376"/>
      <c r="AB6" s="3376"/>
      <c r="AC6" s="3424"/>
    </row>
    <row r="7" spans="1:29" s="102" customFormat="1" ht="15.75" thickBot="1">
      <c r="A7" s="352" t="s">
        <v>1679</v>
      </c>
      <c r="B7" s="353"/>
      <c r="C7" s="354">
        <f>'数据-取费表'!B2</f>
        <v>45828</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0"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0" t="s">
        <v>1683</v>
      </c>
      <c r="Q8" s="3378"/>
      <c r="R8" s="664" t="s">
        <v>14</v>
      </c>
      <c r="S8" s="665">
        <f t="shared" si="0"/>
        <v>100</v>
      </c>
      <c r="T8" s="664" t="s">
        <v>14</v>
      </c>
      <c r="U8" s="665">
        <f t="shared" si="1"/>
        <v>100</v>
      </c>
      <c r="V8" s="664" t="s">
        <v>14</v>
      </c>
      <c r="W8" s="665">
        <f t="shared" si="2"/>
        <v>100</v>
      </c>
      <c r="X8" s="666"/>
      <c r="Y8" s="3377" t="s">
        <v>1683</v>
      </c>
      <c r="Z8" s="337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1"/>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1"/>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17" t="s">
        <v>1691</v>
      </c>
      <c r="Q15" s="1263" t="str">
        <f t="shared" si="6"/>
        <v>办公集聚程度</v>
      </c>
      <c r="R15" s="667" t="s">
        <v>14</v>
      </c>
      <c r="S15" s="668">
        <f t="shared" si="0"/>
        <v>100</v>
      </c>
      <c r="T15" s="667" t="s">
        <v>14</v>
      </c>
      <c r="U15" s="668">
        <f t="shared" si="1"/>
        <v>100</v>
      </c>
      <c r="V15" s="667" t="s">
        <v>14</v>
      </c>
      <c r="W15" s="668">
        <f t="shared" si="2"/>
        <v>100</v>
      </c>
      <c r="X15" s="1265"/>
      <c r="Y15" s="341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18"/>
      <c r="Q16" s="1263"/>
      <c r="R16" s="667"/>
      <c r="S16" s="668"/>
      <c r="T16" s="667"/>
      <c r="U16" s="668"/>
      <c r="V16" s="667"/>
      <c r="W16" s="668"/>
      <c r="X16" s="1265"/>
      <c r="Y16" s="341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18"/>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18"/>
      <c r="Q18" s="1263"/>
      <c r="R18" s="667"/>
      <c r="S18" s="668"/>
      <c r="T18" s="667"/>
      <c r="U18" s="668"/>
      <c r="V18" s="667"/>
      <c r="W18" s="668"/>
      <c r="X18" s="1265"/>
      <c r="Y18" s="341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18"/>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18"/>
      <c r="Q20" s="1263"/>
      <c r="R20" s="667"/>
      <c r="S20" s="668"/>
      <c r="T20" s="667"/>
      <c r="U20" s="668"/>
      <c r="V20" s="667"/>
      <c r="W20" s="668"/>
      <c r="X20" s="1265"/>
      <c r="Y20" s="341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18"/>
      <c r="Q22" s="1263"/>
      <c r="R22" s="667"/>
      <c r="S22" s="668"/>
      <c r="T22" s="667"/>
      <c r="U22" s="668"/>
      <c r="V22" s="667"/>
      <c r="W22" s="668"/>
      <c r="X22" s="1265"/>
      <c r="Y22" s="341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18"/>
      <c r="Q23" s="1263" t="str">
        <f>B23</f>
        <v>环境质量</v>
      </c>
      <c r="R23" s="667" t="s">
        <v>14</v>
      </c>
      <c r="S23" s="668">
        <f>F23</f>
        <v>100</v>
      </c>
      <c r="T23" s="667" t="s">
        <v>14</v>
      </c>
      <c r="U23" s="668">
        <f>H23</f>
        <v>100</v>
      </c>
      <c r="V23" s="667" t="s">
        <v>14</v>
      </c>
      <c r="W23" s="668">
        <f>J23</f>
        <v>100</v>
      </c>
      <c r="X23" s="1265"/>
      <c r="Y23" s="341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18"/>
      <c r="Q24" s="1263"/>
      <c r="R24" s="667"/>
      <c r="S24" s="668"/>
      <c r="T24" s="667"/>
      <c r="U24" s="668"/>
      <c r="V24" s="667"/>
      <c r="W24" s="668"/>
      <c r="X24" s="1265"/>
      <c r="Y24" s="341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18"/>
      <c r="Q25" s="1263" t="str">
        <f>B25</f>
        <v>毗邻道路的类型与等级</v>
      </c>
      <c r="R25" s="667" t="s">
        <v>14</v>
      </c>
      <c r="S25" s="668">
        <f>F25</f>
        <v>100</v>
      </c>
      <c r="T25" s="667" t="s">
        <v>14</v>
      </c>
      <c r="U25" s="668">
        <f>H25</f>
        <v>100</v>
      </c>
      <c r="V25" s="667" t="s">
        <v>14</v>
      </c>
      <c r="W25" s="668">
        <f>J25</f>
        <v>100</v>
      </c>
      <c r="X25" s="1265"/>
      <c r="Y25" s="341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18"/>
      <c r="Q26" s="1263"/>
      <c r="R26" s="667"/>
      <c r="S26" s="668"/>
      <c r="T26" s="667"/>
      <c r="U26" s="668"/>
      <c r="V26" s="667"/>
      <c r="W26" s="668"/>
      <c r="X26" s="1265"/>
      <c r="Y26" s="341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18"/>
      <c r="Q27" s="1263" t="str">
        <f t="shared" ref="Q27:Q47" si="11">B27</f>
        <v>楼层</v>
      </c>
      <c r="R27" s="667" t="s">
        <v>14</v>
      </c>
      <c r="S27" s="668">
        <f>F27</f>
        <v>100</v>
      </c>
      <c r="T27" s="667" t="s">
        <v>14</v>
      </c>
      <c r="U27" s="668">
        <f>H27</f>
        <v>100</v>
      </c>
      <c r="V27" s="667" t="s">
        <v>14</v>
      </c>
      <c r="W27" s="668">
        <f>J27</f>
        <v>100</v>
      </c>
      <c r="X27" s="1265"/>
      <c r="Y27" s="341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18"/>
      <c r="Q28" s="530" t="str">
        <f t="shared" si="11"/>
        <v>朝向</v>
      </c>
      <c r="R28" s="664" t="s">
        <v>14</v>
      </c>
      <c r="S28" s="665">
        <f>F28</f>
        <v>100</v>
      </c>
      <c r="T28" s="664" t="s">
        <v>14</v>
      </c>
      <c r="U28" s="665">
        <f>H28</f>
        <v>100</v>
      </c>
      <c r="V28" s="664" t="s">
        <v>14</v>
      </c>
      <c r="W28" s="665">
        <f>J28</f>
        <v>100</v>
      </c>
      <c r="X28" s="666"/>
      <c r="Y28" s="341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18"/>
      <c r="Q29" s="1263">
        <f t="shared" si="11"/>
        <v>111</v>
      </c>
      <c r="R29" s="667" t="s">
        <v>14</v>
      </c>
      <c r="S29" s="668">
        <f t="shared" ref="S29:S47" si="12">F29</f>
        <v>100</v>
      </c>
      <c r="T29" s="667" t="s">
        <v>14</v>
      </c>
      <c r="U29" s="668">
        <f t="shared" ref="U29:U47" si="13">H29</f>
        <v>100</v>
      </c>
      <c r="V29" s="667" t="s">
        <v>14</v>
      </c>
      <c r="W29" s="668">
        <f t="shared" ref="W29:W47" si="14">J29</f>
        <v>100</v>
      </c>
      <c r="X29" s="1265"/>
      <c r="Y29" s="341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18"/>
      <c r="Q30" s="1263">
        <f t="shared" si="11"/>
        <v>111</v>
      </c>
      <c r="R30" s="667" t="s">
        <v>14</v>
      </c>
      <c r="S30" s="668">
        <f t="shared" si="12"/>
        <v>100</v>
      </c>
      <c r="T30" s="667" t="s">
        <v>14</v>
      </c>
      <c r="U30" s="668">
        <f t="shared" si="13"/>
        <v>100</v>
      </c>
      <c r="V30" s="667" t="s">
        <v>14</v>
      </c>
      <c r="W30" s="668">
        <f t="shared" si="14"/>
        <v>100</v>
      </c>
      <c r="X30" s="1265"/>
      <c r="Y30" s="341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18"/>
      <c r="Q31" s="1263">
        <f t="shared" si="11"/>
        <v>111</v>
      </c>
      <c r="R31" s="667" t="s">
        <v>14</v>
      </c>
      <c r="S31" s="668">
        <f t="shared" si="12"/>
        <v>100</v>
      </c>
      <c r="T31" s="667" t="s">
        <v>14</v>
      </c>
      <c r="U31" s="668">
        <f t="shared" si="13"/>
        <v>100</v>
      </c>
      <c r="V31" s="667" t="s">
        <v>14</v>
      </c>
      <c r="W31" s="668">
        <f t="shared" si="14"/>
        <v>100</v>
      </c>
      <c r="X31" s="1265"/>
      <c r="Y31" s="341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18"/>
      <c r="Q32" s="1263">
        <f t="shared" si="11"/>
        <v>111</v>
      </c>
      <c r="R32" s="667" t="s">
        <v>14</v>
      </c>
      <c r="S32" s="668">
        <f t="shared" si="12"/>
        <v>100</v>
      </c>
      <c r="T32" s="667" t="s">
        <v>14</v>
      </c>
      <c r="U32" s="668">
        <f t="shared" si="13"/>
        <v>100</v>
      </c>
      <c r="V32" s="667" t="s">
        <v>14</v>
      </c>
      <c r="W32" s="668">
        <f t="shared" si="14"/>
        <v>100</v>
      </c>
      <c r="X32" s="1265"/>
      <c r="Y32" s="341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2" t="s">
        <v>1696</v>
      </c>
      <c r="Q33" s="1263" t="str">
        <f t="shared" si="11"/>
        <v>建筑类型</v>
      </c>
      <c r="R33" s="667" t="s">
        <v>14</v>
      </c>
      <c r="S33" s="668">
        <f t="shared" si="12"/>
        <v>100</v>
      </c>
      <c r="T33" s="667" t="s">
        <v>14</v>
      </c>
      <c r="U33" s="668">
        <f t="shared" si="13"/>
        <v>100</v>
      </c>
      <c r="V33" s="667" t="s">
        <v>14</v>
      </c>
      <c r="W33" s="668">
        <f t="shared" si="14"/>
        <v>100</v>
      </c>
      <c r="X33" s="1265"/>
      <c r="Y33" s="341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13"/>
      <c r="Q34" s="531" t="str">
        <f t="shared" si="11"/>
        <v>项目建筑规模</v>
      </c>
      <c r="R34" s="669" t="s">
        <v>14</v>
      </c>
      <c r="S34" s="670" t="e">
        <f t="shared" si="12"/>
        <v>#N/A</v>
      </c>
      <c r="T34" s="669" t="s">
        <v>14</v>
      </c>
      <c r="U34" s="670" t="e">
        <f t="shared" si="13"/>
        <v>#N/A</v>
      </c>
      <c r="V34" s="669" t="s">
        <v>14</v>
      </c>
      <c r="W34" s="670" t="e">
        <f t="shared" si="14"/>
        <v>#N/A</v>
      </c>
      <c r="X34" s="671"/>
      <c r="Y34" s="341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13"/>
      <c r="Q35" s="1263" t="str">
        <f t="shared" si="11"/>
        <v>建筑结构</v>
      </c>
      <c r="R35" s="667" t="s">
        <v>14</v>
      </c>
      <c r="S35" s="668">
        <f t="shared" si="12"/>
        <v>100</v>
      </c>
      <c r="T35" s="667" t="s">
        <v>14</v>
      </c>
      <c r="U35" s="668">
        <f t="shared" si="13"/>
        <v>100</v>
      </c>
      <c r="V35" s="667" t="s">
        <v>14</v>
      </c>
      <c r="W35" s="668">
        <f t="shared" si="14"/>
        <v>100</v>
      </c>
      <c r="X35" s="1265"/>
      <c r="Y35" s="341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13"/>
      <c r="Q36" s="1263" t="str">
        <f t="shared" si="11"/>
        <v>公共部分装修</v>
      </c>
      <c r="R36" s="667" t="s">
        <v>14</v>
      </c>
      <c r="S36" s="668">
        <f t="shared" si="12"/>
        <v>100</v>
      </c>
      <c r="T36" s="667" t="s">
        <v>14</v>
      </c>
      <c r="U36" s="668">
        <f t="shared" si="13"/>
        <v>100</v>
      </c>
      <c r="V36" s="667" t="s">
        <v>14</v>
      </c>
      <c r="W36" s="668">
        <f t="shared" si="14"/>
        <v>100</v>
      </c>
      <c r="X36" s="1265"/>
      <c r="Y36" s="341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13"/>
      <c r="Q37" s="1263" t="str">
        <f t="shared" si="11"/>
        <v>成新度</v>
      </c>
      <c r="R37" s="667" t="s">
        <v>14</v>
      </c>
      <c r="S37" s="668" t="e">
        <f t="shared" si="12"/>
        <v>#N/A</v>
      </c>
      <c r="T37" s="667" t="s">
        <v>14</v>
      </c>
      <c r="U37" s="668" t="e">
        <f t="shared" si="13"/>
        <v>#N/A</v>
      </c>
      <c r="V37" s="667" t="s">
        <v>14</v>
      </c>
      <c r="W37" s="668" t="e">
        <f t="shared" si="14"/>
        <v>#N/A</v>
      </c>
      <c r="X37" s="1265"/>
      <c r="Y37" s="341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3"/>
      <c r="Q38" s="530" t="str">
        <f t="shared" si="11"/>
        <v>写字楼等级</v>
      </c>
      <c r="R38" s="664" t="s">
        <v>14</v>
      </c>
      <c r="S38" s="665">
        <f t="shared" si="12"/>
        <v>100</v>
      </c>
      <c r="T38" s="664" t="s">
        <v>14</v>
      </c>
      <c r="U38" s="665">
        <f t="shared" si="13"/>
        <v>100</v>
      </c>
      <c r="V38" s="664" t="s">
        <v>14</v>
      </c>
      <c r="W38" s="665">
        <f t="shared" si="14"/>
        <v>100</v>
      </c>
      <c r="X38" s="666"/>
      <c r="Y38" s="341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13" t="s">
        <v>1696</v>
      </c>
      <c r="Q39" s="1263" t="str">
        <f t="shared" si="11"/>
        <v>物业管理</v>
      </c>
      <c r="R39" s="667" t="s">
        <v>14</v>
      </c>
      <c r="S39" s="668">
        <f t="shared" si="12"/>
        <v>100</v>
      </c>
      <c r="T39" s="667" t="s">
        <v>14</v>
      </c>
      <c r="U39" s="668">
        <f t="shared" si="13"/>
        <v>100</v>
      </c>
      <c r="V39" s="667" t="s">
        <v>14</v>
      </c>
      <c r="W39" s="668">
        <f t="shared" si="14"/>
        <v>100</v>
      </c>
      <c r="X39" s="1265"/>
      <c r="Y39" s="341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13"/>
      <c r="Q40" s="1263" t="str">
        <f t="shared" si="11"/>
        <v>市政基础设施</v>
      </c>
      <c r="R40" s="667" t="s">
        <v>14</v>
      </c>
      <c r="S40" s="668">
        <f t="shared" si="12"/>
        <v>100</v>
      </c>
      <c r="T40" s="667" t="s">
        <v>14</v>
      </c>
      <c r="U40" s="668">
        <f t="shared" si="13"/>
        <v>100</v>
      </c>
      <c r="V40" s="667" t="s">
        <v>14</v>
      </c>
      <c r="W40" s="668">
        <f t="shared" si="14"/>
        <v>100</v>
      </c>
      <c r="X40" s="1265"/>
      <c r="Y40" s="341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13"/>
      <c r="Q41" s="1263" t="str">
        <f t="shared" si="11"/>
        <v>层高</v>
      </c>
      <c r="R41" s="667" t="s">
        <v>14</v>
      </c>
      <c r="S41" s="668">
        <f t="shared" si="12"/>
        <v>100</v>
      </c>
      <c r="T41" s="667" t="s">
        <v>14</v>
      </c>
      <c r="U41" s="668">
        <f t="shared" si="13"/>
        <v>100</v>
      </c>
      <c r="V41" s="667" t="s">
        <v>14</v>
      </c>
      <c r="W41" s="668">
        <f t="shared" si="14"/>
        <v>100</v>
      </c>
      <c r="X41" s="1265"/>
      <c r="Y41" s="341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3"/>
      <c r="Q42" s="531" t="str">
        <f t="shared" si="11"/>
        <v>单套建筑面积</v>
      </c>
      <c r="R42" s="669" t="s">
        <v>14</v>
      </c>
      <c r="S42" s="670">
        <f t="shared" si="12"/>
        <v>100</v>
      </c>
      <c r="T42" s="669" t="s">
        <v>14</v>
      </c>
      <c r="U42" s="670">
        <f t="shared" si="13"/>
        <v>100</v>
      </c>
      <c r="V42" s="669" t="s">
        <v>14</v>
      </c>
      <c r="W42" s="670">
        <f t="shared" si="14"/>
        <v>100</v>
      </c>
      <c r="X42" s="671"/>
      <c r="Y42" s="341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13"/>
      <c r="Q43" s="1263" t="str">
        <f t="shared" si="11"/>
        <v>内部装修</v>
      </c>
      <c r="R43" s="667" t="s">
        <v>14</v>
      </c>
      <c r="S43" s="668">
        <f t="shared" si="12"/>
        <v>100</v>
      </c>
      <c r="T43" s="667" t="s">
        <v>14</v>
      </c>
      <c r="U43" s="668">
        <f t="shared" si="13"/>
        <v>100</v>
      </c>
      <c r="V43" s="667" t="s">
        <v>14</v>
      </c>
      <c r="W43" s="668">
        <f t="shared" si="14"/>
        <v>100</v>
      </c>
      <c r="X43" s="1265"/>
      <c r="Y43" s="341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13"/>
      <c r="Q44" s="1263" t="str">
        <f t="shared" si="11"/>
        <v>内部装修维护情况</v>
      </c>
      <c r="R44" s="667" t="s">
        <v>14</v>
      </c>
      <c r="S44" s="668">
        <f t="shared" si="12"/>
        <v>100</v>
      </c>
      <c r="T44" s="667" t="s">
        <v>14</v>
      </c>
      <c r="U44" s="668">
        <f t="shared" si="13"/>
        <v>100</v>
      </c>
      <c r="V44" s="667" t="s">
        <v>14</v>
      </c>
      <c r="W44" s="668">
        <f t="shared" si="14"/>
        <v>100</v>
      </c>
      <c r="X44" s="1265"/>
      <c r="Y44" s="341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3"/>
      <c r="Q45" s="530">
        <f t="shared" si="11"/>
        <v>111</v>
      </c>
      <c r="R45" s="664" t="s">
        <v>14</v>
      </c>
      <c r="S45" s="665">
        <f t="shared" si="12"/>
        <v>100</v>
      </c>
      <c r="T45" s="664" t="s">
        <v>14</v>
      </c>
      <c r="U45" s="665">
        <f t="shared" si="13"/>
        <v>100</v>
      </c>
      <c r="V45" s="664" t="s">
        <v>14</v>
      </c>
      <c r="W45" s="665">
        <f t="shared" si="14"/>
        <v>100</v>
      </c>
      <c r="X45" s="666"/>
      <c r="Y45" s="341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3"/>
      <c r="Q46" s="1263">
        <f t="shared" si="11"/>
        <v>111</v>
      </c>
      <c r="R46" s="667" t="s">
        <v>14</v>
      </c>
      <c r="S46" s="668">
        <f t="shared" si="12"/>
        <v>100</v>
      </c>
      <c r="T46" s="667" t="s">
        <v>14</v>
      </c>
      <c r="U46" s="668">
        <f t="shared" si="13"/>
        <v>100</v>
      </c>
      <c r="V46" s="667" t="s">
        <v>14</v>
      </c>
      <c r="W46" s="668">
        <f t="shared" si="14"/>
        <v>100</v>
      </c>
      <c r="X46" s="1265"/>
      <c r="Y46" s="341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4"/>
      <c r="Q47" s="1263">
        <f t="shared" si="11"/>
        <v>111</v>
      </c>
      <c r="R47" s="667" t="s">
        <v>14</v>
      </c>
      <c r="S47" s="668">
        <f t="shared" si="12"/>
        <v>100</v>
      </c>
      <c r="T47" s="667" t="s">
        <v>14</v>
      </c>
      <c r="U47" s="668">
        <f t="shared" si="13"/>
        <v>100</v>
      </c>
      <c r="V47" s="667" t="s">
        <v>14</v>
      </c>
      <c r="W47" s="668">
        <f t="shared" si="14"/>
        <v>100</v>
      </c>
      <c r="X47" s="1265"/>
      <c r="Y47" s="341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91" t="str">
        <f>A48</f>
        <v>成交单价（元/平方米）</v>
      </c>
      <c r="Q48" s="3409"/>
      <c r="R48" s="3404">
        <f>E48</f>
        <v>0</v>
      </c>
      <c r="S48" s="3404"/>
      <c r="T48" s="3404">
        <f>G48</f>
        <v>0</v>
      </c>
      <c r="U48" s="3404"/>
      <c r="V48" s="3404">
        <f>I48</f>
        <v>0</v>
      </c>
      <c r="W48" s="3404"/>
      <c r="X48" s="385"/>
      <c r="Y48" s="673"/>
      <c r="Z48" s="385"/>
      <c r="AA48" s="385"/>
      <c r="AB48" s="385"/>
      <c r="AC48" s="555"/>
    </row>
    <row r="49" spans="1:29" ht="15.7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391" t="str">
        <f>A49</f>
        <v>比较价值（元/平方米）</v>
      </c>
      <c r="Q49" s="3409"/>
      <c r="R49" s="3404" t="e">
        <f>IF(F1="售价",ROUND(PRODUCT(R48,AA7:AA47),0),ROUND(PRODUCT(R48,AA7:AA47),1))</f>
        <v>#DIV/0!</v>
      </c>
      <c r="S49" s="3404"/>
      <c r="T49" s="3404" t="e">
        <f>IF(F1="售价",ROUND(PRODUCT(T48,AB7:AB47),0),ROUND(PRODUCT(T48,AB7:AB47),1))</f>
        <v>#DIV/0!</v>
      </c>
      <c r="U49" s="3404"/>
      <c r="V49" s="3404" t="e">
        <f>IF(F1="售价",ROUND(PRODUCT(V48,AC7:AC47),0),ROUND(PRODUCT(V48,AC7:AC47),1))</f>
        <v>#DIV/0!</v>
      </c>
      <c r="W49" s="340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31" t="str">
        <f>A50</f>
        <v>估价对象XX用房的比较价值（楼面单价，元/平方米）</v>
      </c>
      <c r="Q50" s="3432"/>
      <c r="R50" s="3433" t="e">
        <f>IF(F1="售价",ROUND(IF(D49="简单平均",AVERAGE(R49:V49),R49*F49+T49*H49+V49*J49),0),ROUND(IF(D49="简单平均",AVERAGE(R49:V49),R49*F49+T49*H49+V49*J49),1))</f>
        <v>#DIV/0!</v>
      </c>
      <c r="S50" s="3433"/>
      <c r="T50" s="3433"/>
      <c r="U50" s="3433"/>
      <c r="V50" s="3433"/>
      <c r="W50" s="343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估价对象为北京市房地产，为所有。根据《国有土地使用证》[]，估价对象（分摊）出让国有建设用地使用权面积为0平方米，建筑面积为174.9平方米。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估价对象为北京市房地产,属开发建设的，该项目尚在开发建设中。根据《国有土地使用证》[]，估价对象（分摊）出让国有建设用地使用权面积为0平方米，规划建筑面积为174.9平方米。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2025年6月20日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174.9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860"/>
      <c r="M4" s="861"/>
      <c r="N4" s="861"/>
      <c r="O4" s="861"/>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860"/>
      <c r="M5" s="861"/>
      <c r="N5" s="861"/>
      <c r="O5" s="861"/>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860"/>
      <c r="M6" s="861"/>
      <c r="N6" s="861"/>
      <c r="O6" s="861"/>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SUMIF(52:52,YEAR(E7)&amp;"-"&amp;MONTH(E7),53:53)</f>
        <v>0</v>
      </c>
      <c r="G7" s="356"/>
      <c r="H7" s="355">
        <f>SUMIF(52:52,YEAR(G7)&amp;"-"&amp;MONTH(G7),53:53)</f>
        <v>0</v>
      </c>
      <c r="I7" s="356"/>
      <c r="J7" s="355">
        <f>SUMIF(52:52,YEAR(I7)&amp;"-"&amp;MONTH(I7),53:53)</f>
        <v>0</v>
      </c>
      <c r="K7" s="38"/>
      <c r="L7" s="862"/>
      <c r="M7" s="863"/>
      <c r="N7" s="863"/>
      <c r="O7" s="863"/>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7" t="s">
        <v>1683</v>
      </c>
      <c r="Q8" s="3378"/>
      <c r="R8" s="664" t="s">
        <v>14</v>
      </c>
      <c r="S8" s="665">
        <f t="shared" si="0"/>
        <v>100</v>
      </c>
      <c r="T8" s="664" t="s">
        <v>14</v>
      </c>
      <c r="U8" s="665">
        <f t="shared" si="1"/>
        <v>100</v>
      </c>
      <c r="V8" s="664" t="s">
        <v>14</v>
      </c>
      <c r="W8" s="665">
        <f t="shared" si="2"/>
        <v>100</v>
      </c>
      <c r="X8" s="666"/>
      <c r="Y8" s="3377" t="s">
        <v>1683</v>
      </c>
      <c r="Z8" s="337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9"/>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0" t="s">
        <v>1691</v>
      </c>
      <c r="Q15" s="1263" t="str">
        <f t="shared" si="6"/>
        <v>产业集聚程度</v>
      </c>
      <c r="R15" s="667" t="s">
        <v>14</v>
      </c>
      <c r="S15" s="668">
        <f t="shared" si="0"/>
        <v>100</v>
      </c>
      <c r="T15" s="667" t="s">
        <v>14</v>
      </c>
      <c r="U15" s="668">
        <f t="shared" si="1"/>
        <v>100</v>
      </c>
      <c r="V15" s="667" t="s">
        <v>14</v>
      </c>
      <c r="W15" s="668">
        <f t="shared" si="2"/>
        <v>100</v>
      </c>
      <c r="X15" s="1265"/>
      <c r="Y15" s="341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1"/>
      <c r="Q16" s="1263"/>
      <c r="R16" s="667"/>
      <c r="S16" s="668"/>
      <c r="T16" s="667"/>
      <c r="U16" s="668"/>
      <c r="V16" s="667"/>
      <c r="W16" s="668"/>
      <c r="X16" s="1265"/>
      <c r="Y16" s="341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1"/>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1"/>
      <c r="Q18" s="1263"/>
      <c r="R18" s="667"/>
      <c r="S18" s="668"/>
      <c r="T18" s="667"/>
      <c r="U18" s="668"/>
      <c r="V18" s="667"/>
      <c r="W18" s="668"/>
      <c r="X18" s="1265"/>
      <c r="Y18" s="341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1"/>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1"/>
      <c r="Q20" s="1263"/>
      <c r="R20" s="667"/>
      <c r="S20" s="668"/>
      <c r="T20" s="667"/>
      <c r="U20" s="668"/>
      <c r="V20" s="667"/>
      <c r="W20" s="668"/>
      <c r="X20" s="1265"/>
      <c r="Y20" s="341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1"/>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1"/>
      <c r="Q22" s="1263"/>
      <c r="R22" s="667"/>
      <c r="S22" s="668"/>
      <c r="T22" s="667"/>
      <c r="U22" s="668"/>
      <c r="V22" s="667"/>
      <c r="W22" s="668"/>
      <c r="X22" s="1265"/>
      <c r="Y22" s="341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1"/>
      <c r="Q23" s="1263" t="str">
        <f>B23</f>
        <v>环境质量</v>
      </c>
      <c r="R23" s="667" t="s">
        <v>14</v>
      </c>
      <c r="S23" s="668">
        <f>F23</f>
        <v>100</v>
      </c>
      <c r="T23" s="667" t="s">
        <v>14</v>
      </c>
      <c r="U23" s="668">
        <f>H23</f>
        <v>100</v>
      </c>
      <c r="V23" s="667" t="s">
        <v>14</v>
      </c>
      <c r="W23" s="668">
        <f>J23</f>
        <v>100</v>
      </c>
      <c r="X23" s="1265"/>
      <c r="Y23" s="341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1"/>
      <c r="Q24" s="1263"/>
      <c r="R24" s="667"/>
      <c r="S24" s="668"/>
      <c r="T24" s="667"/>
      <c r="U24" s="668"/>
      <c r="V24" s="667"/>
      <c r="W24" s="668"/>
      <c r="X24" s="1265"/>
      <c r="Y24" s="341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1"/>
      <c r="Q25" s="1263">
        <f>B25</f>
        <v>111</v>
      </c>
      <c r="R25" s="667" t="s">
        <v>14</v>
      </c>
      <c r="S25" s="668">
        <f>F25</f>
        <v>100</v>
      </c>
      <c r="T25" s="667" t="s">
        <v>14</v>
      </c>
      <c r="U25" s="668">
        <f>H25</f>
        <v>100</v>
      </c>
      <c r="V25" s="667" t="s">
        <v>14</v>
      </c>
      <c r="W25" s="668">
        <f>J25</f>
        <v>100</v>
      </c>
      <c r="X25" s="1265"/>
      <c r="Y25" s="341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1"/>
      <c r="Q26" s="1263">
        <f t="shared" ref="Q26:Q40" si="11">B26</f>
        <v>111</v>
      </c>
      <c r="R26" s="667" t="s">
        <v>14</v>
      </c>
      <c r="S26" s="668">
        <f>F26</f>
        <v>100</v>
      </c>
      <c r="T26" s="667" t="s">
        <v>14</v>
      </c>
      <c r="U26" s="668">
        <f>H26</f>
        <v>100</v>
      </c>
      <c r="V26" s="667" t="s">
        <v>14</v>
      </c>
      <c r="W26" s="668">
        <f>J26</f>
        <v>100</v>
      </c>
      <c r="X26" s="1265"/>
      <c r="Y26" s="341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1"/>
      <c r="Q27" s="530">
        <f t="shared" si="11"/>
        <v>111</v>
      </c>
      <c r="R27" s="664" t="s">
        <v>14</v>
      </c>
      <c r="S27" s="665">
        <f>F27</f>
        <v>100</v>
      </c>
      <c r="T27" s="664" t="s">
        <v>14</v>
      </c>
      <c r="U27" s="665">
        <f>H27</f>
        <v>100</v>
      </c>
      <c r="V27" s="664" t="s">
        <v>14</v>
      </c>
      <c r="W27" s="665">
        <f>J27</f>
        <v>100</v>
      </c>
      <c r="X27" s="666"/>
      <c r="Y27" s="341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1"/>
      <c r="Q28" s="1263">
        <f t="shared" si="11"/>
        <v>111</v>
      </c>
      <c r="R28" s="667" t="s">
        <v>14</v>
      </c>
      <c r="S28" s="668">
        <f t="shared" ref="S28:S40" si="12">F28</f>
        <v>100</v>
      </c>
      <c r="T28" s="667" t="s">
        <v>14</v>
      </c>
      <c r="U28" s="668">
        <f t="shared" ref="U28:U40" si="13">H28</f>
        <v>100</v>
      </c>
      <c r="V28" s="667" t="s">
        <v>14</v>
      </c>
      <c r="W28" s="668">
        <f t="shared" ref="W28:W40" si="14">J28</f>
        <v>100</v>
      </c>
      <c r="X28" s="1265"/>
      <c r="Y28" s="341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4" t="s">
        <v>1696</v>
      </c>
      <c r="Q29" s="1263" t="str">
        <f t="shared" si="11"/>
        <v>建筑类型</v>
      </c>
      <c r="R29" s="667" t="s">
        <v>14</v>
      </c>
      <c r="S29" s="668">
        <f t="shared" si="12"/>
        <v>100</v>
      </c>
      <c r="T29" s="667" t="s">
        <v>14</v>
      </c>
      <c r="U29" s="668">
        <f t="shared" si="13"/>
        <v>100</v>
      </c>
      <c r="V29" s="667" t="s">
        <v>14</v>
      </c>
      <c r="W29" s="668">
        <f t="shared" si="14"/>
        <v>100</v>
      </c>
      <c r="X29" s="1265"/>
      <c r="Y29" s="341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5"/>
      <c r="Q30" s="531" t="str">
        <f t="shared" si="11"/>
        <v>项目建筑规模</v>
      </c>
      <c r="R30" s="669" t="s">
        <v>14</v>
      </c>
      <c r="S30" s="670" t="e">
        <f t="shared" si="12"/>
        <v>#N/A</v>
      </c>
      <c r="T30" s="669" t="s">
        <v>14</v>
      </c>
      <c r="U30" s="670" t="e">
        <f t="shared" si="13"/>
        <v>#N/A</v>
      </c>
      <c r="V30" s="669" t="s">
        <v>14</v>
      </c>
      <c r="W30" s="670" t="e">
        <f t="shared" si="14"/>
        <v>#N/A</v>
      </c>
      <c r="X30" s="671"/>
      <c r="Y30" s="341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5"/>
      <c r="Q31" s="1263" t="str">
        <f t="shared" si="11"/>
        <v>建筑结构</v>
      </c>
      <c r="R31" s="667" t="s">
        <v>14</v>
      </c>
      <c r="S31" s="668">
        <f t="shared" si="12"/>
        <v>100</v>
      </c>
      <c r="T31" s="667" t="s">
        <v>14</v>
      </c>
      <c r="U31" s="668">
        <f t="shared" si="13"/>
        <v>100</v>
      </c>
      <c r="V31" s="667" t="s">
        <v>14</v>
      </c>
      <c r="W31" s="668">
        <f t="shared" si="14"/>
        <v>100</v>
      </c>
      <c r="X31" s="1265"/>
      <c r="Y31" s="341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5"/>
      <c r="Q32" s="1263" t="str">
        <f t="shared" si="11"/>
        <v>公共部分装修</v>
      </c>
      <c r="R32" s="667" t="s">
        <v>14</v>
      </c>
      <c r="S32" s="668">
        <f t="shared" si="12"/>
        <v>100</v>
      </c>
      <c r="T32" s="667" t="s">
        <v>14</v>
      </c>
      <c r="U32" s="668">
        <f t="shared" si="13"/>
        <v>100</v>
      </c>
      <c r="V32" s="667" t="s">
        <v>14</v>
      </c>
      <c r="W32" s="668">
        <f t="shared" si="14"/>
        <v>100</v>
      </c>
      <c r="X32" s="1265"/>
      <c r="Y32" s="341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5"/>
      <c r="Q33" s="1263" t="str">
        <f t="shared" si="11"/>
        <v>成新度</v>
      </c>
      <c r="R33" s="667" t="s">
        <v>14</v>
      </c>
      <c r="S33" s="668" t="e">
        <f t="shared" si="12"/>
        <v>#N/A</v>
      </c>
      <c r="T33" s="667" t="s">
        <v>14</v>
      </c>
      <c r="U33" s="668" t="e">
        <f t="shared" si="13"/>
        <v>#N/A</v>
      </c>
      <c r="V33" s="667" t="s">
        <v>14</v>
      </c>
      <c r="W33" s="668" t="e">
        <f t="shared" si="14"/>
        <v>#N/A</v>
      </c>
      <c r="X33" s="1265"/>
      <c r="Y33" s="341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5"/>
      <c r="Q34" s="530" t="str">
        <f t="shared" si="11"/>
        <v>物业管理</v>
      </c>
      <c r="R34" s="664" t="s">
        <v>14</v>
      </c>
      <c r="S34" s="665">
        <f t="shared" si="12"/>
        <v>100</v>
      </c>
      <c r="T34" s="664" t="s">
        <v>14</v>
      </c>
      <c r="U34" s="665">
        <f t="shared" si="13"/>
        <v>100</v>
      </c>
      <c r="V34" s="664" t="s">
        <v>14</v>
      </c>
      <c r="W34" s="665">
        <f t="shared" si="14"/>
        <v>100</v>
      </c>
      <c r="X34" s="666"/>
      <c r="Y34" s="341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5" t="s">
        <v>1696</v>
      </c>
      <c r="Q35" s="1263" t="str">
        <f t="shared" si="11"/>
        <v>市政基础设施</v>
      </c>
      <c r="R35" s="667" t="s">
        <v>14</v>
      </c>
      <c r="S35" s="668">
        <f t="shared" si="12"/>
        <v>100</v>
      </c>
      <c r="T35" s="667" t="s">
        <v>14</v>
      </c>
      <c r="U35" s="668">
        <f t="shared" si="13"/>
        <v>100</v>
      </c>
      <c r="V35" s="667" t="s">
        <v>14</v>
      </c>
      <c r="W35" s="668">
        <f t="shared" si="14"/>
        <v>100</v>
      </c>
      <c r="X35" s="1265"/>
      <c r="Y35" s="341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5"/>
      <c r="Q36" s="1263" t="str">
        <f t="shared" si="11"/>
        <v>内部装修</v>
      </c>
      <c r="R36" s="667" t="s">
        <v>14</v>
      </c>
      <c r="S36" s="668">
        <f t="shared" si="12"/>
        <v>100</v>
      </c>
      <c r="T36" s="667" t="s">
        <v>14</v>
      </c>
      <c r="U36" s="668">
        <f t="shared" si="13"/>
        <v>100</v>
      </c>
      <c r="V36" s="667" t="s">
        <v>14</v>
      </c>
      <c r="W36" s="668">
        <f t="shared" si="14"/>
        <v>100</v>
      </c>
      <c r="X36" s="1265"/>
      <c r="Y36" s="341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5"/>
      <c r="Q37" s="1263" t="str">
        <f t="shared" si="11"/>
        <v>内部装修状况</v>
      </c>
      <c r="R37" s="667" t="s">
        <v>14</v>
      </c>
      <c r="S37" s="668">
        <f t="shared" si="12"/>
        <v>100</v>
      </c>
      <c r="T37" s="667" t="s">
        <v>14</v>
      </c>
      <c r="U37" s="668">
        <f t="shared" si="13"/>
        <v>100</v>
      </c>
      <c r="V37" s="667" t="s">
        <v>14</v>
      </c>
      <c r="W37" s="668">
        <f t="shared" si="14"/>
        <v>100</v>
      </c>
      <c r="X37" s="1265"/>
      <c r="Y37" s="341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5"/>
      <c r="Q38" s="531">
        <f t="shared" si="11"/>
        <v>111</v>
      </c>
      <c r="R38" s="669" t="s">
        <v>14</v>
      </c>
      <c r="S38" s="670">
        <f t="shared" si="12"/>
        <v>100</v>
      </c>
      <c r="T38" s="669" t="s">
        <v>14</v>
      </c>
      <c r="U38" s="670">
        <f t="shared" si="13"/>
        <v>100</v>
      </c>
      <c r="V38" s="669" t="s">
        <v>14</v>
      </c>
      <c r="W38" s="670">
        <f t="shared" si="14"/>
        <v>100</v>
      </c>
      <c r="X38" s="671"/>
      <c r="Y38" s="341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5"/>
      <c r="Q39" s="1263">
        <f t="shared" si="11"/>
        <v>111</v>
      </c>
      <c r="R39" s="667" t="s">
        <v>14</v>
      </c>
      <c r="S39" s="668">
        <f t="shared" si="12"/>
        <v>100</v>
      </c>
      <c r="T39" s="667" t="s">
        <v>14</v>
      </c>
      <c r="U39" s="668">
        <f t="shared" si="13"/>
        <v>100</v>
      </c>
      <c r="V39" s="667" t="s">
        <v>14</v>
      </c>
      <c r="W39" s="668">
        <f t="shared" si="14"/>
        <v>100</v>
      </c>
      <c r="X39" s="1265"/>
      <c r="Y39" s="341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6"/>
      <c r="Q40" s="1263">
        <f t="shared" si="11"/>
        <v>111</v>
      </c>
      <c r="R40" s="667" t="s">
        <v>14</v>
      </c>
      <c r="S40" s="668">
        <f t="shared" si="12"/>
        <v>100</v>
      </c>
      <c r="T40" s="667" t="s">
        <v>14</v>
      </c>
      <c r="U40" s="668">
        <f t="shared" si="13"/>
        <v>100</v>
      </c>
      <c r="V40" s="667" t="s">
        <v>14</v>
      </c>
      <c r="W40" s="668">
        <f t="shared" si="14"/>
        <v>100</v>
      </c>
      <c r="X40" s="1265"/>
      <c r="Y40" s="341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9" t="str">
        <f>A41</f>
        <v>成交单价（元/平方米）</v>
      </c>
      <c r="Q41" s="3409"/>
      <c r="R41" s="3404">
        <f>E41</f>
        <v>0</v>
      </c>
      <c r="S41" s="3404"/>
      <c r="T41" s="3404">
        <f>G41</f>
        <v>0</v>
      </c>
      <c r="U41" s="3404"/>
      <c r="V41" s="3404">
        <f>I41</f>
        <v>0</v>
      </c>
      <c r="W41" s="3404"/>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09" t="str">
        <f>A42</f>
        <v>比较价值（元/平方米）</v>
      </c>
      <c r="Q42" s="3409"/>
      <c r="R42" s="3404" t="e">
        <f>IF(F1="售价",ROUND(PRODUCT(R41,AA7:AA40),0),ROUND(PRODUCT(R41,AA7:AA40),1))</f>
        <v>#DIV/0!</v>
      </c>
      <c r="S42" s="3404"/>
      <c r="T42" s="3404" t="e">
        <f>IF(F1="售价",ROUND(PRODUCT(T41,AB7:AB40),0),ROUND(PRODUCT(T41,AB7:AB40),1))</f>
        <v>#DIV/0!</v>
      </c>
      <c r="U42" s="3404"/>
      <c r="V42" s="3404" t="e">
        <f>IF(F1="售价",ROUND(PRODUCT(V41,AC7:AC40),0),ROUND(PRODUCT(V41,AC7:AC40),1))</f>
        <v>#DIV/0!</v>
      </c>
      <c r="W42" s="340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6" t="str">
        <f>A43</f>
        <v>估价对象XX用房的比较价值（楼面单价，元/平方米）</v>
      </c>
      <c r="Q43" s="3407"/>
      <c r="R43" s="3408" t="e">
        <f>IF(F1="售价",ROUND(IF(D42="简单平均",AVERAGE(R42:V42),R42*F42+T42*H42+V42*J42),0),ROUND(IF(D42="简单平均",AVERAGE(R42:V42),R42*F42+T42*H42+V42*J42),1))</f>
        <v>#DIV/0!</v>
      </c>
      <c r="S43" s="3408"/>
      <c r="T43" s="3408"/>
      <c r="U43" s="3408"/>
      <c r="V43" s="3408"/>
      <c r="W43" s="340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SUMIF(48:48,YEAR(E7)&amp;"-"&amp;MONTH(E7),49:49)</f>
        <v>0</v>
      </c>
      <c r="G7" s="356"/>
      <c r="H7" s="355">
        <f>SUMIF(48:48,YEAR(G7)&amp;"-"&amp;MONTH(G7),49:49)</f>
        <v>0</v>
      </c>
      <c r="I7" s="356"/>
      <c r="J7" s="355">
        <f>SUMIF(48:48,YEAR(I7)&amp;"-"&amp;MONTH(I7),49:49)</f>
        <v>0</v>
      </c>
      <c r="K7" s="38"/>
      <c r="L7" s="2489"/>
      <c r="M7" s="2440"/>
      <c r="N7" s="2440"/>
      <c r="O7" s="2440"/>
      <c r="P7" s="3377" t="s">
        <v>1680</v>
      </c>
      <c r="Q7" s="3405"/>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09"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09"/>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0" t="s">
        <v>1691</v>
      </c>
      <c r="Q14" s="1263" t="str">
        <f t="shared" si="6"/>
        <v>交通便捷度</v>
      </c>
      <c r="R14" s="667" t="s">
        <v>14</v>
      </c>
      <c r="S14" s="668">
        <f t="shared" si="0"/>
        <v>100</v>
      </c>
      <c r="T14" s="667" t="s">
        <v>14</v>
      </c>
      <c r="U14" s="668">
        <f t="shared" si="1"/>
        <v>100</v>
      </c>
      <c r="V14" s="667" t="s">
        <v>14</v>
      </c>
      <c r="W14" s="668">
        <f t="shared" si="2"/>
        <v>100</v>
      </c>
      <c r="X14" s="1265"/>
      <c r="Y14" s="341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11"/>
      <c r="Q15" s="1263"/>
      <c r="R15" s="667"/>
      <c r="S15" s="668"/>
      <c r="T15" s="667"/>
      <c r="U15" s="668"/>
      <c r="V15" s="667"/>
      <c r="W15" s="668"/>
      <c r="X15" s="1265"/>
      <c r="Y15" s="341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1"/>
      <c r="Q16" s="1263" t="str">
        <f>B16</f>
        <v>公共配套设施</v>
      </c>
      <c r="R16" s="667" t="s">
        <v>14</v>
      </c>
      <c r="S16" s="668">
        <f>F16</f>
        <v>100</v>
      </c>
      <c r="T16" s="667" t="s">
        <v>14</v>
      </c>
      <c r="U16" s="668">
        <f>H16</f>
        <v>100</v>
      </c>
      <c r="V16" s="667" t="s">
        <v>14</v>
      </c>
      <c r="W16" s="668">
        <f>J16</f>
        <v>100</v>
      </c>
      <c r="X16" s="1265"/>
      <c r="Y16" s="341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11"/>
      <c r="Q17" s="1263"/>
      <c r="R17" s="667"/>
      <c r="S17" s="668"/>
      <c r="T17" s="667"/>
      <c r="U17" s="668"/>
      <c r="V17" s="667"/>
      <c r="W17" s="668"/>
      <c r="X17" s="1265"/>
      <c r="Y17" s="341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1"/>
      <c r="Q18" s="1263" t="str">
        <f>B18</f>
        <v>基础设施水平</v>
      </c>
      <c r="R18" s="667" t="s">
        <v>14</v>
      </c>
      <c r="S18" s="668">
        <f>F18</f>
        <v>100</v>
      </c>
      <c r="T18" s="667" t="s">
        <v>14</v>
      </c>
      <c r="U18" s="668">
        <f>H18</f>
        <v>100</v>
      </c>
      <c r="V18" s="667" t="s">
        <v>14</v>
      </c>
      <c r="W18" s="668">
        <f>J18</f>
        <v>100</v>
      </c>
      <c r="X18" s="1265"/>
      <c r="Y18" s="341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11"/>
      <c r="Q19" s="1263"/>
      <c r="R19" s="667"/>
      <c r="S19" s="668"/>
      <c r="T19" s="667"/>
      <c r="U19" s="668"/>
      <c r="V19" s="667"/>
      <c r="W19" s="668"/>
      <c r="X19" s="1265"/>
      <c r="Y19" s="341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1"/>
      <c r="Q20" s="1263" t="str">
        <f>B20</f>
        <v>自然及人文环境</v>
      </c>
      <c r="R20" s="667" t="s">
        <v>14</v>
      </c>
      <c r="S20" s="668">
        <f>F20</f>
        <v>100</v>
      </c>
      <c r="T20" s="667" t="s">
        <v>14</v>
      </c>
      <c r="U20" s="668">
        <f>H20</f>
        <v>100</v>
      </c>
      <c r="V20" s="667" t="s">
        <v>14</v>
      </c>
      <c r="W20" s="668">
        <f>J20</f>
        <v>100</v>
      </c>
      <c r="X20" s="1265"/>
      <c r="Y20" s="341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11"/>
      <c r="Q21" s="1263"/>
      <c r="R21" s="667"/>
      <c r="S21" s="668"/>
      <c r="T21" s="667"/>
      <c r="U21" s="668"/>
      <c r="V21" s="667"/>
      <c r="W21" s="668"/>
      <c r="X21" s="1265"/>
      <c r="Y21" s="341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1"/>
      <c r="Q22" s="1263" t="str">
        <f>B22</f>
        <v>楼层</v>
      </c>
      <c r="R22" s="667" t="s">
        <v>14</v>
      </c>
      <c r="S22" s="668">
        <f>F22</f>
        <v>100</v>
      </c>
      <c r="T22" s="667" t="s">
        <v>14</v>
      </c>
      <c r="U22" s="668">
        <f>H22</f>
        <v>100</v>
      </c>
      <c r="V22" s="667" t="s">
        <v>14</v>
      </c>
      <c r="W22" s="668">
        <f>J22</f>
        <v>100</v>
      </c>
      <c r="X22" s="1265"/>
      <c r="Y22" s="341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1"/>
      <c r="Q23" s="1263">
        <f>B23</f>
        <v>111</v>
      </c>
      <c r="R23" s="667" t="s">
        <v>14</v>
      </c>
      <c r="S23" s="668">
        <f>F23</f>
        <v>100</v>
      </c>
      <c r="T23" s="667" t="s">
        <v>14</v>
      </c>
      <c r="U23" s="668">
        <f>H23</f>
        <v>100</v>
      </c>
      <c r="V23" s="667" t="s">
        <v>14</v>
      </c>
      <c r="W23" s="668">
        <f>J23</f>
        <v>100</v>
      </c>
      <c r="X23" s="1265"/>
      <c r="Y23" s="341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1"/>
      <c r="Q24" s="1263">
        <f t="shared" ref="Q24:Q36" si="11">B24</f>
        <v>111</v>
      </c>
      <c r="R24" s="667" t="s">
        <v>14</v>
      </c>
      <c r="S24" s="668">
        <f>F24</f>
        <v>100</v>
      </c>
      <c r="T24" s="667" t="s">
        <v>14</v>
      </c>
      <c r="U24" s="668">
        <f>H24</f>
        <v>100</v>
      </c>
      <c r="V24" s="667" t="s">
        <v>14</v>
      </c>
      <c r="W24" s="668">
        <f>J24</f>
        <v>100</v>
      </c>
      <c r="X24" s="1265"/>
      <c r="Y24" s="341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1"/>
      <c r="Q25" s="530">
        <f t="shared" si="11"/>
        <v>111</v>
      </c>
      <c r="R25" s="664" t="s">
        <v>14</v>
      </c>
      <c r="S25" s="665">
        <f>F25</f>
        <v>100</v>
      </c>
      <c r="T25" s="664" t="s">
        <v>14</v>
      </c>
      <c r="U25" s="665">
        <f>H25</f>
        <v>100</v>
      </c>
      <c r="V25" s="664" t="s">
        <v>14</v>
      </c>
      <c r="W25" s="665">
        <f>J25</f>
        <v>100</v>
      </c>
      <c r="X25" s="666"/>
      <c r="Y25" s="341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5"/>
      <c r="Q27" s="531" t="str">
        <f t="shared" si="11"/>
        <v>项目停车位配比</v>
      </c>
      <c r="R27" s="669" t="s">
        <v>14</v>
      </c>
      <c r="S27" s="670">
        <f t="shared" si="12"/>
        <v>100</v>
      </c>
      <c r="T27" s="669" t="s">
        <v>14</v>
      </c>
      <c r="U27" s="670">
        <f t="shared" si="13"/>
        <v>100</v>
      </c>
      <c r="V27" s="669" t="s">
        <v>14</v>
      </c>
      <c r="W27" s="670">
        <f t="shared" si="14"/>
        <v>100</v>
      </c>
      <c r="X27" s="671"/>
      <c r="Y27" s="341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5"/>
      <c r="Q28" s="1263" t="str">
        <f t="shared" si="11"/>
        <v>公共部分装修</v>
      </c>
      <c r="R28" s="667" t="s">
        <v>14</v>
      </c>
      <c r="S28" s="668">
        <f t="shared" si="12"/>
        <v>100</v>
      </c>
      <c r="T28" s="667" t="s">
        <v>14</v>
      </c>
      <c r="U28" s="668">
        <f t="shared" si="13"/>
        <v>100</v>
      </c>
      <c r="V28" s="667" t="s">
        <v>14</v>
      </c>
      <c r="W28" s="668">
        <f t="shared" si="14"/>
        <v>100</v>
      </c>
      <c r="X28" s="1265"/>
      <c r="Y28" s="341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5"/>
      <c r="Q29" s="1263" t="str">
        <f t="shared" si="11"/>
        <v>成新率</v>
      </c>
      <c r="R29" s="667" t="s">
        <v>14</v>
      </c>
      <c r="S29" s="668" t="e">
        <f t="shared" si="12"/>
        <v>#N/A</v>
      </c>
      <c r="T29" s="667" t="s">
        <v>14</v>
      </c>
      <c r="U29" s="668" t="e">
        <f t="shared" si="13"/>
        <v>#N/A</v>
      </c>
      <c r="V29" s="667" t="s">
        <v>14</v>
      </c>
      <c r="W29" s="668" t="e">
        <f t="shared" si="14"/>
        <v>#N/A</v>
      </c>
      <c r="X29" s="1265"/>
      <c r="Y29" s="341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5"/>
      <c r="Q30" s="1263" t="str">
        <f t="shared" si="11"/>
        <v>物业等级</v>
      </c>
      <c r="R30" s="667" t="s">
        <v>14</v>
      </c>
      <c r="S30" s="668">
        <f t="shared" si="12"/>
        <v>100</v>
      </c>
      <c r="T30" s="667" t="s">
        <v>14</v>
      </c>
      <c r="U30" s="668">
        <f t="shared" si="13"/>
        <v>100</v>
      </c>
      <c r="V30" s="667" t="s">
        <v>14</v>
      </c>
      <c r="W30" s="668">
        <f t="shared" si="14"/>
        <v>100</v>
      </c>
      <c r="X30" s="1265"/>
      <c r="Y30" s="341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5"/>
      <c r="Q31" s="530" t="str">
        <f t="shared" si="11"/>
        <v>停车位面积</v>
      </c>
      <c r="R31" s="664" t="s">
        <v>14</v>
      </c>
      <c r="S31" s="665" t="e">
        <f t="shared" si="12"/>
        <v>#N/A</v>
      </c>
      <c r="T31" s="664" t="s">
        <v>14</v>
      </c>
      <c r="U31" s="665" t="e">
        <f t="shared" si="13"/>
        <v>#N/A</v>
      </c>
      <c r="V31" s="664" t="s">
        <v>14</v>
      </c>
      <c r="W31" s="665" t="e">
        <f t="shared" si="14"/>
        <v>#N/A</v>
      </c>
      <c r="X31" s="666"/>
      <c r="Y31" s="341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5" t="s">
        <v>1696</v>
      </c>
      <c r="Q32" s="1263" t="str">
        <f t="shared" si="11"/>
        <v>车位类型</v>
      </c>
      <c r="R32" s="667" t="s">
        <v>14</v>
      </c>
      <c r="S32" s="668">
        <f t="shared" si="12"/>
        <v>100</v>
      </c>
      <c r="T32" s="667" t="s">
        <v>14</v>
      </c>
      <c r="U32" s="668">
        <f t="shared" si="13"/>
        <v>100</v>
      </c>
      <c r="V32" s="667" t="s">
        <v>14</v>
      </c>
      <c r="W32" s="668">
        <f t="shared" si="14"/>
        <v>100</v>
      </c>
      <c r="X32" s="1265"/>
      <c r="Y32" s="341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5"/>
      <c r="Q33" s="1263" t="str">
        <f t="shared" si="11"/>
        <v>是否直接入户</v>
      </c>
      <c r="R33" s="667" t="s">
        <v>14</v>
      </c>
      <c r="S33" s="668">
        <f t="shared" si="12"/>
        <v>100</v>
      </c>
      <c r="T33" s="667" t="s">
        <v>14</v>
      </c>
      <c r="U33" s="668">
        <f t="shared" si="13"/>
        <v>100</v>
      </c>
      <c r="V33" s="667" t="s">
        <v>14</v>
      </c>
      <c r="W33" s="668">
        <f t="shared" si="14"/>
        <v>100</v>
      </c>
      <c r="X33" s="1265"/>
      <c r="Y33" s="341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5"/>
      <c r="Q34" s="1263">
        <f t="shared" si="11"/>
        <v>111</v>
      </c>
      <c r="R34" s="667" t="s">
        <v>14</v>
      </c>
      <c r="S34" s="668">
        <f t="shared" si="12"/>
        <v>100</v>
      </c>
      <c r="T34" s="667" t="s">
        <v>14</v>
      </c>
      <c r="U34" s="668">
        <f t="shared" si="13"/>
        <v>100</v>
      </c>
      <c r="V34" s="667" t="s">
        <v>14</v>
      </c>
      <c r="W34" s="668">
        <f t="shared" si="14"/>
        <v>100</v>
      </c>
      <c r="X34" s="1265"/>
      <c r="Y34" s="341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5"/>
      <c r="Q35" s="531">
        <f t="shared" si="11"/>
        <v>111</v>
      </c>
      <c r="R35" s="669" t="s">
        <v>14</v>
      </c>
      <c r="S35" s="670">
        <f t="shared" si="12"/>
        <v>100</v>
      </c>
      <c r="T35" s="669" t="s">
        <v>14</v>
      </c>
      <c r="U35" s="670">
        <f t="shared" si="13"/>
        <v>100</v>
      </c>
      <c r="V35" s="669" t="s">
        <v>14</v>
      </c>
      <c r="W35" s="670">
        <f t="shared" si="14"/>
        <v>100</v>
      </c>
      <c r="X35" s="671"/>
      <c r="Y35" s="341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5"/>
      <c r="Q36" s="1263">
        <f t="shared" si="11"/>
        <v>111</v>
      </c>
      <c r="R36" s="667" t="s">
        <v>14</v>
      </c>
      <c r="S36" s="668">
        <f t="shared" si="12"/>
        <v>100</v>
      </c>
      <c r="T36" s="667" t="s">
        <v>14</v>
      </c>
      <c r="U36" s="668">
        <f t="shared" si="13"/>
        <v>100</v>
      </c>
      <c r="V36" s="667" t="s">
        <v>14</v>
      </c>
      <c r="W36" s="668">
        <f t="shared" si="14"/>
        <v>100</v>
      </c>
      <c r="X36" s="1265"/>
      <c r="Y36" s="3415"/>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5"/>
      <c r="M37" s="2488"/>
      <c r="N37" s="2488"/>
      <c r="O37" s="2488"/>
      <c r="P37" s="3409" t="str">
        <f>A37</f>
        <v>成交单价</v>
      </c>
      <c r="Q37" s="3409"/>
      <c r="R37" s="3404">
        <f>E37</f>
        <v>0</v>
      </c>
      <c r="S37" s="3404"/>
      <c r="T37" s="3404">
        <f>G37</f>
        <v>0</v>
      </c>
      <c r="U37" s="3404"/>
      <c r="V37" s="3404">
        <f>I37</f>
        <v>0</v>
      </c>
      <c r="W37" s="3404"/>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409" t="str">
        <f>A38</f>
        <v>比较价值（元/平方米）</v>
      </c>
      <c r="Q38" s="3409"/>
      <c r="R38" s="3404" t="e">
        <f>IF(F1="售价",ROUND(PRODUCT(R37,AA7:AA36),0),ROUND(PRODUCT(R37,AA7:AA36),1))</f>
        <v>#DIV/0!</v>
      </c>
      <c r="S38" s="3404"/>
      <c r="T38" s="3404" t="e">
        <f>IF(F1="售价",ROUND(PRODUCT(T37,AB7:AB36),0),ROUND(PRODUCT(T37,AB7:AB36),1))</f>
        <v>#DIV/0!</v>
      </c>
      <c r="U38" s="3404"/>
      <c r="V38" s="3404" t="e">
        <f>IF(F1="售价",ROUND(PRODUCT(V37,AC7:AC36),0),ROUND(PRODUCT(V37,AC7:AC36),1))</f>
        <v>#DIV/0!</v>
      </c>
      <c r="W38" s="340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06" t="str">
        <f>A39</f>
        <v>估价对象XX用房的比较价值（楼面单价，元/平方米）</v>
      </c>
      <c r="Q39" s="3407"/>
      <c r="R39" s="3435" t="e">
        <f>IF(F1="售价",ROUND(IF(D38="简单平均",AVERAGE(R38:W38),R38*F38+T38*H38+V38*J38),0),ROUND(IF(D38="简单平均",AVERAGE(R38:V38),R38*F38+T38*H38+V38*J38),1))</f>
        <v>#DIV/0!</v>
      </c>
      <c r="S39" s="3435"/>
      <c r="T39" s="3435"/>
      <c r="U39" s="3435"/>
      <c r="V39" s="3435"/>
      <c r="W39" s="343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77" t="s">
        <v>1680</v>
      </c>
      <c r="Q7" s="3405"/>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09"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09"/>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0" t="s">
        <v>1691</v>
      </c>
      <c r="Q14" s="1263" t="str">
        <f t="shared" si="6"/>
        <v>交通便捷度</v>
      </c>
      <c r="R14" s="667" t="s">
        <v>14</v>
      </c>
      <c r="S14" s="668">
        <f t="shared" si="0"/>
        <v>100</v>
      </c>
      <c r="T14" s="667" t="s">
        <v>14</v>
      </c>
      <c r="U14" s="668">
        <f t="shared" si="1"/>
        <v>100</v>
      </c>
      <c r="V14" s="667" t="s">
        <v>14</v>
      </c>
      <c r="W14" s="668">
        <f t="shared" si="2"/>
        <v>100</v>
      </c>
      <c r="X14" s="1265"/>
      <c r="Y14" s="341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11"/>
      <c r="Q15" s="1263"/>
      <c r="R15" s="667"/>
      <c r="S15" s="668"/>
      <c r="T15" s="667"/>
      <c r="U15" s="668"/>
      <c r="V15" s="667"/>
      <c r="W15" s="668"/>
      <c r="X15" s="1265"/>
      <c r="Y15" s="341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1"/>
      <c r="Q16" s="1263" t="str">
        <f>B16</f>
        <v>公共配套设施</v>
      </c>
      <c r="R16" s="667" t="s">
        <v>14</v>
      </c>
      <c r="S16" s="668">
        <f>F16</f>
        <v>100</v>
      </c>
      <c r="T16" s="667" t="s">
        <v>14</v>
      </c>
      <c r="U16" s="668">
        <f>H16</f>
        <v>100</v>
      </c>
      <c r="V16" s="667" t="s">
        <v>14</v>
      </c>
      <c r="W16" s="668">
        <f>J16</f>
        <v>100</v>
      </c>
      <c r="X16" s="1265"/>
      <c r="Y16" s="341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11"/>
      <c r="Q17" s="1263"/>
      <c r="R17" s="667"/>
      <c r="S17" s="668"/>
      <c r="T17" s="667"/>
      <c r="U17" s="668"/>
      <c r="V17" s="667"/>
      <c r="W17" s="668"/>
      <c r="X17" s="1265"/>
      <c r="Y17" s="341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1"/>
      <c r="Q18" s="1263" t="str">
        <f>B18</f>
        <v>基础设施水平</v>
      </c>
      <c r="R18" s="667" t="s">
        <v>14</v>
      </c>
      <c r="S18" s="668">
        <f>F18</f>
        <v>100</v>
      </c>
      <c r="T18" s="667" t="s">
        <v>14</v>
      </c>
      <c r="U18" s="668">
        <f>H18</f>
        <v>100</v>
      </c>
      <c r="V18" s="667" t="s">
        <v>14</v>
      </c>
      <c r="W18" s="668">
        <f>J18</f>
        <v>100</v>
      </c>
      <c r="X18" s="1265"/>
      <c r="Y18" s="341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11"/>
      <c r="Q19" s="1263"/>
      <c r="R19" s="667"/>
      <c r="S19" s="668"/>
      <c r="T19" s="667"/>
      <c r="U19" s="668"/>
      <c r="V19" s="667"/>
      <c r="W19" s="668"/>
      <c r="X19" s="1265"/>
      <c r="Y19" s="341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1"/>
      <c r="Q20" s="1263" t="str">
        <f>B20</f>
        <v>自然及人文环境</v>
      </c>
      <c r="R20" s="667" t="s">
        <v>14</v>
      </c>
      <c r="S20" s="668">
        <f>F20</f>
        <v>100</v>
      </c>
      <c r="T20" s="667" t="s">
        <v>14</v>
      </c>
      <c r="U20" s="668">
        <f>H20</f>
        <v>100</v>
      </c>
      <c r="V20" s="667" t="s">
        <v>14</v>
      </c>
      <c r="W20" s="668">
        <f>J20</f>
        <v>100</v>
      </c>
      <c r="X20" s="1265"/>
      <c r="Y20" s="341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11"/>
      <c r="Q21" s="1263"/>
      <c r="R21" s="667"/>
      <c r="S21" s="668"/>
      <c r="T21" s="667"/>
      <c r="U21" s="668"/>
      <c r="V21" s="667"/>
      <c r="W21" s="668"/>
      <c r="X21" s="1265"/>
      <c r="Y21" s="341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1"/>
      <c r="Q22" s="1263" t="str">
        <f>B22</f>
        <v>楼层</v>
      </c>
      <c r="R22" s="667" t="s">
        <v>14</v>
      </c>
      <c r="S22" s="668">
        <f>F22</f>
        <v>100</v>
      </c>
      <c r="T22" s="667" t="s">
        <v>14</v>
      </c>
      <c r="U22" s="668">
        <f>H22</f>
        <v>100</v>
      </c>
      <c r="V22" s="667" t="s">
        <v>14</v>
      </c>
      <c r="W22" s="668">
        <f>J22</f>
        <v>100</v>
      </c>
      <c r="X22" s="1265"/>
      <c r="Y22" s="341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1"/>
      <c r="Q23" s="1263">
        <f>B23</f>
        <v>111</v>
      </c>
      <c r="R23" s="667" t="s">
        <v>14</v>
      </c>
      <c r="S23" s="668">
        <f>F23</f>
        <v>100</v>
      </c>
      <c r="T23" s="667" t="s">
        <v>14</v>
      </c>
      <c r="U23" s="668">
        <f>H23</f>
        <v>100</v>
      </c>
      <c r="V23" s="667" t="s">
        <v>14</v>
      </c>
      <c r="W23" s="668">
        <f>J23</f>
        <v>100</v>
      </c>
      <c r="X23" s="1265"/>
      <c r="Y23" s="341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1"/>
      <c r="Q24" s="1263">
        <f t="shared" ref="Q24:Q34" si="11">B24</f>
        <v>111</v>
      </c>
      <c r="R24" s="667" t="s">
        <v>14</v>
      </c>
      <c r="S24" s="668">
        <f>F24</f>
        <v>100</v>
      </c>
      <c r="T24" s="667" t="s">
        <v>14</v>
      </c>
      <c r="U24" s="668">
        <f>H24</f>
        <v>100</v>
      </c>
      <c r="V24" s="667" t="s">
        <v>14</v>
      </c>
      <c r="W24" s="668">
        <f>J24</f>
        <v>100</v>
      </c>
      <c r="X24" s="1265"/>
      <c r="Y24" s="341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1"/>
      <c r="Q25" s="530">
        <f t="shared" si="11"/>
        <v>111</v>
      </c>
      <c r="R25" s="664" t="s">
        <v>14</v>
      </c>
      <c r="S25" s="665">
        <f>F25</f>
        <v>100</v>
      </c>
      <c r="T25" s="664" t="s">
        <v>14</v>
      </c>
      <c r="U25" s="665">
        <f>H25</f>
        <v>100</v>
      </c>
      <c r="V25" s="664" t="s">
        <v>14</v>
      </c>
      <c r="W25" s="665">
        <f>J25</f>
        <v>100</v>
      </c>
      <c r="X25" s="666"/>
      <c r="Y25" s="341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5"/>
      <c r="Q27" s="531" t="str">
        <f t="shared" si="11"/>
        <v>成新率</v>
      </c>
      <c r="R27" s="669" t="s">
        <v>14</v>
      </c>
      <c r="S27" s="670" t="e">
        <f t="shared" si="12"/>
        <v>#N/A</v>
      </c>
      <c r="T27" s="669" t="s">
        <v>14</v>
      </c>
      <c r="U27" s="670" t="e">
        <f t="shared" si="13"/>
        <v>#N/A</v>
      </c>
      <c r="V27" s="669" t="s">
        <v>14</v>
      </c>
      <c r="W27" s="670" t="e">
        <f t="shared" si="14"/>
        <v>#N/A</v>
      </c>
      <c r="X27" s="671"/>
      <c r="Y27" s="341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5"/>
      <c r="Q28" s="1263" t="str">
        <f t="shared" si="11"/>
        <v>物业等级</v>
      </c>
      <c r="R28" s="667" t="s">
        <v>14</v>
      </c>
      <c r="S28" s="668">
        <f t="shared" si="12"/>
        <v>100</v>
      </c>
      <c r="T28" s="667" t="s">
        <v>14</v>
      </c>
      <c r="U28" s="668">
        <f t="shared" si="13"/>
        <v>100</v>
      </c>
      <c r="V28" s="667" t="s">
        <v>14</v>
      </c>
      <c r="W28" s="668">
        <f t="shared" si="14"/>
        <v>100</v>
      </c>
      <c r="X28" s="1265"/>
      <c r="Y28" s="341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5"/>
      <c r="Q29" s="1263" t="str">
        <f t="shared" si="11"/>
        <v>有无电梯</v>
      </c>
      <c r="R29" s="667" t="s">
        <v>14</v>
      </c>
      <c r="S29" s="668">
        <f t="shared" si="12"/>
        <v>100</v>
      </c>
      <c r="T29" s="667" t="s">
        <v>14</v>
      </c>
      <c r="U29" s="668">
        <f t="shared" si="13"/>
        <v>100</v>
      </c>
      <c r="V29" s="667" t="s">
        <v>14</v>
      </c>
      <c r="W29" s="668">
        <f t="shared" si="14"/>
        <v>100</v>
      </c>
      <c r="X29" s="1265"/>
      <c r="Y29" s="341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5"/>
      <c r="Q30" s="1263" t="str">
        <f t="shared" si="11"/>
        <v>建筑面积</v>
      </c>
      <c r="R30" s="667" t="s">
        <v>14</v>
      </c>
      <c r="S30" s="668" t="e">
        <f t="shared" si="12"/>
        <v>#N/A</v>
      </c>
      <c r="T30" s="667" t="s">
        <v>14</v>
      </c>
      <c r="U30" s="668" t="e">
        <f t="shared" si="13"/>
        <v>#N/A</v>
      </c>
      <c r="V30" s="667" t="s">
        <v>14</v>
      </c>
      <c r="W30" s="668" t="e">
        <f t="shared" si="14"/>
        <v>#N/A</v>
      </c>
      <c r="X30" s="1265"/>
      <c r="Y30" s="341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5"/>
      <c r="Q31" s="530" t="str">
        <f t="shared" si="11"/>
        <v>是否封闭</v>
      </c>
      <c r="R31" s="664" t="s">
        <v>14</v>
      </c>
      <c r="S31" s="665">
        <f t="shared" si="12"/>
        <v>100</v>
      </c>
      <c r="T31" s="664" t="s">
        <v>14</v>
      </c>
      <c r="U31" s="665">
        <f t="shared" si="13"/>
        <v>100</v>
      </c>
      <c r="V31" s="664" t="s">
        <v>14</v>
      </c>
      <c r="W31" s="665">
        <f t="shared" si="14"/>
        <v>100</v>
      </c>
      <c r="X31" s="666"/>
      <c r="Y31" s="341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5" t="s">
        <v>1696</v>
      </c>
      <c r="Q32" s="1263">
        <f t="shared" si="11"/>
        <v>111</v>
      </c>
      <c r="R32" s="667" t="s">
        <v>14</v>
      </c>
      <c r="S32" s="668">
        <f t="shared" si="12"/>
        <v>100</v>
      </c>
      <c r="T32" s="667" t="s">
        <v>14</v>
      </c>
      <c r="U32" s="668">
        <f t="shared" si="13"/>
        <v>100</v>
      </c>
      <c r="V32" s="667" t="s">
        <v>14</v>
      </c>
      <c r="W32" s="668">
        <f t="shared" si="14"/>
        <v>100</v>
      </c>
      <c r="X32" s="1265"/>
      <c r="Y32" s="341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5"/>
      <c r="Q33" s="1263">
        <f t="shared" si="11"/>
        <v>111</v>
      </c>
      <c r="R33" s="667" t="s">
        <v>14</v>
      </c>
      <c r="S33" s="668">
        <f t="shared" si="12"/>
        <v>100</v>
      </c>
      <c r="T33" s="667" t="s">
        <v>14</v>
      </c>
      <c r="U33" s="668">
        <f t="shared" si="13"/>
        <v>100</v>
      </c>
      <c r="V33" s="667" t="s">
        <v>14</v>
      </c>
      <c r="W33" s="668">
        <f t="shared" si="14"/>
        <v>100</v>
      </c>
      <c r="X33" s="1265"/>
      <c r="Y33" s="341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5"/>
      <c r="Q34" s="1263">
        <f t="shared" si="11"/>
        <v>111</v>
      </c>
      <c r="R34" s="667" t="s">
        <v>14</v>
      </c>
      <c r="S34" s="668">
        <f t="shared" si="12"/>
        <v>100</v>
      </c>
      <c r="T34" s="667" t="s">
        <v>14</v>
      </c>
      <c r="U34" s="668">
        <f t="shared" si="13"/>
        <v>100</v>
      </c>
      <c r="V34" s="667" t="s">
        <v>14</v>
      </c>
      <c r="W34" s="668">
        <f t="shared" si="14"/>
        <v>100</v>
      </c>
      <c r="X34" s="1265"/>
      <c r="Y34" s="341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09" t="str">
        <f>A35</f>
        <v>成交单价（元/平方米）</v>
      </c>
      <c r="Q35" s="3409"/>
      <c r="R35" s="3404">
        <f>E35</f>
        <v>0</v>
      </c>
      <c r="S35" s="3404"/>
      <c r="T35" s="3404">
        <f>G35</f>
        <v>0</v>
      </c>
      <c r="U35" s="3404"/>
      <c r="V35" s="3404">
        <f>I35</f>
        <v>0</v>
      </c>
      <c r="W35" s="3404"/>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409" t="str">
        <f>A36</f>
        <v>比较价值（元/平方米）</v>
      </c>
      <c r="Q36" s="3409"/>
      <c r="R36" s="3404" t="e">
        <f>IF(F1="售价",ROUND(PRODUCT(R35,AA7:AA34),0),ROUND(PRODUCT(R35,AA7:AA34),1))</f>
        <v>#DIV/0!</v>
      </c>
      <c r="S36" s="3404"/>
      <c r="T36" s="3404" t="e">
        <f>IF(F1="售价",ROUND(PRODUCT(T35,AB7:AB34),0),ROUND(PRODUCT(T35,AB7:AB34),1))</f>
        <v>#DIV/0!</v>
      </c>
      <c r="U36" s="3404"/>
      <c r="V36" s="3404" t="e">
        <f>IF(F1="售价",ROUND(PRODUCT(V35,AC7:AC34),0),ROUND(PRODUCT(V35,AC7:AC34),1))</f>
        <v>#DIV/0!</v>
      </c>
      <c r="W36" s="340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06" t="str">
        <f>A37</f>
        <v>估价对象XX用房的比较价值（楼面单价，元/平方米）</v>
      </c>
      <c r="Q37" s="3407"/>
      <c r="R37" s="3435" t="e">
        <f>IF(F1="售价",ROUND(IF(D36="简单平均",AVERAGE(R36:W36),R36*F36+T36*H36+V36*J36),0),ROUND(IF(D36="简单平均",AVERAGE(R36:V36),R36*F36+T36*H36+V36*J36),1))</f>
        <v>#DIV/0!</v>
      </c>
      <c r="S37" s="3435"/>
      <c r="T37" s="3435"/>
      <c r="U37" s="3435"/>
      <c r="V37" s="3435"/>
      <c r="W37" s="343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77" t="s">
        <v>1683</v>
      </c>
      <c r="Q8" s="3378"/>
      <c r="R8" s="664" t="s">
        <v>14</v>
      </c>
      <c r="S8" s="665">
        <f t="shared" si="0"/>
        <v>0</v>
      </c>
      <c r="T8" s="664" t="s">
        <v>14</v>
      </c>
      <c r="U8" s="665">
        <f t="shared" si="1"/>
        <v>0</v>
      </c>
      <c r="V8" s="664" t="s">
        <v>14</v>
      </c>
      <c r="W8" s="665">
        <f t="shared" si="2"/>
        <v>0</v>
      </c>
      <c r="X8" s="666"/>
      <c r="Y8" s="3377" t="s">
        <v>1683</v>
      </c>
      <c r="Z8" s="337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409"/>
      <c r="Q10" s="530" t="str">
        <f t="shared" si="6"/>
        <v>土地使用年限（年）</v>
      </c>
      <c r="R10" s="664" t="s">
        <v>14</v>
      </c>
      <c r="S10" s="665" t="e">
        <f t="shared" si="0"/>
        <v>#DIV/0!</v>
      </c>
      <c r="T10" s="664" t="s">
        <v>14</v>
      </c>
      <c r="U10" s="665" t="e">
        <f t="shared" si="1"/>
        <v>#DIV/0!</v>
      </c>
      <c r="V10" s="664" t="s">
        <v>14</v>
      </c>
      <c r="W10" s="665" t="e">
        <f t="shared" si="2"/>
        <v>#DIV/0!</v>
      </c>
      <c r="X10" s="666"/>
      <c r="Y10" s="332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09"/>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09"/>
      <c r="Q12" s="530" t="str">
        <f t="shared" si="6"/>
        <v>配建</v>
      </c>
      <c r="R12" s="664" t="s">
        <v>14</v>
      </c>
      <c r="S12" s="665">
        <f t="shared" si="0"/>
        <v>100</v>
      </c>
      <c r="T12" s="664" t="s">
        <v>14</v>
      </c>
      <c r="U12" s="665">
        <f t="shared" si="1"/>
        <v>100</v>
      </c>
      <c r="V12" s="664" t="s">
        <v>14</v>
      </c>
      <c r="W12" s="665">
        <f t="shared" si="2"/>
        <v>100</v>
      </c>
      <c r="X12" s="666"/>
      <c r="Y12" s="332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0" t="s">
        <v>1691</v>
      </c>
      <c r="Q15" s="1263" t="str">
        <f t="shared" si="6"/>
        <v>居住社区成熟度</v>
      </c>
      <c r="R15" s="667" t="s">
        <v>14</v>
      </c>
      <c r="S15" s="668">
        <f t="shared" si="0"/>
        <v>100</v>
      </c>
      <c r="T15" s="667" t="s">
        <v>14</v>
      </c>
      <c r="U15" s="668">
        <f t="shared" si="1"/>
        <v>100</v>
      </c>
      <c r="V15" s="667" t="s">
        <v>14</v>
      </c>
      <c r="W15" s="668">
        <f t="shared" si="2"/>
        <v>100</v>
      </c>
      <c r="X15" s="1265"/>
      <c r="Y15" s="341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11"/>
      <c r="Q16" s="1263"/>
      <c r="R16" s="667"/>
      <c r="S16" s="668"/>
      <c r="T16" s="667"/>
      <c r="U16" s="668"/>
      <c r="V16" s="667"/>
      <c r="W16" s="668"/>
      <c r="X16" s="1265"/>
      <c r="Y16" s="341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1"/>
      <c r="Q17" s="1263" t="str">
        <f>B17</f>
        <v>商业繁华度</v>
      </c>
      <c r="R17" s="667" t="s">
        <v>14</v>
      </c>
      <c r="S17" s="668">
        <f>F17</f>
        <v>100</v>
      </c>
      <c r="T17" s="667" t="s">
        <v>14</v>
      </c>
      <c r="U17" s="668">
        <f>H17</f>
        <v>100</v>
      </c>
      <c r="V17" s="667" t="s">
        <v>14</v>
      </c>
      <c r="W17" s="668">
        <f>J17</f>
        <v>100</v>
      </c>
      <c r="X17" s="1265"/>
      <c r="Y17" s="341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11"/>
      <c r="Q18" s="1263"/>
      <c r="R18" s="667"/>
      <c r="S18" s="668"/>
      <c r="T18" s="667"/>
      <c r="U18" s="668"/>
      <c r="V18" s="667"/>
      <c r="W18" s="668"/>
      <c r="X18" s="1265"/>
      <c r="Y18" s="341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1"/>
      <c r="Q19" s="1263" t="str">
        <f>B19</f>
        <v>办公集聚程度</v>
      </c>
      <c r="R19" s="667" t="s">
        <v>14</v>
      </c>
      <c r="S19" s="668">
        <f>F19</f>
        <v>100</v>
      </c>
      <c r="T19" s="667" t="s">
        <v>14</v>
      </c>
      <c r="U19" s="668">
        <f>H19</f>
        <v>100</v>
      </c>
      <c r="V19" s="667" t="s">
        <v>14</v>
      </c>
      <c r="W19" s="668">
        <f>J19</f>
        <v>100</v>
      </c>
      <c r="X19" s="1265"/>
      <c r="Y19" s="341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11"/>
      <c r="Q20" s="1263"/>
      <c r="R20" s="667"/>
      <c r="S20" s="668"/>
      <c r="T20" s="667"/>
      <c r="U20" s="668"/>
      <c r="V20" s="667"/>
      <c r="W20" s="668"/>
      <c r="X20" s="1265"/>
      <c r="Y20" s="341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1"/>
      <c r="Q21" s="1263" t="str">
        <f>B21</f>
        <v>交通便捷度</v>
      </c>
      <c r="R21" s="667" t="s">
        <v>14</v>
      </c>
      <c r="S21" s="668">
        <f>F21</f>
        <v>100</v>
      </c>
      <c r="T21" s="667" t="s">
        <v>14</v>
      </c>
      <c r="U21" s="668">
        <f>H21</f>
        <v>100</v>
      </c>
      <c r="V21" s="667" t="s">
        <v>14</v>
      </c>
      <c r="W21" s="668">
        <f>J21</f>
        <v>100</v>
      </c>
      <c r="X21" s="1265"/>
      <c r="Y21" s="341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11"/>
      <c r="Q22" s="1263"/>
      <c r="R22" s="667"/>
      <c r="S22" s="668"/>
      <c r="T22" s="667"/>
      <c r="U22" s="668"/>
      <c r="V22" s="667"/>
      <c r="W22" s="668"/>
      <c r="X22" s="1265"/>
      <c r="Y22" s="341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1"/>
      <c r="Q23" s="1263" t="str">
        <f t="shared" ref="Q23:Q37" si="8">B23</f>
        <v>区域土地利用方向</v>
      </c>
      <c r="R23" s="667" t="s">
        <v>14</v>
      </c>
      <c r="S23" s="668">
        <f>F23</f>
        <v>100</v>
      </c>
      <c r="T23" s="667" t="s">
        <v>14</v>
      </c>
      <c r="U23" s="668">
        <f>H23</f>
        <v>100</v>
      </c>
      <c r="V23" s="667" t="s">
        <v>14</v>
      </c>
      <c r="W23" s="668">
        <f>J23</f>
        <v>100</v>
      </c>
      <c r="X23" s="1265"/>
      <c r="Y23" s="341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11"/>
      <c r="Q24" s="1263"/>
      <c r="R24" s="667"/>
      <c r="S24" s="668"/>
      <c r="T24" s="667"/>
      <c r="U24" s="668"/>
      <c r="V24" s="667"/>
      <c r="W24" s="668"/>
      <c r="X24" s="1265"/>
      <c r="Y24" s="341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1"/>
      <c r="Q25" s="1263" t="str">
        <f t="shared" si="8"/>
        <v>自然及人文环境状况</v>
      </c>
      <c r="R25" s="667" t="s">
        <v>14</v>
      </c>
      <c r="S25" s="668">
        <f>F25</f>
        <v>100</v>
      </c>
      <c r="T25" s="667" t="s">
        <v>14</v>
      </c>
      <c r="U25" s="668">
        <f>H25</f>
        <v>100</v>
      </c>
      <c r="V25" s="667" t="s">
        <v>14</v>
      </c>
      <c r="W25" s="668">
        <f>J25</f>
        <v>100</v>
      </c>
      <c r="X25" s="1265"/>
      <c r="Y25" s="341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11"/>
      <c r="Q26" s="1263"/>
      <c r="R26" s="667"/>
      <c r="S26" s="668"/>
      <c r="T26" s="667"/>
      <c r="U26" s="668"/>
      <c r="V26" s="667"/>
      <c r="W26" s="668"/>
      <c r="X26" s="1265"/>
      <c r="Y26" s="341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1"/>
      <c r="Q27" s="530" t="str">
        <f t="shared" si="8"/>
        <v>公共配套设施</v>
      </c>
      <c r="R27" s="664" t="s">
        <v>14</v>
      </c>
      <c r="S27" s="665">
        <f>F27</f>
        <v>100</v>
      </c>
      <c r="T27" s="664" t="s">
        <v>14</v>
      </c>
      <c r="U27" s="665">
        <f>H27</f>
        <v>100</v>
      </c>
      <c r="V27" s="664" t="s">
        <v>14</v>
      </c>
      <c r="W27" s="665">
        <f>J27</f>
        <v>100</v>
      </c>
      <c r="X27" s="666"/>
      <c r="Y27" s="341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11"/>
      <c r="Q28" s="530"/>
      <c r="R28" s="664"/>
      <c r="S28" s="665"/>
      <c r="T28" s="664"/>
      <c r="U28" s="665"/>
      <c r="V28" s="664"/>
      <c r="W28" s="665"/>
      <c r="X28" s="666"/>
      <c r="Y28" s="341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1"/>
      <c r="Q29" s="530" t="str">
        <f t="shared" ref="Q29" si="9">B29</f>
        <v>基础设施水平</v>
      </c>
      <c r="R29" s="664" t="s">
        <v>14</v>
      </c>
      <c r="S29" s="665">
        <f>F29</f>
        <v>100</v>
      </c>
      <c r="T29" s="664" t="s">
        <v>14</v>
      </c>
      <c r="U29" s="665">
        <f>H29</f>
        <v>100</v>
      </c>
      <c r="V29" s="664" t="s">
        <v>14</v>
      </c>
      <c r="W29" s="665">
        <f>J29</f>
        <v>100</v>
      </c>
      <c r="X29" s="666"/>
      <c r="Y29" s="341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11"/>
      <c r="Q30" s="530"/>
      <c r="R30" s="664"/>
      <c r="S30" s="665"/>
      <c r="T30" s="664"/>
      <c r="U30" s="665"/>
      <c r="V30" s="664"/>
      <c r="W30" s="665"/>
      <c r="X30" s="666"/>
      <c r="Y30" s="341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1"/>
      <c r="Q32" s="1263" t="str">
        <f t="shared" si="8"/>
        <v>毗邻道路的类型与等级</v>
      </c>
      <c r="R32" s="667" t="s">
        <v>14</v>
      </c>
      <c r="S32" s="668">
        <f t="shared" si="10"/>
        <v>100</v>
      </c>
      <c r="T32" s="667" t="s">
        <v>14</v>
      </c>
      <c r="U32" s="668">
        <f t="shared" si="11"/>
        <v>100</v>
      </c>
      <c r="V32" s="667" t="s">
        <v>14</v>
      </c>
      <c r="W32" s="668">
        <f t="shared" si="12"/>
        <v>100</v>
      </c>
      <c r="X32" s="1265"/>
      <c r="Y32" s="341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11"/>
      <c r="Q33" s="1263"/>
      <c r="R33" s="667"/>
      <c r="S33" s="668"/>
      <c r="T33" s="667"/>
      <c r="U33" s="668"/>
      <c r="V33" s="667"/>
      <c r="W33" s="668"/>
      <c r="X33" s="1265"/>
      <c r="Y33" s="341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1"/>
      <c r="Q34" s="1263" t="str">
        <f t="shared" si="8"/>
        <v>土地级别</v>
      </c>
      <c r="R34" s="667" t="s">
        <v>14</v>
      </c>
      <c r="S34" s="668">
        <f t="shared" si="10"/>
        <v>100</v>
      </c>
      <c r="T34" s="667" t="s">
        <v>14</v>
      </c>
      <c r="U34" s="668">
        <f t="shared" si="11"/>
        <v>100</v>
      </c>
      <c r="V34" s="667" t="s">
        <v>14</v>
      </c>
      <c r="W34" s="668">
        <f t="shared" si="12"/>
        <v>100</v>
      </c>
      <c r="X34" s="1265"/>
      <c r="Y34" s="341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1"/>
      <c r="Q35" s="1263">
        <f t="shared" si="8"/>
        <v>111</v>
      </c>
      <c r="R35" s="667" t="s">
        <v>14</v>
      </c>
      <c r="S35" s="668">
        <f t="shared" si="10"/>
        <v>100</v>
      </c>
      <c r="T35" s="667" t="s">
        <v>14</v>
      </c>
      <c r="U35" s="668">
        <f t="shared" si="11"/>
        <v>100</v>
      </c>
      <c r="V35" s="667" t="s">
        <v>14</v>
      </c>
      <c r="W35" s="668">
        <f t="shared" si="12"/>
        <v>100</v>
      </c>
      <c r="X35" s="1265"/>
      <c r="Y35" s="341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4" t="s">
        <v>1696</v>
      </c>
      <c r="Q36" s="1263">
        <f t="shared" si="8"/>
        <v>111</v>
      </c>
      <c r="R36" s="667" t="s">
        <v>14</v>
      </c>
      <c r="S36" s="668">
        <f t="shared" si="10"/>
        <v>100</v>
      </c>
      <c r="T36" s="667" t="s">
        <v>14</v>
      </c>
      <c r="U36" s="668">
        <f t="shared" si="11"/>
        <v>100</v>
      </c>
      <c r="V36" s="667" t="s">
        <v>14</v>
      </c>
      <c r="W36" s="668">
        <f t="shared" si="12"/>
        <v>100</v>
      </c>
      <c r="X36" s="1265"/>
      <c r="Y36" s="341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5"/>
      <c r="Q37" s="1263">
        <f t="shared" si="8"/>
        <v>111</v>
      </c>
      <c r="R37" s="669" t="s">
        <v>14</v>
      </c>
      <c r="S37" s="670">
        <f t="shared" si="10"/>
        <v>100</v>
      </c>
      <c r="T37" s="669" t="s">
        <v>14</v>
      </c>
      <c r="U37" s="670">
        <f t="shared" si="11"/>
        <v>100</v>
      </c>
      <c r="V37" s="669" t="s">
        <v>14</v>
      </c>
      <c r="W37" s="670">
        <f t="shared" si="12"/>
        <v>100</v>
      </c>
      <c r="X37" s="671"/>
      <c r="Y37" s="341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5"/>
      <c r="Q38" s="1263" t="str">
        <f>B38</f>
        <v>宗地面积</v>
      </c>
      <c r="R38" s="667" t="s">
        <v>14</v>
      </c>
      <c r="S38" s="668" t="e">
        <f t="shared" si="10"/>
        <v>#N/A</v>
      </c>
      <c r="T38" s="667" t="s">
        <v>14</v>
      </c>
      <c r="U38" s="668" t="e">
        <f t="shared" si="11"/>
        <v>#N/A</v>
      </c>
      <c r="V38" s="667" t="s">
        <v>14</v>
      </c>
      <c r="W38" s="668" t="e">
        <f t="shared" si="12"/>
        <v>#N/A</v>
      </c>
      <c r="X38" s="1265"/>
      <c r="Y38" s="341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5"/>
      <c r="Q39" s="1263" t="str">
        <f t="shared" ref="Q39:Q45" si="14">B39</f>
        <v>宗地形状</v>
      </c>
      <c r="R39" s="667" t="s">
        <v>14</v>
      </c>
      <c r="S39" s="668">
        <f t="shared" si="10"/>
        <v>100</v>
      </c>
      <c r="T39" s="667" t="s">
        <v>14</v>
      </c>
      <c r="U39" s="668">
        <f t="shared" si="11"/>
        <v>100</v>
      </c>
      <c r="V39" s="667" t="s">
        <v>14</v>
      </c>
      <c r="W39" s="668">
        <f t="shared" si="12"/>
        <v>100</v>
      </c>
      <c r="X39" s="1265"/>
      <c r="Y39" s="341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5"/>
      <c r="Q40" s="1263" t="str">
        <f t="shared" si="14"/>
        <v>临街宽度及深度</v>
      </c>
      <c r="R40" s="667" t="s">
        <v>14</v>
      </c>
      <c r="S40" s="668">
        <f t="shared" si="10"/>
        <v>100</v>
      </c>
      <c r="T40" s="667" t="s">
        <v>14</v>
      </c>
      <c r="U40" s="668">
        <f t="shared" si="11"/>
        <v>100</v>
      </c>
      <c r="V40" s="667" t="s">
        <v>14</v>
      </c>
      <c r="W40" s="668">
        <f t="shared" si="12"/>
        <v>100</v>
      </c>
      <c r="X40" s="1265"/>
      <c r="Y40" s="341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5"/>
      <c r="Q41" s="1263" t="str">
        <f t="shared" si="14"/>
        <v>宗地开发程度</v>
      </c>
      <c r="R41" s="664" t="s">
        <v>14</v>
      </c>
      <c r="S41" s="665">
        <f t="shared" si="10"/>
        <v>100</v>
      </c>
      <c r="T41" s="664" t="s">
        <v>14</v>
      </c>
      <c r="U41" s="665">
        <f t="shared" si="11"/>
        <v>100</v>
      </c>
      <c r="V41" s="664" t="s">
        <v>14</v>
      </c>
      <c r="W41" s="665">
        <f t="shared" si="12"/>
        <v>100</v>
      </c>
      <c r="X41" s="666"/>
      <c r="Y41" s="341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5" t="s">
        <v>1696</v>
      </c>
      <c r="Q42" s="1263" t="str">
        <f t="shared" si="14"/>
        <v>工程地质条件</v>
      </c>
      <c r="R42" s="667" t="s">
        <v>14</v>
      </c>
      <c r="S42" s="668">
        <f t="shared" si="10"/>
        <v>100</v>
      </c>
      <c r="T42" s="667" t="s">
        <v>14</v>
      </c>
      <c r="U42" s="668">
        <f t="shared" si="11"/>
        <v>100</v>
      </c>
      <c r="V42" s="667" t="s">
        <v>14</v>
      </c>
      <c r="W42" s="668">
        <f t="shared" si="12"/>
        <v>100</v>
      </c>
      <c r="X42" s="1265"/>
      <c r="Y42" s="341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5"/>
      <c r="Q43" s="1263">
        <f t="shared" si="14"/>
        <v>111</v>
      </c>
      <c r="R43" s="667" t="s">
        <v>14</v>
      </c>
      <c r="S43" s="668">
        <f t="shared" si="10"/>
        <v>100</v>
      </c>
      <c r="T43" s="667" t="s">
        <v>14</v>
      </c>
      <c r="U43" s="668">
        <f t="shared" si="11"/>
        <v>100</v>
      </c>
      <c r="V43" s="667" t="s">
        <v>14</v>
      </c>
      <c r="W43" s="668">
        <f t="shared" si="12"/>
        <v>100</v>
      </c>
      <c r="X43" s="1265"/>
      <c r="Y43" s="341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5"/>
      <c r="Q44" s="1263">
        <f t="shared" si="14"/>
        <v>111</v>
      </c>
      <c r="R44" s="667" t="s">
        <v>14</v>
      </c>
      <c r="S44" s="668">
        <f t="shared" si="10"/>
        <v>100</v>
      </c>
      <c r="T44" s="667" t="s">
        <v>14</v>
      </c>
      <c r="U44" s="668">
        <f t="shared" si="11"/>
        <v>100</v>
      </c>
      <c r="V44" s="667" t="s">
        <v>14</v>
      </c>
      <c r="W44" s="668">
        <f t="shared" si="12"/>
        <v>100</v>
      </c>
      <c r="X44" s="1265"/>
      <c r="Y44" s="341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5"/>
      <c r="Q45" s="1263">
        <f t="shared" si="14"/>
        <v>111</v>
      </c>
      <c r="R45" s="669" t="s">
        <v>14</v>
      </c>
      <c r="S45" s="670">
        <f t="shared" si="10"/>
        <v>100</v>
      </c>
      <c r="T45" s="669" t="s">
        <v>14</v>
      </c>
      <c r="U45" s="670">
        <f t="shared" si="11"/>
        <v>100</v>
      </c>
      <c r="V45" s="669" t="s">
        <v>14</v>
      </c>
      <c r="W45" s="670">
        <f t="shared" si="12"/>
        <v>100</v>
      </c>
      <c r="X45" s="671"/>
      <c r="Y45" s="341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09" t="str">
        <f>A46</f>
        <v>成交单价</v>
      </c>
      <c r="Q46" s="3409"/>
      <c r="R46" s="3404">
        <f>E46</f>
        <v>0</v>
      </c>
      <c r="S46" s="3404"/>
      <c r="T46" s="3404">
        <f>G46</f>
        <v>0</v>
      </c>
      <c r="U46" s="3404"/>
      <c r="V46" s="3404">
        <f>I46</f>
        <v>0</v>
      </c>
      <c r="W46" s="3404"/>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409" t="str">
        <f>A47</f>
        <v>比较价值（元/平方米）</v>
      </c>
      <c r="Q47" s="3409"/>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06" t="str">
        <f>A48</f>
        <v>估价对象XX用房的比较价值（楼面单价，元/平方米）</v>
      </c>
      <c r="Q48" s="3407"/>
      <c r="R48" s="3437" t="e">
        <f>ROUND(IF(D47="简单平均",AVERAGE(R47:W47),R47*F47+T47*H47+V47*J47),0)</f>
        <v>#DIV/0!</v>
      </c>
      <c r="S48" s="3437"/>
      <c r="T48" s="3437"/>
      <c r="U48" s="3437"/>
      <c r="V48" s="3437"/>
      <c r="W48" s="343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2" t="s">
        <v>1887</v>
      </c>
      <c r="H55" s="343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174.9</v>
      </c>
      <c r="F56" s="833" t="e">
        <f t="shared" ref="F56:F64" si="15">ROUND(B56*E56/10000,0)</f>
        <v>#DIV/0!</v>
      </c>
      <c r="G56" s="3391"/>
      <c r="H56" s="340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174.9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439" t="s">
        <v>1919</v>
      </c>
      <c r="D6" s="3440"/>
      <c r="E6" s="3441" t="s">
        <v>1919</v>
      </c>
      <c r="F6" s="3442"/>
      <c r="G6" s="3439" t="s">
        <v>1919</v>
      </c>
      <c r="H6" s="3440"/>
      <c r="I6" s="3439" t="s">
        <v>1919</v>
      </c>
      <c r="J6" s="3440"/>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77" t="s">
        <v>1683</v>
      </c>
      <c r="Q8" s="3378"/>
      <c r="R8" s="664" t="s">
        <v>14</v>
      </c>
      <c r="S8" s="665">
        <f t="shared" si="0"/>
        <v>0</v>
      </c>
      <c r="T8" s="664" t="s">
        <v>14</v>
      </c>
      <c r="U8" s="665">
        <f t="shared" si="1"/>
        <v>0</v>
      </c>
      <c r="V8" s="664" t="s">
        <v>14</v>
      </c>
      <c r="W8" s="665">
        <f t="shared" si="2"/>
        <v>0</v>
      </c>
      <c r="X8" s="666"/>
      <c r="Y8" s="3377" t="s">
        <v>1683</v>
      </c>
      <c r="Z8" s="337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409"/>
      <c r="Q10" s="530" t="str">
        <f t="shared" si="6"/>
        <v>土地使用年限（年）</v>
      </c>
      <c r="R10" s="664" t="s">
        <v>14</v>
      </c>
      <c r="S10" s="665" t="e">
        <f t="shared" si="0"/>
        <v>#DIV/0!</v>
      </c>
      <c r="T10" s="664" t="s">
        <v>14</v>
      </c>
      <c r="U10" s="665" t="e">
        <f t="shared" si="1"/>
        <v>#DIV/0!</v>
      </c>
      <c r="V10" s="664" t="s">
        <v>14</v>
      </c>
      <c r="W10" s="665" t="e">
        <f t="shared" si="2"/>
        <v>#DIV/0!</v>
      </c>
      <c r="X10" s="666"/>
      <c r="Y10" s="332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09"/>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0" t="s">
        <v>1691</v>
      </c>
      <c r="Q15" s="1263" t="str">
        <f t="shared" si="6"/>
        <v>产业集聚程度</v>
      </c>
      <c r="R15" s="667" t="s">
        <v>14</v>
      </c>
      <c r="S15" s="668">
        <f t="shared" si="0"/>
        <v>100</v>
      </c>
      <c r="T15" s="667" t="s">
        <v>14</v>
      </c>
      <c r="U15" s="668">
        <f t="shared" si="1"/>
        <v>100</v>
      </c>
      <c r="V15" s="667" t="s">
        <v>14</v>
      </c>
      <c r="W15" s="668">
        <f t="shared" si="2"/>
        <v>100</v>
      </c>
      <c r="X15" s="1265"/>
      <c r="Y15" s="341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11"/>
      <c r="Q16" s="1263"/>
      <c r="R16" s="667"/>
      <c r="S16" s="668"/>
      <c r="T16" s="667"/>
      <c r="U16" s="668"/>
      <c r="V16" s="667"/>
      <c r="W16" s="668"/>
      <c r="X16" s="1265"/>
      <c r="Y16" s="341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1"/>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11"/>
      <c r="Q18" s="1263"/>
      <c r="R18" s="667"/>
      <c r="S18" s="668"/>
      <c r="T18" s="667"/>
      <c r="U18" s="668"/>
      <c r="V18" s="667"/>
      <c r="W18" s="668"/>
      <c r="X18" s="1265"/>
      <c r="Y18" s="341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1"/>
      <c r="Q19" s="1263" t="str">
        <f t="shared" ref="Q19:Q33" si="8">B19</f>
        <v>区域土地利用方向</v>
      </c>
      <c r="R19" s="667" t="s">
        <v>14</v>
      </c>
      <c r="S19" s="668">
        <f>F19</f>
        <v>100</v>
      </c>
      <c r="T19" s="667" t="s">
        <v>14</v>
      </c>
      <c r="U19" s="668">
        <f>H19</f>
        <v>100</v>
      </c>
      <c r="V19" s="667" t="s">
        <v>14</v>
      </c>
      <c r="W19" s="668">
        <f>J19</f>
        <v>100</v>
      </c>
      <c r="X19" s="1265"/>
      <c r="Y19" s="341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11"/>
      <c r="Q20" s="1263"/>
      <c r="R20" s="667"/>
      <c r="S20" s="668"/>
      <c r="T20" s="667"/>
      <c r="U20" s="668"/>
      <c r="V20" s="667"/>
      <c r="W20" s="668"/>
      <c r="X20" s="1265"/>
      <c r="Y20" s="341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1"/>
      <c r="Q21" s="1263" t="str">
        <f t="shared" si="8"/>
        <v>环境状况</v>
      </c>
      <c r="R21" s="667" t="s">
        <v>14</v>
      </c>
      <c r="S21" s="668">
        <f>F21</f>
        <v>100</v>
      </c>
      <c r="T21" s="667" t="s">
        <v>14</v>
      </c>
      <c r="U21" s="668">
        <f>H21</f>
        <v>100</v>
      </c>
      <c r="V21" s="667" t="s">
        <v>14</v>
      </c>
      <c r="W21" s="668">
        <f>J21</f>
        <v>100</v>
      </c>
      <c r="X21" s="1265"/>
      <c r="Y21" s="341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11"/>
      <c r="Q22" s="1263"/>
      <c r="R22" s="667"/>
      <c r="S22" s="668"/>
      <c r="T22" s="667"/>
      <c r="U22" s="668"/>
      <c r="V22" s="667"/>
      <c r="W22" s="668"/>
      <c r="X22" s="1265"/>
      <c r="Y22" s="341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1"/>
      <c r="Q23" s="530" t="str">
        <f t="shared" si="8"/>
        <v>公共配套设施</v>
      </c>
      <c r="R23" s="664" t="s">
        <v>14</v>
      </c>
      <c r="S23" s="665">
        <f>F23</f>
        <v>100</v>
      </c>
      <c r="T23" s="664" t="s">
        <v>14</v>
      </c>
      <c r="U23" s="665">
        <f>H23</f>
        <v>100</v>
      </c>
      <c r="V23" s="664" t="s">
        <v>14</v>
      </c>
      <c r="W23" s="665">
        <f>J23</f>
        <v>100</v>
      </c>
      <c r="X23" s="666"/>
      <c r="Y23" s="341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11"/>
      <c r="Q24" s="530"/>
      <c r="R24" s="664"/>
      <c r="S24" s="665"/>
      <c r="T24" s="664"/>
      <c r="U24" s="665"/>
      <c r="V24" s="664"/>
      <c r="W24" s="665"/>
      <c r="X24" s="666"/>
      <c r="Y24" s="341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1"/>
      <c r="Q25" s="530" t="str">
        <f t="shared" ref="Q25" si="9">B25</f>
        <v>基础设施水平</v>
      </c>
      <c r="R25" s="664" t="s">
        <v>14</v>
      </c>
      <c r="S25" s="665">
        <f>F25</f>
        <v>100</v>
      </c>
      <c r="T25" s="664" t="s">
        <v>14</v>
      </c>
      <c r="U25" s="665">
        <f>H25</f>
        <v>100</v>
      </c>
      <c r="V25" s="664" t="s">
        <v>14</v>
      </c>
      <c r="W25" s="665">
        <f>J25</f>
        <v>100</v>
      </c>
      <c r="X25" s="666"/>
      <c r="Y25" s="341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11"/>
      <c r="Q26" s="530"/>
      <c r="R26" s="664"/>
      <c r="S26" s="665"/>
      <c r="T26" s="664"/>
      <c r="U26" s="665"/>
      <c r="V26" s="664"/>
      <c r="W26" s="665"/>
      <c r="X26" s="666"/>
      <c r="Y26" s="341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1"/>
      <c r="Q28" s="1263" t="str">
        <f t="shared" si="8"/>
        <v>毗邻道路的类型与等级</v>
      </c>
      <c r="R28" s="667" t="s">
        <v>14</v>
      </c>
      <c r="S28" s="668">
        <f t="shared" si="10"/>
        <v>100</v>
      </c>
      <c r="T28" s="667" t="s">
        <v>14</v>
      </c>
      <c r="U28" s="668">
        <f t="shared" si="11"/>
        <v>100</v>
      </c>
      <c r="V28" s="667" t="s">
        <v>14</v>
      </c>
      <c r="W28" s="668">
        <f t="shared" si="12"/>
        <v>100</v>
      </c>
      <c r="X28" s="1265"/>
      <c r="Y28" s="341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11"/>
      <c r="Q29" s="1263"/>
      <c r="R29" s="667"/>
      <c r="S29" s="668"/>
      <c r="T29" s="667"/>
      <c r="U29" s="668"/>
      <c r="V29" s="667"/>
      <c r="W29" s="668"/>
      <c r="X29" s="1265"/>
      <c r="Y29" s="341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1"/>
      <c r="Q30" s="1263" t="str">
        <f t="shared" si="8"/>
        <v>土地级别</v>
      </c>
      <c r="R30" s="667" t="s">
        <v>14</v>
      </c>
      <c r="S30" s="668">
        <f t="shared" si="10"/>
        <v>100</v>
      </c>
      <c r="T30" s="667" t="s">
        <v>14</v>
      </c>
      <c r="U30" s="668">
        <f t="shared" si="11"/>
        <v>100</v>
      </c>
      <c r="V30" s="667" t="s">
        <v>14</v>
      </c>
      <c r="W30" s="668">
        <f t="shared" si="12"/>
        <v>100</v>
      </c>
      <c r="X30" s="1265"/>
      <c r="Y30" s="341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1"/>
      <c r="Q31" s="1263">
        <f t="shared" si="8"/>
        <v>111</v>
      </c>
      <c r="R31" s="667" t="s">
        <v>14</v>
      </c>
      <c r="S31" s="668">
        <f t="shared" si="10"/>
        <v>100</v>
      </c>
      <c r="T31" s="667" t="s">
        <v>14</v>
      </c>
      <c r="U31" s="668">
        <f t="shared" si="11"/>
        <v>100</v>
      </c>
      <c r="V31" s="667" t="s">
        <v>14</v>
      </c>
      <c r="W31" s="668">
        <f t="shared" si="12"/>
        <v>100</v>
      </c>
      <c r="X31" s="1265"/>
      <c r="Y31" s="341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4" t="s">
        <v>1696</v>
      </c>
      <c r="Q32" s="1263">
        <f t="shared" si="8"/>
        <v>111</v>
      </c>
      <c r="R32" s="667" t="s">
        <v>14</v>
      </c>
      <c r="S32" s="668">
        <f t="shared" si="10"/>
        <v>100</v>
      </c>
      <c r="T32" s="667" t="s">
        <v>14</v>
      </c>
      <c r="U32" s="668">
        <f t="shared" si="11"/>
        <v>100</v>
      </c>
      <c r="V32" s="667" t="s">
        <v>14</v>
      </c>
      <c r="W32" s="668">
        <f t="shared" si="12"/>
        <v>100</v>
      </c>
      <c r="X32" s="1265"/>
      <c r="Y32" s="341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5"/>
      <c r="Q33" s="1263">
        <f t="shared" si="8"/>
        <v>111</v>
      </c>
      <c r="R33" s="669" t="s">
        <v>14</v>
      </c>
      <c r="S33" s="670">
        <f t="shared" si="10"/>
        <v>100</v>
      </c>
      <c r="T33" s="669" t="s">
        <v>14</v>
      </c>
      <c r="U33" s="670">
        <f t="shared" si="11"/>
        <v>100</v>
      </c>
      <c r="V33" s="669" t="s">
        <v>14</v>
      </c>
      <c r="W33" s="670">
        <f t="shared" si="12"/>
        <v>100</v>
      </c>
      <c r="X33" s="671"/>
      <c r="Y33" s="341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5"/>
      <c r="Q34" s="1263" t="str">
        <f>B34</f>
        <v>宗地面积</v>
      </c>
      <c r="R34" s="667" t="s">
        <v>14</v>
      </c>
      <c r="S34" s="668" t="e">
        <f t="shared" si="10"/>
        <v>#N/A</v>
      </c>
      <c r="T34" s="667" t="s">
        <v>14</v>
      </c>
      <c r="U34" s="668" t="e">
        <f t="shared" si="11"/>
        <v>#N/A</v>
      </c>
      <c r="V34" s="667" t="s">
        <v>14</v>
      </c>
      <c r="W34" s="668" t="e">
        <f t="shared" si="12"/>
        <v>#N/A</v>
      </c>
      <c r="X34" s="1265"/>
      <c r="Y34" s="341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5"/>
      <c r="Q35" s="1263" t="str">
        <f t="shared" ref="Q35:Q40" si="14">B35</f>
        <v>宗地形状</v>
      </c>
      <c r="R35" s="667" t="s">
        <v>14</v>
      </c>
      <c r="S35" s="668">
        <f t="shared" si="10"/>
        <v>100</v>
      </c>
      <c r="T35" s="667" t="s">
        <v>14</v>
      </c>
      <c r="U35" s="668">
        <f t="shared" si="11"/>
        <v>100</v>
      </c>
      <c r="V35" s="667" t="s">
        <v>14</v>
      </c>
      <c r="W35" s="668">
        <f t="shared" si="12"/>
        <v>100</v>
      </c>
      <c r="X35" s="1265"/>
      <c r="Y35" s="341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5"/>
      <c r="Q36" s="1263" t="str">
        <f t="shared" si="14"/>
        <v>宗地开发程度</v>
      </c>
      <c r="R36" s="664" t="s">
        <v>14</v>
      </c>
      <c r="S36" s="665">
        <f t="shared" si="10"/>
        <v>100</v>
      </c>
      <c r="T36" s="664" t="s">
        <v>14</v>
      </c>
      <c r="U36" s="665">
        <f t="shared" si="11"/>
        <v>100</v>
      </c>
      <c r="V36" s="664" t="s">
        <v>14</v>
      </c>
      <c r="W36" s="665">
        <f t="shared" si="12"/>
        <v>100</v>
      </c>
      <c r="X36" s="666"/>
      <c r="Y36" s="341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5" t="s">
        <v>1696</v>
      </c>
      <c r="Q37" s="1263" t="str">
        <f t="shared" si="14"/>
        <v>工程地质条件</v>
      </c>
      <c r="R37" s="667" t="s">
        <v>14</v>
      </c>
      <c r="S37" s="668">
        <f t="shared" si="10"/>
        <v>100</v>
      </c>
      <c r="T37" s="667" t="s">
        <v>14</v>
      </c>
      <c r="U37" s="668">
        <f t="shared" si="11"/>
        <v>100</v>
      </c>
      <c r="V37" s="667" t="s">
        <v>14</v>
      </c>
      <c r="W37" s="668">
        <f t="shared" si="12"/>
        <v>100</v>
      </c>
      <c r="X37" s="1265"/>
      <c r="Y37" s="341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5"/>
      <c r="Q38" s="1263">
        <f t="shared" si="14"/>
        <v>111</v>
      </c>
      <c r="R38" s="667" t="s">
        <v>14</v>
      </c>
      <c r="S38" s="668">
        <f t="shared" si="10"/>
        <v>100</v>
      </c>
      <c r="T38" s="667" t="s">
        <v>14</v>
      </c>
      <c r="U38" s="668">
        <f t="shared" si="11"/>
        <v>100</v>
      </c>
      <c r="V38" s="667" t="s">
        <v>14</v>
      </c>
      <c r="W38" s="668">
        <f t="shared" si="12"/>
        <v>100</v>
      </c>
      <c r="X38" s="1265"/>
      <c r="Y38" s="341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5"/>
      <c r="Q39" s="1263">
        <f t="shared" si="14"/>
        <v>111</v>
      </c>
      <c r="R39" s="667" t="s">
        <v>14</v>
      </c>
      <c r="S39" s="668">
        <f t="shared" si="10"/>
        <v>100</v>
      </c>
      <c r="T39" s="667" t="s">
        <v>14</v>
      </c>
      <c r="U39" s="668">
        <f t="shared" si="11"/>
        <v>100</v>
      </c>
      <c r="V39" s="667" t="s">
        <v>14</v>
      </c>
      <c r="W39" s="668">
        <f t="shared" si="12"/>
        <v>100</v>
      </c>
      <c r="X39" s="1265"/>
      <c r="Y39" s="341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5"/>
      <c r="Q40" s="1263">
        <f t="shared" si="14"/>
        <v>111</v>
      </c>
      <c r="R40" s="669" t="s">
        <v>14</v>
      </c>
      <c r="S40" s="670">
        <f t="shared" si="10"/>
        <v>100</v>
      </c>
      <c r="T40" s="669" t="s">
        <v>14</v>
      </c>
      <c r="U40" s="670">
        <f t="shared" si="11"/>
        <v>100</v>
      </c>
      <c r="V40" s="669" t="s">
        <v>14</v>
      </c>
      <c r="W40" s="670">
        <f t="shared" si="12"/>
        <v>100</v>
      </c>
      <c r="X40" s="671"/>
      <c r="Y40" s="341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09" t="str">
        <f>A41</f>
        <v>成交单价</v>
      </c>
      <c r="Q41" s="3409"/>
      <c r="R41" s="3404">
        <f>E41</f>
        <v>0</v>
      </c>
      <c r="S41" s="3404"/>
      <c r="T41" s="3404">
        <f>G41</f>
        <v>0</v>
      </c>
      <c r="U41" s="3404"/>
      <c r="V41" s="3404">
        <f>I41</f>
        <v>0</v>
      </c>
      <c r="W41" s="3404"/>
      <c r="X41" s="385"/>
      <c r="Y41" s="673"/>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409" t="str">
        <f>A42</f>
        <v>比较价值（元/平方米）</v>
      </c>
      <c r="Q42" s="3409"/>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06" t="str">
        <f>A43</f>
        <v>估价对象XX用房的比较价值（楼面单价，元/平方米）</v>
      </c>
      <c r="Q43" s="3407"/>
      <c r="R43" s="3437" t="e">
        <f>ROUND(IF(D42="简单平均",AVERAGE(R42:W42),R42*F42+T42*H42+V42*J42),0)</f>
        <v>#DIV/0!</v>
      </c>
      <c r="S43" s="3437"/>
      <c r="T43" s="3437"/>
      <c r="U43" s="3437"/>
      <c r="V43" s="3437"/>
      <c r="W43" s="343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2" t="s">
        <v>1887</v>
      </c>
      <c r="H50" s="343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174.9</v>
      </c>
      <c r="F51" s="611" t="e">
        <f t="shared" ref="F51:F60" si="15">ROUND(B51*E51/10000,0)</f>
        <v>#DIV/0!</v>
      </c>
      <c r="G51" s="3391"/>
      <c r="H51" s="340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F39" sqref="F39:F48"/>
      <selection pane="bottomLeft" activeCell="R25" sqref="R25"/>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6" t="s">
        <v>2084</v>
      </c>
      <c r="D1" s="3447"/>
      <c r="E1" s="3447"/>
      <c r="F1" s="3447"/>
      <c r="G1" s="3447"/>
      <c r="H1" s="3447"/>
      <c r="I1" s="3447"/>
      <c r="J1" s="3447"/>
      <c r="K1" s="3447"/>
      <c r="L1" s="3447"/>
      <c r="M1" s="3447"/>
      <c r="N1" s="3447"/>
      <c r="O1" s="3447"/>
      <c r="P1" s="3447"/>
      <c r="Q1" s="3447"/>
      <c r="R1" s="3447"/>
      <c r="S1" s="3448"/>
      <c r="T1" s="929" t="s">
        <v>2085</v>
      </c>
    </row>
    <row r="2" spans="1:45" s="625" customFormat="1">
      <c r="A2" s="930"/>
      <c r="B2" s="622" t="s">
        <v>2086</v>
      </c>
      <c r="C2" s="14" t="str">
        <f t="shared" ref="C2:L2" si="0">C3&amp;"(含)"&amp;"-"&amp;D3</f>
        <v>0(含)-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f>IF(D20="——",S22,S22-F20)</f>
        <v>9296</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f>ROUND(B20*10000/B22,0)</f>
        <v>44000</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2112.7199999999998</v>
      </c>
      <c r="C22" s="3443" t="s">
        <v>27</v>
      </c>
      <c r="D22" s="3444"/>
      <c r="E22" s="3444"/>
      <c r="F22" s="3444"/>
      <c r="G22" s="3444"/>
      <c r="H22" s="3444"/>
      <c r="I22" s="3444"/>
      <c r="J22" s="3444"/>
      <c r="K22" s="3444"/>
      <c r="L22" s="3444"/>
      <c r="M22" s="3444"/>
      <c r="N22" s="3444"/>
      <c r="O22" s="3444"/>
      <c r="P22" s="3444"/>
      <c r="Q22" s="3445"/>
      <c r="R22" s="21">
        <f>ROUND(S22*10000/B22,0)</f>
        <v>44000</v>
      </c>
      <c r="S22" s="21">
        <f>SUM(S24:S10000)</f>
        <v>9296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3101</v>
      </c>
      <c r="B24" s="633">
        <v>174.9</v>
      </c>
      <c r="C24" s="2571">
        <v>1</v>
      </c>
      <c r="D24" s="2572"/>
      <c r="E24" s="2571">
        <v>1</v>
      </c>
      <c r="F24" s="2572"/>
      <c r="G24" s="2571">
        <v>1</v>
      </c>
      <c r="H24" s="2572"/>
      <c r="I24" s="2571">
        <v>1</v>
      </c>
      <c r="J24" s="2572"/>
      <c r="K24" s="2571">
        <v>1</v>
      </c>
      <c r="L24" s="2572"/>
      <c r="M24" s="2571">
        <v>1</v>
      </c>
      <c r="N24" s="2572"/>
      <c r="O24" s="2571">
        <v>1</v>
      </c>
      <c r="P24" s="2572"/>
      <c r="Q24" s="2571">
        <v>1</v>
      </c>
      <c r="R24" s="633">
        <v>44000</v>
      </c>
      <c r="S24" s="634">
        <f t="shared" ref="S24:S54" si="11">ROUND(R24*B24/10000,0)</f>
        <v>770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3102</v>
      </c>
      <c r="B25" s="52">
        <v>197.76</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44000</v>
      </c>
      <c r="S25" s="308">
        <f t="shared" si="11"/>
        <v>870</v>
      </c>
    </row>
    <row r="26" spans="1:45">
      <c r="A26" s="142">
        <v>3103</v>
      </c>
      <c r="B26" s="52">
        <v>346.22</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44000</v>
      </c>
      <c r="S26" s="308">
        <f t="shared" si="11"/>
        <v>1523</v>
      </c>
    </row>
    <row r="27" spans="1:45">
      <c r="A27" s="142">
        <v>3105</v>
      </c>
      <c r="B27" s="52">
        <v>165.68</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44000</v>
      </c>
      <c r="S27" s="308">
        <f t="shared" si="11"/>
        <v>729</v>
      </c>
    </row>
    <row r="28" spans="1:45">
      <c r="A28" s="142">
        <v>3106</v>
      </c>
      <c r="B28" s="52">
        <v>132.30000000000001</v>
      </c>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44000</v>
      </c>
      <c r="S28" s="308">
        <f t="shared" si="11"/>
        <v>582</v>
      </c>
    </row>
    <row r="29" spans="1:45">
      <c r="A29" s="142">
        <v>3107</v>
      </c>
      <c r="B29" s="52">
        <v>169.35</v>
      </c>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44000</v>
      </c>
      <c r="S29" s="308">
        <f t="shared" si="11"/>
        <v>745</v>
      </c>
    </row>
    <row r="30" spans="1:45">
      <c r="A30" s="142">
        <v>3108</v>
      </c>
      <c r="B30" s="52">
        <v>106.17</v>
      </c>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44000</v>
      </c>
      <c r="S30" s="308">
        <f t="shared" si="11"/>
        <v>467</v>
      </c>
    </row>
    <row r="31" spans="1:45">
      <c r="A31" s="142">
        <v>3109</v>
      </c>
      <c r="B31" s="52">
        <v>106.17</v>
      </c>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44000</v>
      </c>
      <c r="S31" s="308">
        <f t="shared" si="11"/>
        <v>467</v>
      </c>
    </row>
    <row r="32" spans="1:45">
      <c r="A32" s="142">
        <v>3110</v>
      </c>
      <c r="B32" s="52">
        <v>195.81</v>
      </c>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44000</v>
      </c>
      <c r="S32" s="308">
        <f t="shared" si="11"/>
        <v>862</v>
      </c>
    </row>
    <row r="33" spans="1:19">
      <c r="A33" s="142">
        <v>3111</v>
      </c>
      <c r="B33" s="52">
        <v>145.49</v>
      </c>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44000</v>
      </c>
      <c r="S33" s="308">
        <f t="shared" si="11"/>
        <v>640</v>
      </c>
    </row>
    <row r="34" spans="1:19">
      <c r="A34" s="142">
        <v>3112</v>
      </c>
      <c r="B34" s="52">
        <v>169.74</v>
      </c>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44000</v>
      </c>
      <c r="S34" s="308">
        <f t="shared" si="11"/>
        <v>747</v>
      </c>
    </row>
    <row r="35" spans="1:19">
      <c r="A35" s="142">
        <v>3115</v>
      </c>
      <c r="B35" s="52">
        <v>203.13</v>
      </c>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44000</v>
      </c>
      <c r="S35" s="308">
        <f t="shared" si="11"/>
        <v>894</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3" sqref="H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56"/>
      <c r="B4" s="3457"/>
      <c r="C4" s="3457"/>
      <c r="D4" s="3458"/>
      <c r="E4" s="3458"/>
      <c r="F4" s="3458"/>
      <c r="G4" s="3458"/>
      <c r="H4" s="3458"/>
      <c r="I4" s="3458"/>
      <c r="J4" s="34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53" t="s">
        <v>1960</v>
      </c>
      <c r="X8" s="34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55"/>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5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3237</v>
      </c>
      <c r="B12" s="3014" t="s">
        <v>3238</v>
      </c>
      <c r="C12" s="3015"/>
      <c r="D12" s="3016" t="s">
        <v>3239</v>
      </c>
      <c r="E12" s="3017" t="s">
        <v>3240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3242</v>
      </c>
      <c r="G14" s="3021" t="s">
        <v>3242</v>
      </c>
      <c r="H14" s="3021" t="s">
        <v>3242</v>
      </c>
      <c r="I14" s="3021" t="s">
        <v>3242</v>
      </c>
      <c r="J14" s="3021" t="s">
        <v>3242</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3244</v>
      </c>
      <c r="B17" s="3028" t="s">
        <v>3245</v>
      </c>
      <c r="C17" s="3037">
        <f>ROUND(IF(OR(E2="工业",E2="公共服务"),1,IF(AND(E18=0,E19=0),1,IF(AND(E18=J24,E19=G19),0.8,IF(E19=0,1+E17*(-0.2),1+E17*G17*(-0.2))))),4)</f>
        <v>1</v>
      </c>
      <c r="D17" s="3029" t="s">
        <v>3246</v>
      </c>
      <c r="E17" s="3037" t="e">
        <f>ROUND(G18/I18,2)</f>
        <v>#DIV/0!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3247</v>
      </c>
      <c r="E18" s="2357"/>
      <c r="F18" s="3031" t="s">
        <v>3250</v>
      </c>
      <c r="G18" s="3035">
        <f>ROUND(1-(1/(POWER(1+G24,E18))),4)</f>
        <v>0</v>
      </c>
      <c r="H18" s="3031" t="s">
        <v>3252</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0" t="s">
        <v>3253</v>
      </c>
      <c r="B20" s="159" t="s">
        <v>1994</v>
      </c>
      <c r="C20" s="3032" t="e">
        <f>ROUND(IF(F21="与级别开发程度一致",0,(G21-E21)/C21),0)</f>
        <v>#DIV/0!</v>
      </c>
      <c r="D20" s="3047" t="s">
        <v>1998</v>
      </c>
      <c r="E20" s="3048"/>
      <c r="F20" s="3466" t="s">
        <v>1995</v>
      </c>
      <c r="G20" s="346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6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45828</v>
      </c>
      <c r="H23" s="3049" t="s">
        <v>3255</v>
      </c>
      <c r="I23" s="3050" t="str">
        <f>IF(H23="季度增幅（自定义）",SUMIF(N25:N28,E2,O25:O28),"")</f>
        <v/>
      </c>
      <c r="J23" s="3142" t="s">
        <v>3254</v>
      </c>
      <c r="K23" s="1061"/>
      <c r="L23" s="1897" t="s">
        <v>2004</v>
      </c>
      <c r="M23" s="1241">
        <f>ROUND(SUMIF(地价!B2:G2,E2,地价!B16:G16),0)</f>
        <v>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3334</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3265</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5"/>
      <c r="B39" s="1884" t="s">
        <v>3258</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3269</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2611</v>
      </c>
      <c r="B91" s="3080">
        <f>1+E93</f>
        <v>1</v>
      </c>
      <c r="C91" s="3073"/>
      <c r="D91" s="3074"/>
      <c r="E91" s="1675"/>
      <c r="F91" s="1675"/>
      <c r="G91" s="3075"/>
      <c r="H91" s="3076"/>
      <c r="I91" s="3077"/>
      <c r="J91" s="3078"/>
      <c r="K91" s="3078"/>
      <c r="L91" s="3078"/>
      <c r="M91" s="3078"/>
      <c r="N91" s="3078"/>
    </row>
    <row r="92" spans="1:37" ht="24.75">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3272</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3268</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3273</v>
      </c>
      <c r="B96" s="3087" t="s">
        <v>3284</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3274</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3275</v>
      </c>
      <c r="B98" s="3088" t="s">
        <v>3285</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3276</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3277</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3278</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62" t="s">
        <v>3293</v>
      </c>
      <c r="B103" s="3462"/>
      <c r="C103" s="3462"/>
      <c r="D103" s="3462"/>
      <c r="E103" s="3462"/>
      <c r="F103" s="3462"/>
      <c r="G103" s="3462"/>
      <c r="H103" s="3462"/>
      <c r="I103" s="3462"/>
      <c r="J103" s="3462"/>
      <c r="K103" s="1667"/>
      <c r="L103" s="1667"/>
      <c r="M103" s="1667"/>
      <c r="N103" s="1667"/>
    </row>
    <row r="104" spans="1:14">
      <c r="A104" s="3463" t="s">
        <v>3294</v>
      </c>
      <c r="B104" s="3463" t="s">
        <v>3295</v>
      </c>
      <c r="C104" s="3091" t="s">
        <v>3296</v>
      </c>
      <c r="D104" s="3092"/>
      <c r="E104" s="3092"/>
      <c r="F104" s="3092"/>
      <c r="G104" s="3092"/>
      <c r="H104" s="3092"/>
      <c r="I104" s="3092"/>
      <c r="J104" s="3093"/>
      <c r="K104" s="3094"/>
      <c r="L104" s="3094"/>
      <c r="M104" s="3094"/>
      <c r="N104" s="3094"/>
    </row>
    <row r="105" spans="1:14">
      <c r="A105" s="3463"/>
      <c r="B105" s="3463"/>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449"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0"/>
      <c r="B111" s="3095" t="s">
        <v>3267</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1"/>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52" t="s">
        <v>3310</v>
      </c>
      <c r="B113" s="3452"/>
      <c r="C113" s="3452"/>
      <c r="D113" s="3452"/>
      <c r="E113" s="3452"/>
      <c r="F113" s="3452"/>
      <c r="G113" s="3452"/>
      <c r="H113" s="3452"/>
      <c r="I113" s="3452"/>
      <c r="J113" s="345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3311</v>
      </c>
      <c r="B116" s="3115">
        <f>G3</f>
        <v>0</v>
      </c>
      <c r="C116" s="3100" t="s">
        <v>3312</v>
      </c>
      <c r="D116" s="3101">
        <f>SUMPRODUCT((A118:A122=F116)*(B117:M117=H116)*B118:M122)</f>
        <v>0</v>
      </c>
      <c r="E116" s="162" t="s">
        <v>3313</v>
      </c>
      <c r="F116" s="3102">
        <f>E2</f>
        <v>0</v>
      </c>
      <c r="G116" s="162" t="s">
        <v>3314</v>
      </c>
      <c r="H116" s="3102">
        <f>G2</f>
        <v>0</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3328</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3329</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3330</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2611</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2593</v>
      </c>
      <c r="B1" s="2812" t="s">
        <v>2594</v>
      </c>
      <c r="C1" s="2812" t="s">
        <v>2595</v>
      </c>
      <c r="D1" s="2812" t="s">
        <v>2596</v>
      </c>
      <c r="E1" s="2812" t="s">
        <v>2597</v>
      </c>
      <c r="F1" s="2812" t="s">
        <v>2598</v>
      </c>
      <c r="G1" s="2812" t="s">
        <v>2599</v>
      </c>
      <c r="H1" s="2812" t="s">
        <v>2600</v>
      </c>
      <c r="I1" s="2812" t="s">
        <v>2601</v>
      </c>
      <c r="J1" s="2812" t="s">
        <v>2602</v>
      </c>
      <c r="K1" s="2812" t="s">
        <v>2603</v>
      </c>
      <c r="L1" s="2812" t="s">
        <v>2604</v>
      </c>
      <c r="M1" s="2813" t="s">
        <v>2605</v>
      </c>
    </row>
    <row r="2" spans="1:13" ht="19.5" customHeight="1">
      <c r="A2" s="2815" t="s">
        <v>2606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2622</v>
      </c>
      <c r="B18" s="2837"/>
      <c r="C18" s="2838"/>
      <c r="D18" s="2838"/>
      <c r="E18" s="2837"/>
      <c r="F18" s="2838"/>
      <c r="G18" s="2838"/>
    </row>
    <row r="19" spans="1:13" ht="19.5" customHeight="1" thickBot="1">
      <c r="A19" s="2835" t="s">
        <v>2623</v>
      </c>
      <c r="B19" s="2840" t="s">
        <v>2624</v>
      </c>
      <c r="C19" s="2840" t="s">
        <v>2625</v>
      </c>
      <c r="D19" s="2841"/>
      <c r="E19" s="2835" t="s">
        <v>2626</v>
      </c>
      <c r="F19" s="2842"/>
      <c r="G19" s="2842"/>
    </row>
    <row r="20" spans="1:13" ht="19.5" customHeight="1">
      <c r="A20" s="3475" t="s">
        <v>2606</v>
      </c>
      <c r="B20" s="3468" t="s">
        <v>2627</v>
      </c>
      <c r="C20" s="2843" t="s">
        <v>2438</v>
      </c>
      <c r="D20" s="2844"/>
      <c r="E20" s="2845">
        <v>1</v>
      </c>
      <c r="F20" s="2846" t="s">
        <v>2439</v>
      </c>
      <c r="G20" s="2846"/>
    </row>
    <row r="21" spans="1:13" ht="19.5" customHeight="1">
      <c r="A21" s="3476"/>
      <c r="B21" s="3469"/>
      <c r="C21" s="2847" t="s">
        <v>2440</v>
      </c>
      <c r="D21" s="2848"/>
      <c r="E21" s="2849">
        <v>1</v>
      </c>
      <c r="F21" s="2846" t="s">
        <v>2441</v>
      </c>
      <c r="G21" s="2846"/>
    </row>
    <row r="22" spans="1:13" ht="19.5" customHeight="1">
      <c r="A22" s="3476"/>
      <c r="B22" s="3469"/>
      <c r="C22" s="2847" t="s">
        <v>2442</v>
      </c>
      <c r="D22" s="2848"/>
      <c r="E22" s="2849">
        <v>0.9</v>
      </c>
      <c r="F22" s="2846" t="s">
        <v>2443</v>
      </c>
      <c r="G22" s="2846"/>
    </row>
    <row r="23" spans="1:13" ht="19.5" customHeight="1">
      <c r="A23" s="3476"/>
      <c r="B23" s="3469"/>
      <c r="C23" s="2847" t="s">
        <v>2444</v>
      </c>
      <c r="D23" s="2848"/>
      <c r="E23" s="2849">
        <v>0.9</v>
      </c>
      <c r="F23" s="2846" t="s">
        <v>2445</v>
      </c>
      <c r="G23" s="2846"/>
    </row>
    <row r="24" spans="1:13" ht="19.5" customHeight="1">
      <c r="A24" s="3476"/>
      <c r="B24" s="3469"/>
      <c r="C24" s="2847" t="s">
        <v>2446</v>
      </c>
      <c r="D24" s="2848"/>
      <c r="E24" s="2849">
        <v>0.8</v>
      </c>
      <c r="F24" s="2846" t="s">
        <v>2447</v>
      </c>
      <c r="G24" s="2846"/>
    </row>
    <row r="25" spans="1:13" ht="19.5" customHeight="1" thickBot="1">
      <c r="A25" s="3477"/>
      <c r="B25" s="3470"/>
      <c r="C25" s="2850" t="s">
        <v>2448</v>
      </c>
      <c r="D25" s="2851"/>
      <c r="E25" s="2852">
        <v>0.8</v>
      </c>
      <c r="F25" s="2846" t="s">
        <v>2449</v>
      </c>
      <c r="G25" s="2846"/>
    </row>
    <row r="26" spans="1:13" ht="19.5" customHeight="1" thickBot="1">
      <c r="A26" s="2853" t="s">
        <v>2628</v>
      </c>
      <c r="B26" s="2854" t="s">
        <v>2627</v>
      </c>
      <c r="C26" s="2855" t="s">
        <v>2629</v>
      </c>
      <c r="D26" s="2856"/>
      <c r="E26" s="2857">
        <v>1</v>
      </c>
      <c r="F26" s="2846" t="s">
        <v>2450</v>
      </c>
      <c r="G26" s="2846"/>
    </row>
    <row r="27" spans="1:13" ht="19.5" customHeight="1">
      <c r="A27" s="3471" t="s">
        <v>2630</v>
      </c>
      <c r="B27" s="3468" t="s">
        <v>2611</v>
      </c>
      <c r="C27" s="2843" t="s">
        <v>2451</v>
      </c>
      <c r="D27" s="2844"/>
      <c r="E27" s="2845">
        <v>1</v>
      </c>
      <c r="F27" s="2846" t="s">
        <v>2452</v>
      </c>
      <c r="G27" s="2846"/>
    </row>
    <row r="28" spans="1:13" ht="19.5" customHeight="1">
      <c r="A28" s="3472"/>
      <c r="B28" s="3469"/>
      <c r="C28" s="2847" t="s">
        <v>2453</v>
      </c>
      <c r="D28" s="2848"/>
      <c r="E28" s="2849">
        <v>1</v>
      </c>
      <c r="F28" s="2846" t="s">
        <v>2454</v>
      </c>
      <c r="G28" s="2846"/>
    </row>
    <row r="29" spans="1:13" ht="19.5" customHeight="1">
      <c r="A29" s="3472"/>
      <c r="B29" s="3469"/>
      <c r="C29" s="2847" t="s">
        <v>2455</v>
      </c>
      <c r="D29" s="2848"/>
      <c r="E29" s="2849">
        <v>0.8</v>
      </c>
      <c r="F29" s="2846" t="s">
        <v>2456</v>
      </c>
      <c r="G29" s="2846"/>
    </row>
    <row r="30" spans="1:13" ht="19.5" customHeight="1">
      <c r="A30" s="3472"/>
      <c r="B30" s="3469"/>
      <c r="C30" s="2847" t="s">
        <v>2457</v>
      </c>
      <c r="D30" s="2848"/>
      <c r="E30" s="2849">
        <v>0.8</v>
      </c>
      <c r="F30" s="2846" t="s">
        <v>2458</v>
      </c>
      <c r="G30" s="2846"/>
    </row>
    <row r="31" spans="1:13" ht="19.5" customHeight="1">
      <c r="A31" s="3472"/>
      <c r="B31" s="3469"/>
      <c r="C31" s="2847" t="s">
        <v>2459</v>
      </c>
      <c r="D31" s="2848"/>
      <c r="E31" s="2849">
        <v>0.8</v>
      </c>
      <c r="F31" s="2846" t="s">
        <v>2460</v>
      </c>
      <c r="G31" s="2846"/>
    </row>
    <row r="32" spans="1:13" ht="19.5" customHeight="1">
      <c r="A32" s="3472"/>
      <c r="B32" s="3469"/>
      <c r="C32" s="2847" t="s">
        <v>2461</v>
      </c>
      <c r="D32" s="2848"/>
      <c r="E32" s="2849">
        <v>0.7</v>
      </c>
      <c r="F32" s="2846" t="s">
        <v>2462</v>
      </c>
      <c r="G32" s="2846"/>
    </row>
    <row r="33" spans="1:7" ht="19.5" customHeight="1">
      <c r="A33" s="3472"/>
      <c r="B33" s="3469"/>
      <c r="C33" s="2847" t="s">
        <v>2463</v>
      </c>
      <c r="D33" s="2848"/>
      <c r="E33" s="2849">
        <v>0.8</v>
      </c>
      <c r="F33" s="2846" t="s">
        <v>2464</v>
      </c>
      <c r="G33" s="2846"/>
    </row>
    <row r="34" spans="1:7" ht="19.5" customHeight="1">
      <c r="A34" s="3472"/>
      <c r="B34" s="3469"/>
      <c r="C34" s="2847" t="s">
        <v>2465</v>
      </c>
      <c r="D34" s="2848"/>
      <c r="E34" s="2849">
        <v>0.6</v>
      </c>
      <c r="F34" s="2846" t="s">
        <v>2466</v>
      </c>
      <c r="G34" s="2846"/>
    </row>
    <row r="35" spans="1:7" ht="19.5" customHeight="1">
      <c r="A35" s="3472"/>
      <c r="B35" s="3469"/>
      <c r="C35" s="2847" t="s">
        <v>2467</v>
      </c>
      <c r="D35" s="2848"/>
      <c r="E35" s="2849">
        <v>0.2</v>
      </c>
      <c r="F35" s="2846" t="s">
        <v>2468</v>
      </c>
      <c r="G35" s="2846"/>
    </row>
    <row r="36" spans="1:7" ht="19.5" customHeight="1">
      <c r="A36" s="3472"/>
      <c r="B36" s="3469"/>
      <c r="C36" s="2847" t="s">
        <v>2469</v>
      </c>
      <c r="D36" s="2848"/>
      <c r="E36" s="2849">
        <v>0.2</v>
      </c>
      <c r="F36" s="2846" t="s">
        <v>2470</v>
      </c>
      <c r="G36" s="2846"/>
    </row>
    <row r="37" spans="1:7" ht="19.5" customHeight="1">
      <c r="A37" s="3472"/>
      <c r="B37" s="3474" t="s">
        <v>2631</v>
      </c>
      <c r="C37" s="2847" t="s">
        <v>2471</v>
      </c>
      <c r="D37" s="2848"/>
      <c r="E37" s="2849">
        <v>0.6</v>
      </c>
      <c r="F37" s="2846" t="s">
        <v>2472</v>
      </c>
      <c r="G37" s="2846"/>
    </row>
    <row r="38" spans="1:7" ht="19.5" customHeight="1">
      <c r="A38" s="3472"/>
      <c r="B38" s="3469"/>
      <c r="C38" s="2847" t="s">
        <v>2473</v>
      </c>
      <c r="D38" s="2848"/>
      <c r="E38" s="2849">
        <v>0.6</v>
      </c>
      <c r="F38" s="2846" t="s">
        <v>2474</v>
      </c>
      <c r="G38" s="2846"/>
    </row>
    <row r="39" spans="1:7" ht="19.5" customHeight="1" thickBot="1">
      <c r="A39" s="3473"/>
      <c r="B39" s="3470"/>
      <c r="C39" s="2850" t="s">
        <v>2475</v>
      </c>
      <c r="D39" s="2851"/>
      <c r="E39" s="2852">
        <v>0.6</v>
      </c>
      <c r="F39" s="2846" t="s">
        <v>2476</v>
      </c>
      <c r="G39" s="2846"/>
    </row>
    <row r="40" spans="1:7" ht="19.5" customHeight="1" thickBot="1">
      <c r="A40" s="2853" t="s">
        <v>2608</v>
      </c>
      <c r="B40" s="2854" t="s">
        <v>2608</v>
      </c>
      <c r="C40" s="2855" t="s">
        <v>2632</v>
      </c>
      <c r="D40" s="2856"/>
      <c r="E40" s="2857">
        <v>1</v>
      </c>
      <c r="F40" s="2846" t="s">
        <v>2477</v>
      </c>
      <c r="G40" s="2846"/>
    </row>
    <row r="41" spans="1:7" ht="19.5" customHeight="1">
      <c r="A41" s="3475" t="s">
        <v>2609</v>
      </c>
      <c r="B41" s="3468" t="s">
        <v>2633</v>
      </c>
      <c r="C41" s="2843" t="s">
        <v>2478</v>
      </c>
      <c r="D41" s="2844"/>
      <c r="E41" s="2845">
        <v>1</v>
      </c>
      <c r="F41" s="2846" t="s">
        <v>2479</v>
      </c>
      <c r="G41" s="2846"/>
    </row>
    <row r="42" spans="1:7" ht="19.5" customHeight="1">
      <c r="A42" s="3476"/>
      <c r="B42" s="3469"/>
      <c r="C42" s="2847" t="s">
        <v>2480</v>
      </c>
      <c r="D42" s="2848"/>
      <c r="E42" s="2849">
        <v>1</v>
      </c>
      <c r="F42" s="2846" t="s">
        <v>2481</v>
      </c>
      <c r="G42" s="2846"/>
    </row>
    <row r="43" spans="1:7" ht="19.5" customHeight="1">
      <c r="A43" s="3476"/>
      <c r="B43" s="3478"/>
      <c r="C43" s="2847" t="s">
        <v>2482</v>
      </c>
      <c r="D43" s="2848"/>
      <c r="E43" s="2849">
        <v>1.5</v>
      </c>
      <c r="F43" s="2846" t="s">
        <v>2483</v>
      </c>
      <c r="G43" s="2846"/>
    </row>
    <row r="44" spans="1:7" ht="19.5" customHeight="1">
      <c r="A44" s="3476"/>
      <c r="B44" s="2858" t="s">
        <v>2634</v>
      </c>
      <c r="C44" s="2847" t="s">
        <v>2635</v>
      </c>
      <c r="D44" s="2848"/>
      <c r="E44" s="2849">
        <v>2</v>
      </c>
      <c r="F44" s="2846" t="s">
        <v>2484</v>
      </c>
      <c r="G44" s="2846"/>
    </row>
    <row r="45" spans="1:7" ht="19.5" customHeight="1">
      <c r="A45" s="3476"/>
      <c r="B45" s="3474" t="s">
        <v>2636</v>
      </c>
      <c r="C45" s="2847" t="s">
        <v>2485</v>
      </c>
      <c r="D45" s="2848"/>
      <c r="E45" s="2849">
        <v>1</v>
      </c>
      <c r="F45" s="2846" t="s">
        <v>2486</v>
      </c>
      <c r="G45" s="2846"/>
    </row>
    <row r="46" spans="1:7" ht="19.5" customHeight="1">
      <c r="A46" s="3476"/>
      <c r="B46" s="3469"/>
      <c r="C46" s="2847" t="s">
        <v>2487</v>
      </c>
      <c r="D46" s="2848"/>
      <c r="E46" s="2849">
        <v>1</v>
      </c>
      <c r="F46" s="2846" t="s">
        <v>2488</v>
      </c>
      <c r="G46" s="2846"/>
    </row>
    <row r="47" spans="1:7" ht="19.5" customHeight="1">
      <c r="A47" s="3476"/>
      <c r="B47" s="3469"/>
      <c r="C47" s="2847" t="s">
        <v>2489</v>
      </c>
      <c r="D47" s="2848"/>
      <c r="E47" s="2849">
        <v>1</v>
      </c>
      <c r="F47" s="2846" t="s">
        <v>2490</v>
      </c>
      <c r="G47" s="2846"/>
    </row>
    <row r="48" spans="1:7" ht="19.5" customHeight="1">
      <c r="A48" s="3476"/>
      <c r="B48" s="3469"/>
      <c r="C48" s="2847" t="s">
        <v>2491</v>
      </c>
      <c r="D48" s="2848"/>
      <c r="E48" s="2849">
        <v>1</v>
      </c>
      <c r="F48" s="2846" t="s">
        <v>2492</v>
      </c>
      <c r="G48" s="2846"/>
    </row>
    <row r="49" spans="1:7" ht="19.5" customHeight="1">
      <c r="A49" s="3476"/>
      <c r="B49" s="3469"/>
      <c r="C49" s="2847" t="s">
        <v>2493</v>
      </c>
      <c r="D49" s="2848"/>
      <c r="E49" s="2849">
        <v>1</v>
      </c>
      <c r="F49" s="2846" t="s">
        <v>2494</v>
      </c>
      <c r="G49" s="2846"/>
    </row>
    <row r="50" spans="1:7" ht="19.5" customHeight="1">
      <c r="A50" s="3476"/>
      <c r="B50" s="3469"/>
      <c r="C50" s="2847" t="s">
        <v>2495</v>
      </c>
      <c r="D50" s="2848"/>
      <c r="E50" s="2849">
        <v>1</v>
      </c>
      <c r="F50" s="2846" t="s">
        <v>2496</v>
      </c>
      <c r="G50" s="2846"/>
    </row>
    <row r="51" spans="1:7" ht="19.5" customHeight="1" thickBot="1">
      <c r="A51" s="3477"/>
      <c r="B51" s="3470"/>
      <c r="C51" s="2850" t="s">
        <v>2497</v>
      </c>
      <c r="D51" s="2851"/>
      <c r="E51" s="2852">
        <v>1</v>
      </c>
      <c r="F51" s="2846" t="s">
        <v>2498</v>
      </c>
      <c r="G51" s="2846"/>
    </row>
    <row r="52" spans="1:7" ht="19.5" customHeight="1">
      <c r="A52" s="2859"/>
      <c r="B52" s="2859"/>
      <c r="C52" s="2859"/>
      <c r="D52" s="2859"/>
      <c r="E52" s="2859"/>
      <c r="F52" s="2859"/>
      <c r="G52" s="2859"/>
    </row>
    <row r="54" spans="1:7" ht="19.5" customHeight="1">
      <c r="A54" s="2860"/>
      <c r="B54" s="2832" t="s">
        <v>2637</v>
      </c>
      <c r="C54" s="2832" t="s">
        <v>2637</v>
      </c>
      <c r="D54" s="2832" t="s">
        <v>2637</v>
      </c>
      <c r="E54" s="2835" t="s">
        <v>2637</v>
      </c>
      <c r="F54" s="2835" t="s">
        <v>2638</v>
      </c>
      <c r="G54" s="2835" t="s">
        <v>2639</v>
      </c>
    </row>
    <row r="55" spans="1:7" ht="19.5" customHeight="1">
      <c r="A55" s="2861"/>
      <c r="B55" s="2835" t="s">
        <v>2606</v>
      </c>
      <c r="C55" s="2835" t="s">
        <v>2606</v>
      </c>
      <c r="D55" s="2835" t="s">
        <v>2606</v>
      </c>
      <c r="E55" s="2832" t="s">
        <v>2607</v>
      </c>
      <c r="F55" s="2832" t="s">
        <v>2609</v>
      </c>
      <c r="G55" s="2832" t="s">
        <v>2640</v>
      </c>
    </row>
    <row r="56" spans="1:7" ht="19.5" customHeight="1">
      <c r="A56" s="2862"/>
      <c r="B56" s="2832">
        <v>1</v>
      </c>
      <c r="C56" s="2832">
        <v>2</v>
      </c>
      <c r="D56" s="2832">
        <v>3</v>
      </c>
      <c r="E56" s="2863" t="s">
        <v>2641</v>
      </c>
      <c r="F56" s="2863" t="s">
        <v>2641</v>
      </c>
      <c r="G56" s="2863" t="s">
        <v>2641</v>
      </c>
    </row>
    <row r="57" spans="1:7" ht="19.5" customHeight="1">
      <c r="A57" s="2864" t="s">
        <v>2594</v>
      </c>
      <c r="B57" s="2832">
        <v>0.7</v>
      </c>
      <c r="C57" s="2832">
        <v>0.4</v>
      </c>
      <c r="D57" s="2832">
        <v>0.3</v>
      </c>
      <c r="E57" s="2863">
        <v>0.3</v>
      </c>
      <c r="F57" s="2832">
        <v>0.3</v>
      </c>
      <c r="G57" s="2832">
        <v>0.2</v>
      </c>
    </row>
    <row r="58" spans="1:7" ht="19.5" customHeight="1">
      <c r="A58" s="2864" t="s">
        <v>2595</v>
      </c>
      <c r="B58" s="2832">
        <v>0.7</v>
      </c>
      <c r="C58" s="2832">
        <v>0.4</v>
      </c>
      <c r="D58" s="2832">
        <v>0.3</v>
      </c>
      <c r="E58" s="2832">
        <v>0.3</v>
      </c>
      <c r="F58" s="2832">
        <v>0.3</v>
      </c>
      <c r="G58" s="2832">
        <v>0.2</v>
      </c>
    </row>
    <row r="59" spans="1:7" ht="19.5" customHeight="1">
      <c r="A59" s="2864" t="s">
        <v>2596</v>
      </c>
      <c r="B59" s="2832">
        <v>0.6</v>
      </c>
      <c r="C59" s="2832">
        <v>0.3</v>
      </c>
      <c r="D59" s="2832">
        <v>0.25</v>
      </c>
      <c r="E59" s="2832">
        <v>0.25</v>
      </c>
      <c r="F59" s="2832">
        <v>0.25</v>
      </c>
      <c r="G59" s="2832">
        <v>0.15</v>
      </c>
    </row>
    <row r="60" spans="1:7" ht="19.5" customHeight="1">
      <c r="A60" s="2864" t="s">
        <v>2597</v>
      </c>
      <c r="B60" s="2832">
        <v>0.6</v>
      </c>
      <c r="C60" s="2832">
        <v>0.3</v>
      </c>
      <c r="D60" s="2832">
        <v>0.25</v>
      </c>
      <c r="E60" s="2832">
        <v>0.25</v>
      </c>
      <c r="F60" s="2832">
        <v>0.25</v>
      </c>
      <c r="G60" s="2832">
        <v>0.15</v>
      </c>
    </row>
    <row r="61" spans="1:7" ht="19.5" customHeight="1">
      <c r="A61" s="2864" t="s">
        <v>2598</v>
      </c>
      <c r="B61" s="2832">
        <v>0.6</v>
      </c>
      <c r="C61" s="2832">
        <v>0.3</v>
      </c>
      <c r="D61" s="2832">
        <v>0.25</v>
      </c>
      <c r="E61" s="2832">
        <v>0.25</v>
      </c>
      <c r="F61" s="2832">
        <v>0.25</v>
      </c>
      <c r="G61" s="2832">
        <v>0.15</v>
      </c>
    </row>
    <row r="62" spans="1:7" ht="19.5" customHeight="1">
      <c r="A62" s="2864" t="s">
        <v>2599</v>
      </c>
      <c r="B62" s="2832">
        <v>0.6</v>
      </c>
      <c r="C62" s="2832">
        <v>0.3</v>
      </c>
      <c r="D62" s="2832">
        <v>0.25</v>
      </c>
      <c r="E62" s="2832">
        <v>0.25</v>
      </c>
      <c r="F62" s="2832">
        <v>0.25</v>
      </c>
      <c r="G62" s="2832">
        <v>0.15</v>
      </c>
    </row>
    <row r="63" spans="1:7" ht="19.5" customHeight="1">
      <c r="A63" s="2864" t="s">
        <v>2600</v>
      </c>
      <c r="B63" s="2832">
        <v>0.6</v>
      </c>
      <c r="C63" s="2832">
        <v>0.3</v>
      </c>
      <c r="D63" s="2832">
        <v>0.25</v>
      </c>
      <c r="E63" s="2832">
        <v>0.25</v>
      </c>
      <c r="F63" s="2832">
        <v>0.25</v>
      </c>
      <c r="G63" s="2832">
        <v>0.15</v>
      </c>
    </row>
    <row r="64" spans="1:7" ht="19.5" customHeight="1">
      <c r="A64" s="2864" t="s">
        <v>2601</v>
      </c>
      <c r="B64" s="2832">
        <v>0.5</v>
      </c>
      <c r="C64" s="2832">
        <v>0.2</v>
      </c>
      <c r="D64" s="2832">
        <v>0.2</v>
      </c>
      <c r="E64" s="2832">
        <v>0.2</v>
      </c>
      <c r="F64" s="2832">
        <v>0.2</v>
      </c>
      <c r="G64" s="2832">
        <v>0.1</v>
      </c>
    </row>
    <row r="65" spans="1:7" ht="19.5" customHeight="1">
      <c r="A65" s="2864" t="s">
        <v>2602</v>
      </c>
      <c r="B65" s="2832">
        <v>0.5</v>
      </c>
      <c r="C65" s="2832">
        <v>0.2</v>
      </c>
      <c r="D65" s="2832">
        <v>0.2</v>
      </c>
      <c r="E65" s="2832">
        <v>0.2</v>
      </c>
      <c r="F65" s="2832">
        <v>0.2</v>
      </c>
      <c r="G65" s="2832">
        <v>0.1</v>
      </c>
    </row>
    <row r="66" spans="1:7" ht="19.5" customHeight="1">
      <c r="A66" s="2864" t="s">
        <v>2603</v>
      </c>
      <c r="B66" s="2832">
        <v>0.5</v>
      </c>
      <c r="C66" s="2832">
        <v>0.2</v>
      </c>
      <c r="D66" s="2832">
        <v>0.2</v>
      </c>
      <c r="E66" s="2832">
        <v>0.2</v>
      </c>
      <c r="F66" s="2832">
        <v>0.2</v>
      </c>
      <c r="G66" s="2832">
        <v>0.1</v>
      </c>
    </row>
    <row r="67" spans="1:7" ht="19.5" customHeight="1">
      <c r="A67" s="2864" t="s">
        <v>2604</v>
      </c>
      <c r="B67" s="2832">
        <v>0.5</v>
      </c>
      <c r="C67" s="2832">
        <v>0.2</v>
      </c>
      <c r="D67" s="2832">
        <v>0.2</v>
      </c>
      <c r="E67" s="2832">
        <v>0.2</v>
      </c>
      <c r="F67" s="2832">
        <v>0.2</v>
      </c>
      <c r="G67" s="2832">
        <v>0.1</v>
      </c>
    </row>
    <row r="68" spans="1:7" ht="19.5" customHeight="1">
      <c r="A68" s="2864" t="s">
        <v>2605</v>
      </c>
      <c r="B68" s="2832">
        <v>0.5</v>
      </c>
      <c r="C68" s="2832">
        <v>0.2</v>
      </c>
      <c r="D68" s="2832">
        <v>0.2</v>
      </c>
      <c r="E68" s="2832">
        <v>0.2</v>
      </c>
      <c r="F68" s="2832">
        <v>0.2</v>
      </c>
      <c r="G68" s="2832">
        <v>0.1</v>
      </c>
    </row>
    <row r="70" spans="1:7" ht="19.5" customHeight="1">
      <c r="A70" s="2846"/>
      <c r="B70" s="2865"/>
      <c r="C70" s="2865"/>
      <c r="D70" s="2865" t="s">
        <v>2642</v>
      </c>
      <c r="E70" s="2865"/>
      <c r="F70" s="2865"/>
    </row>
    <row r="71" spans="1:7" ht="19.5" customHeight="1">
      <c r="A71" s="2858" t="s">
        <v>2643</v>
      </c>
      <c r="B71" s="2858" t="s">
        <v>2644</v>
      </c>
      <c r="C71" s="2858" t="s">
        <v>2645</v>
      </c>
      <c r="D71" s="2858" t="s">
        <v>2646</v>
      </c>
      <c r="E71" s="2858" t="s">
        <v>2647</v>
      </c>
      <c r="F71" s="2858" t="s">
        <v>2648</v>
      </c>
    </row>
    <row r="72" spans="1:7" ht="13.5">
      <c r="A72" s="2858"/>
      <c r="B72" s="2858"/>
      <c r="C72" s="2858" t="s">
        <v>2649</v>
      </c>
      <c r="D72" s="2858"/>
      <c r="E72" s="2858" t="s">
        <v>2620</v>
      </c>
      <c r="F72" s="2858" t="s">
        <v>2620</v>
      </c>
    </row>
    <row r="73" spans="1:7" ht="13.5">
      <c r="A73" s="2858">
        <v>1</v>
      </c>
      <c r="B73" s="3474" t="s">
        <v>2650</v>
      </c>
      <c r="C73" s="2832" t="s">
        <v>2651</v>
      </c>
      <c r="D73" s="2832" t="s">
        <v>2652</v>
      </c>
      <c r="E73" s="2858">
        <v>0.2</v>
      </c>
      <c r="F73" s="2858">
        <v>25</v>
      </c>
    </row>
    <row r="74" spans="1:7" ht="24">
      <c r="A74" s="2858">
        <v>2</v>
      </c>
      <c r="B74" s="3469"/>
      <c r="C74" s="2832" t="s">
        <v>2653</v>
      </c>
      <c r="D74" s="2832" t="s">
        <v>2654</v>
      </c>
      <c r="E74" s="2858">
        <v>0.2</v>
      </c>
      <c r="F74" s="2858">
        <v>25</v>
      </c>
    </row>
    <row r="75" spans="1:7" ht="24">
      <c r="A75" s="2858">
        <v>3</v>
      </c>
      <c r="B75" s="3469"/>
      <c r="C75" s="2832" t="s">
        <v>2655</v>
      </c>
      <c r="D75" s="2832" t="s">
        <v>2656</v>
      </c>
      <c r="E75" s="2858">
        <v>0.2</v>
      </c>
      <c r="F75" s="2858">
        <v>25</v>
      </c>
    </row>
    <row r="76" spans="1:7" ht="13.5">
      <c r="A76" s="2858">
        <v>4</v>
      </c>
      <c r="B76" s="3469"/>
      <c r="C76" s="2832" t="s">
        <v>2657</v>
      </c>
      <c r="D76" s="2832" t="s">
        <v>2658</v>
      </c>
      <c r="E76" s="2858">
        <v>0.15</v>
      </c>
      <c r="F76" s="2858">
        <v>20</v>
      </c>
    </row>
    <row r="77" spans="1:7" ht="24">
      <c r="A77" s="2858">
        <v>5</v>
      </c>
      <c r="B77" s="3469"/>
      <c r="C77" s="2832" t="s">
        <v>2659</v>
      </c>
      <c r="D77" s="2832" t="s">
        <v>2660</v>
      </c>
      <c r="E77" s="2858">
        <v>0.15</v>
      </c>
      <c r="F77" s="2858">
        <v>20</v>
      </c>
    </row>
    <row r="78" spans="1:7" ht="24">
      <c r="A78" s="2858">
        <v>6</v>
      </c>
      <c r="B78" s="3469"/>
      <c r="C78" s="2832" t="s">
        <v>2661</v>
      </c>
      <c r="D78" s="2832" t="s">
        <v>2662</v>
      </c>
      <c r="E78" s="2858">
        <v>0.15</v>
      </c>
      <c r="F78" s="2858">
        <v>20</v>
      </c>
    </row>
    <row r="79" spans="1:7" ht="24">
      <c r="A79" s="2858">
        <v>7</v>
      </c>
      <c r="B79" s="3469"/>
      <c r="C79" s="2832" t="s">
        <v>2663</v>
      </c>
      <c r="D79" s="2832" t="s">
        <v>2664</v>
      </c>
      <c r="E79" s="2858">
        <v>0.15</v>
      </c>
      <c r="F79" s="2858">
        <v>20</v>
      </c>
    </row>
    <row r="80" spans="1:7" ht="24">
      <c r="A80" s="2858">
        <v>8</v>
      </c>
      <c r="B80" s="3469"/>
      <c r="C80" s="2832" t="s">
        <v>2665</v>
      </c>
      <c r="D80" s="2832" t="s">
        <v>2666</v>
      </c>
      <c r="E80" s="2858">
        <v>0.1</v>
      </c>
      <c r="F80" s="2858">
        <v>15</v>
      </c>
    </row>
    <row r="81" spans="1:6" ht="24">
      <c r="A81" s="2858">
        <v>9</v>
      </c>
      <c r="B81" s="3469"/>
      <c r="C81" s="2832" t="s">
        <v>2667</v>
      </c>
      <c r="D81" s="2832" t="s">
        <v>2668</v>
      </c>
      <c r="E81" s="2858">
        <v>0.1</v>
      </c>
      <c r="F81" s="2858">
        <v>15</v>
      </c>
    </row>
    <row r="82" spans="1:6" ht="24">
      <c r="A82" s="2858">
        <v>10</v>
      </c>
      <c r="B82" s="3469"/>
      <c r="C82" s="2832" t="s">
        <v>2669</v>
      </c>
      <c r="D82" s="2832" t="s">
        <v>2670</v>
      </c>
      <c r="E82" s="2858">
        <v>0.1</v>
      </c>
      <c r="F82" s="2858">
        <v>15</v>
      </c>
    </row>
    <row r="83" spans="1:6" ht="24">
      <c r="A83" s="2858">
        <v>11</v>
      </c>
      <c r="B83" s="3469"/>
      <c r="C83" s="2832" t="s">
        <v>2671</v>
      </c>
      <c r="D83" s="2832" t="s">
        <v>2672</v>
      </c>
      <c r="E83" s="2858">
        <v>0.1</v>
      </c>
      <c r="F83" s="2858">
        <v>15</v>
      </c>
    </row>
    <row r="84" spans="1:6" ht="24">
      <c r="A84" s="2858">
        <v>12</v>
      </c>
      <c r="B84" s="3469"/>
      <c r="C84" s="2832" t="s">
        <v>2673</v>
      </c>
      <c r="D84" s="2832" t="s">
        <v>2674</v>
      </c>
      <c r="E84" s="2858">
        <v>0.1</v>
      </c>
      <c r="F84" s="2858">
        <v>15</v>
      </c>
    </row>
    <row r="85" spans="1:6" ht="13.5">
      <c r="A85" s="2858">
        <v>13</v>
      </c>
      <c r="B85" s="3469"/>
      <c r="C85" s="2832" t="s">
        <v>2675</v>
      </c>
      <c r="D85" s="2832" t="s">
        <v>2676</v>
      </c>
      <c r="E85" s="2858">
        <v>0.1</v>
      </c>
      <c r="F85" s="2858">
        <v>15</v>
      </c>
    </row>
    <row r="86" spans="1:6" ht="13.5">
      <c r="A86" s="2858">
        <v>14</v>
      </c>
      <c r="B86" s="3469"/>
      <c r="C86" s="2832" t="s">
        <v>2677</v>
      </c>
      <c r="D86" s="2832" t="s">
        <v>2678</v>
      </c>
      <c r="E86" s="2858">
        <v>0.1</v>
      </c>
      <c r="F86" s="2858">
        <v>15</v>
      </c>
    </row>
    <row r="87" spans="1:6" ht="13.5">
      <c r="A87" s="2858">
        <v>15</v>
      </c>
      <c r="B87" s="3469"/>
      <c r="C87" s="2832" t="s">
        <v>2679</v>
      </c>
      <c r="D87" s="2832" t="s">
        <v>2680</v>
      </c>
      <c r="E87" s="2858">
        <v>0.1</v>
      </c>
      <c r="F87" s="2858">
        <v>15</v>
      </c>
    </row>
    <row r="88" spans="1:6" ht="24">
      <c r="A88" s="2858">
        <v>16</v>
      </c>
      <c r="B88" s="3469"/>
      <c r="C88" s="2832" t="s">
        <v>2681</v>
      </c>
      <c r="D88" s="2832" t="s">
        <v>2682</v>
      </c>
      <c r="E88" s="2858">
        <v>0.1</v>
      </c>
      <c r="F88" s="2858">
        <v>15</v>
      </c>
    </row>
    <row r="89" spans="1:6" ht="24">
      <c r="A89" s="2858">
        <v>17</v>
      </c>
      <c r="B89" s="3478"/>
      <c r="C89" s="2832" t="s">
        <v>2683</v>
      </c>
      <c r="D89" s="2832" t="s">
        <v>2684</v>
      </c>
      <c r="E89" s="2858">
        <v>0.1</v>
      </c>
      <c r="F89" s="2858">
        <v>15</v>
      </c>
    </row>
    <row r="90" spans="1:6" ht="13.5">
      <c r="A90" s="2858">
        <v>18</v>
      </c>
      <c r="B90" s="3474" t="s">
        <v>2685</v>
      </c>
      <c r="C90" s="2832" t="s">
        <v>2686</v>
      </c>
      <c r="D90" s="2832" t="s">
        <v>2687</v>
      </c>
      <c r="E90" s="2858">
        <v>0.2</v>
      </c>
      <c r="F90" s="2858">
        <v>25</v>
      </c>
    </row>
    <row r="91" spans="1:6" ht="24">
      <c r="A91" s="2858">
        <v>19</v>
      </c>
      <c r="B91" s="3469"/>
      <c r="C91" s="2832" t="s">
        <v>2688</v>
      </c>
      <c r="D91" s="2832" t="s">
        <v>2689</v>
      </c>
      <c r="E91" s="2858">
        <v>0.2</v>
      </c>
      <c r="F91" s="2858">
        <v>25</v>
      </c>
    </row>
    <row r="92" spans="1:6" ht="13.5">
      <c r="A92" s="2858">
        <v>20</v>
      </c>
      <c r="B92" s="3469"/>
      <c r="C92" s="2832" t="s">
        <v>2690</v>
      </c>
      <c r="D92" s="2832" t="s">
        <v>2691</v>
      </c>
      <c r="E92" s="2858">
        <v>0.15</v>
      </c>
      <c r="F92" s="2858">
        <v>20</v>
      </c>
    </row>
    <row r="93" spans="1:6" ht="13.5">
      <c r="A93" s="2858">
        <v>21</v>
      </c>
      <c r="B93" s="3469"/>
      <c r="C93" s="2832" t="s">
        <v>2692</v>
      </c>
      <c r="D93" s="2832" t="s">
        <v>2693</v>
      </c>
      <c r="E93" s="2858">
        <v>0.15</v>
      </c>
      <c r="F93" s="2858">
        <v>20</v>
      </c>
    </row>
    <row r="94" spans="1:6" ht="13.5">
      <c r="A94" s="2858">
        <v>22</v>
      </c>
      <c r="B94" s="3469"/>
      <c r="C94" s="2832" t="s">
        <v>2694</v>
      </c>
      <c r="D94" s="2832" t="s">
        <v>2695</v>
      </c>
      <c r="E94" s="2858">
        <v>0.15</v>
      </c>
      <c r="F94" s="2858">
        <v>20</v>
      </c>
    </row>
    <row r="95" spans="1:6" ht="36">
      <c r="A95" s="2858">
        <v>23</v>
      </c>
      <c r="B95" s="3469"/>
      <c r="C95" s="2832" t="s">
        <v>2696</v>
      </c>
      <c r="D95" s="2832" t="s">
        <v>2697</v>
      </c>
      <c r="E95" s="2858">
        <v>0.15</v>
      </c>
      <c r="F95" s="2858">
        <v>20</v>
      </c>
    </row>
    <row r="96" spans="1:6" ht="13.5">
      <c r="A96" s="2858">
        <v>24</v>
      </c>
      <c r="B96" s="3469"/>
      <c r="C96" s="2832" t="s">
        <v>2698</v>
      </c>
      <c r="D96" s="2832" t="s">
        <v>2699</v>
      </c>
      <c r="E96" s="2858">
        <v>0.1</v>
      </c>
      <c r="F96" s="2858">
        <v>15</v>
      </c>
    </row>
    <row r="97" spans="1:6" ht="13.5">
      <c r="A97" s="2858">
        <v>25</v>
      </c>
      <c r="B97" s="3469"/>
      <c r="C97" s="2832" t="s">
        <v>2700</v>
      </c>
      <c r="D97" s="2832" t="s">
        <v>2701</v>
      </c>
      <c r="E97" s="2858">
        <v>0.1</v>
      </c>
      <c r="F97" s="2858">
        <v>15</v>
      </c>
    </row>
    <row r="98" spans="1:6" ht="24">
      <c r="A98" s="2858">
        <v>26</v>
      </c>
      <c r="B98" s="3469"/>
      <c r="C98" s="2832" t="s">
        <v>2702</v>
      </c>
      <c r="D98" s="2832" t="s">
        <v>2703</v>
      </c>
      <c r="E98" s="2858">
        <v>0.1</v>
      </c>
      <c r="F98" s="2858">
        <v>15</v>
      </c>
    </row>
    <row r="99" spans="1:6" ht="24">
      <c r="A99" s="2858">
        <v>27</v>
      </c>
      <c r="B99" s="3469"/>
      <c r="C99" s="2832" t="s">
        <v>2704</v>
      </c>
      <c r="D99" s="2832" t="s">
        <v>2705</v>
      </c>
      <c r="E99" s="2858">
        <v>0.1</v>
      </c>
      <c r="F99" s="2858">
        <v>15</v>
      </c>
    </row>
    <row r="100" spans="1:6" ht="13.5">
      <c r="A100" s="2858">
        <v>28</v>
      </c>
      <c r="B100" s="3469"/>
      <c r="C100" s="2832" t="s">
        <v>2706</v>
      </c>
      <c r="D100" s="2832" t="s">
        <v>2707</v>
      </c>
      <c r="E100" s="2858">
        <v>0.1</v>
      </c>
      <c r="F100" s="2858">
        <v>15</v>
      </c>
    </row>
    <row r="101" spans="1:6" ht="13.5">
      <c r="A101" s="2858">
        <v>29</v>
      </c>
      <c r="B101" s="3469"/>
      <c r="C101" s="2832" t="s">
        <v>2708</v>
      </c>
      <c r="D101" s="2832" t="s">
        <v>2709</v>
      </c>
      <c r="E101" s="2858">
        <v>0.1</v>
      </c>
      <c r="F101" s="2858">
        <v>15</v>
      </c>
    </row>
    <row r="102" spans="1:6" ht="13.5">
      <c r="A102" s="2858">
        <v>30</v>
      </c>
      <c r="B102" s="3469"/>
      <c r="C102" s="2832" t="s">
        <v>2710</v>
      </c>
      <c r="D102" s="2832" t="s">
        <v>2711</v>
      </c>
      <c r="E102" s="2858">
        <v>0.1</v>
      </c>
      <c r="F102" s="2858">
        <v>15</v>
      </c>
    </row>
    <row r="103" spans="1:6" ht="24">
      <c r="A103" s="2858">
        <v>31</v>
      </c>
      <c r="B103" s="3469"/>
      <c r="C103" s="2832" t="s">
        <v>2712</v>
      </c>
      <c r="D103" s="2832" t="s">
        <v>2713</v>
      </c>
      <c r="E103" s="2858">
        <v>0.1</v>
      </c>
      <c r="F103" s="2858">
        <v>15</v>
      </c>
    </row>
    <row r="104" spans="1:6" ht="24">
      <c r="A104" s="2858">
        <v>32</v>
      </c>
      <c r="B104" s="3469"/>
      <c r="C104" s="2832" t="s">
        <v>2714</v>
      </c>
      <c r="D104" s="2832" t="s">
        <v>2715</v>
      </c>
      <c r="E104" s="2858">
        <v>0.1</v>
      </c>
      <c r="F104" s="2858">
        <v>15</v>
      </c>
    </row>
    <row r="105" spans="1:6" ht="24">
      <c r="A105" s="2858">
        <v>33</v>
      </c>
      <c r="B105" s="3469"/>
      <c r="C105" s="2832" t="s">
        <v>2716</v>
      </c>
      <c r="D105" s="2832" t="s">
        <v>2717</v>
      </c>
      <c r="E105" s="2858">
        <v>0.1</v>
      </c>
      <c r="F105" s="2858">
        <v>15</v>
      </c>
    </row>
    <row r="106" spans="1:6" ht="24">
      <c r="A106" s="2858">
        <v>34</v>
      </c>
      <c r="B106" s="3478"/>
      <c r="C106" s="2832" t="s">
        <v>2718</v>
      </c>
      <c r="D106" s="2832" t="s">
        <v>2719</v>
      </c>
      <c r="E106" s="2858">
        <v>0.1</v>
      </c>
      <c r="F106" s="2858">
        <v>15</v>
      </c>
    </row>
    <row r="107" spans="1:6" ht="24">
      <c r="A107" s="2858">
        <v>35</v>
      </c>
      <c r="B107" s="3474" t="s">
        <v>2720</v>
      </c>
      <c r="C107" s="2858" t="s">
        <v>2721</v>
      </c>
      <c r="D107" s="2832" t="s">
        <v>2722</v>
      </c>
      <c r="E107" s="2858">
        <v>0.15</v>
      </c>
      <c r="F107" s="2858">
        <v>20</v>
      </c>
    </row>
    <row r="108" spans="1:6" ht="13.5">
      <c r="A108" s="2858">
        <v>36</v>
      </c>
      <c r="B108" s="3469"/>
      <c r="C108" s="2858" t="s">
        <v>2723</v>
      </c>
      <c r="D108" s="2832" t="s">
        <v>2724</v>
      </c>
      <c r="E108" s="2858">
        <v>0.15</v>
      </c>
      <c r="F108" s="2858">
        <v>20</v>
      </c>
    </row>
    <row r="109" spans="1:6" ht="13.5">
      <c r="A109" s="2858">
        <v>37</v>
      </c>
      <c r="B109" s="3469"/>
      <c r="C109" s="2858" t="s">
        <v>2725</v>
      </c>
      <c r="D109" s="2832" t="s">
        <v>2726</v>
      </c>
      <c r="E109" s="2858">
        <v>0.15</v>
      </c>
      <c r="F109" s="2858">
        <v>20</v>
      </c>
    </row>
    <row r="110" spans="1:6" ht="13.5">
      <c r="A110" s="2858">
        <v>38</v>
      </c>
      <c r="B110" s="3469"/>
      <c r="C110" s="2858" t="s">
        <v>2727</v>
      </c>
      <c r="D110" s="2832" t="s">
        <v>2728</v>
      </c>
      <c r="E110" s="2858">
        <v>0.1</v>
      </c>
      <c r="F110" s="2858">
        <v>15</v>
      </c>
    </row>
    <row r="111" spans="1:6" ht="24">
      <c r="A111" s="2858">
        <v>39</v>
      </c>
      <c r="B111" s="3469"/>
      <c r="C111" s="2858" t="s">
        <v>2729</v>
      </c>
      <c r="D111" s="2832" t="s">
        <v>2730</v>
      </c>
      <c r="E111" s="2858">
        <v>0.1</v>
      </c>
      <c r="F111" s="2858">
        <v>15</v>
      </c>
    </row>
    <row r="112" spans="1:6" ht="24">
      <c r="A112" s="2858">
        <v>40</v>
      </c>
      <c r="B112" s="3478"/>
      <c r="C112" s="2858" t="s">
        <v>2731</v>
      </c>
      <c r="D112" s="2832" t="s">
        <v>2732</v>
      </c>
      <c r="E112" s="2858">
        <v>0.1</v>
      </c>
      <c r="F112" s="2858">
        <v>15</v>
      </c>
    </row>
    <row r="113" spans="1:6" ht="13.5">
      <c r="A113" s="2858">
        <v>41</v>
      </c>
      <c r="B113" s="3479" t="s">
        <v>2733</v>
      </c>
      <c r="C113" s="2858" t="s">
        <v>2734</v>
      </c>
      <c r="D113" s="2832" t="s">
        <v>2735</v>
      </c>
      <c r="E113" s="2858">
        <v>0.1</v>
      </c>
      <c r="F113" s="2858">
        <v>15</v>
      </c>
    </row>
    <row r="114" spans="1:6" ht="13.5">
      <c r="A114" s="2858">
        <v>42</v>
      </c>
      <c r="B114" s="3479"/>
      <c r="C114" s="2858" t="s">
        <v>2736</v>
      </c>
      <c r="D114" s="2832" t="s">
        <v>2737</v>
      </c>
      <c r="E114" s="2858">
        <v>0.1</v>
      </c>
      <c r="F114" s="2858">
        <v>15</v>
      </c>
    </row>
    <row r="115" spans="1:6" ht="24">
      <c r="A115" s="2858">
        <v>43</v>
      </c>
      <c r="B115" s="3479"/>
      <c r="C115" s="2858" t="s">
        <v>2738</v>
      </c>
      <c r="D115" s="2832" t="s">
        <v>2739</v>
      </c>
      <c r="E115" s="2858">
        <v>0.1</v>
      </c>
      <c r="F115" s="2858">
        <v>15</v>
      </c>
    </row>
    <row r="116" spans="1:6" ht="13.5">
      <c r="A116" s="2858">
        <v>44</v>
      </c>
      <c r="B116" s="3474" t="s">
        <v>2740</v>
      </c>
      <c r="C116" s="2858" t="s">
        <v>2741</v>
      </c>
      <c r="D116" s="2832" t="s">
        <v>2742</v>
      </c>
      <c r="E116" s="2858">
        <v>0.1</v>
      </c>
      <c r="F116" s="2858">
        <v>15</v>
      </c>
    </row>
    <row r="117" spans="1:6" ht="24">
      <c r="A117" s="2858">
        <v>45</v>
      </c>
      <c r="B117" s="3478"/>
      <c r="C117" s="2832" t="s">
        <v>2743</v>
      </c>
      <c r="D117" s="2832" t="s">
        <v>2744</v>
      </c>
      <c r="E117" s="2858">
        <v>0.1</v>
      </c>
      <c r="F117" s="2858">
        <v>15</v>
      </c>
    </row>
    <row r="118" spans="1:6" ht="24">
      <c r="A118" s="2858">
        <v>46</v>
      </c>
      <c r="B118" s="3474" t="s">
        <v>2745</v>
      </c>
      <c r="C118" s="2858" t="s">
        <v>2746</v>
      </c>
      <c r="D118" s="2832" t="s">
        <v>2747</v>
      </c>
      <c r="E118" s="2858">
        <v>0.1</v>
      </c>
      <c r="F118" s="2858">
        <v>15</v>
      </c>
    </row>
    <row r="119" spans="1:6" ht="24">
      <c r="A119" s="2858">
        <v>47</v>
      </c>
      <c r="B119" s="3478"/>
      <c r="C119" s="2858" t="s">
        <v>2748</v>
      </c>
      <c r="D119" s="2832" t="s">
        <v>2749</v>
      </c>
      <c r="E119" s="2858">
        <v>0.1</v>
      </c>
      <c r="F119" s="2858">
        <v>15</v>
      </c>
    </row>
    <row r="120" spans="1:6" ht="13.5">
      <c r="A120" s="2858">
        <v>48</v>
      </c>
      <c r="B120" s="3474" t="s">
        <v>2750</v>
      </c>
      <c r="C120" s="2858" t="s">
        <v>2751</v>
      </c>
      <c r="D120" s="2832" t="s">
        <v>2752</v>
      </c>
      <c r="E120" s="2858">
        <v>0.1</v>
      </c>
      <c r="F120" s="2858">
        <v>15</v>
      </c>
    </row>
    <row r="121" spans="1:6" ht="13.5">
      <c r="A121" s="2858">
        <v>49</v>
      </c>
      <c r="B121" s="3478"/>
      <c r="C121" s="2858" t="s">
        <v>2753</v>
      </c>
      <c r="D121" s="2832" t="s">
        <v>2754</v>
      </c>
      <c r="E121" s="2858">
        <v>0.1</v>
      </c>
      <c r="F121" s="2858">
        <v>15</v>
      </c>
    </row>
    <row r="122" spans="1:6" ht="24">
      <c r="A122" s="2858">
        <v>50</v>
      </c>
      <c r="B122" s="3479" t="s">
        <v>2755</v>
      </c>
      <c r="C122" s="2858" t="s">
        <v>2756</v>
      </c>
      <c r="D122" s="2832" t="s">
        <v>2757</v>
      </c>
      <c r="E122" s="2858">
        <v>0.1</v>
      </c>
      <c r="F122" s="2858">
        <v>15</v>
      </c>
    </row>
    <row r="123" spans="1:6" ht="24">
      <c r="A123" s="2858">
        <v>51</v>
      </c>
      <c r="B123" s="3479"/>
      <c r="C123" s="2858" t="s">
        <v>2758</v>
      </c>
      <c r="D123" s="2832" t="s">
        <v>2759</v>
      </c>
      <c r="E123" s="2858">
        <v>0.1</v>
      </c>
      <c r="F123" s="2858">
        <v>15</v>
      </c>
    </row>
    <row r="124" spans="1:6" ht="24">
      <c r="A124" s="2858">
        <v>52</v>
      </c>
      <c r="B124" s="3479" t="s">
        <v>2760</v>
      </c>
      <c r="C124" s="2858" t="s">
        <v>2761</v>
      </c>
      <c r="D124" s="2832" t="s">
        <v>2762</v>
      </c>
      <c r="E124" s="2858">
        <v>0.1</v>
      </c>
      <c r="F124" s="2858">
        <v>15</v>
      </c>
    </row>
    <row r="125" spans="1:6" ht="24">
      <c r="A125" s="2858">
        <v>53</v>
      </c>
      <c r="B125" s="3479"/>
      <c r="C125" s="2858" t="s">
        <v>2763</v>
      </c>
      <c r="D125" s="2832" t="s">
        <v>2764</v>
      </c>
      <c r="E125" s="2858">
        <v>0.1</v>
      </c>
      <c r="F125" s="2858">
        <v>15</v>
      </c>
    </row>
    <row r="126" spans="1:6" ht="13.5">
      <c r="A126" s="2858">
        <v>54</v>
      </c>
      <c r="B126" s="2858" t="s">
        <v>2765</v>
      </c>
      <c r="C126" s="2858" t="s">
        <v>2766</v>
      </c>
      <c r="D126" s="2832" t="s">
        <v>2767</v>
      </c>
      <c r="E126" s="2858">
        <v>0.1</v>
      </c>
      <c r="F126" s="2858">
        <v>15</v>
      </c>
    </row>
    <row r="127" spans="1:6" ht="13.5">
      <c r="A127" s="2858">
        <v>55</v>
      </c>
      <c r="B127" s="3479" t="s">
        <v>2768</v>
      </c>
      <c r="C127" s="2858" t="s">
        <v>2769</v>
      </c>
      <c r="D127" s="2832" t="s">
        <v>2770</v>
      </c>
      <c r="E127" s="2858">
        <v>0.1</v>
      </c>
      <c r="F127" s="2858">
        <v>15</v>
      </c>
    </row>
    <row r="128" spans="1:6" ht="13.5">
      <c r="A128" s="2858">
        <v>56</v>
      </c>
      <c r="B128" s="3479"/>
      <c r="C128" s="2858" t="s">
        <v>2771</v>
      </c>
      <c r="D128" s="2832" t="s">
        <v>2772</v>
      </c>
      <c r="E128" s="2858">
        <v>0.1</v>
      </c>
      <c r="F128" s="2858">
        <v>15</v>
      </c>
    </row>
    <row r="129" spans="1:6" ht="24">
      <c r="A129" s="2858">
        <v>57</v>
      </c>
      <c r="B129" s="3479"/>
      <c r="C129" s="2858" t="s">
        <v>2773</v>
      </c>
      <c r="D129" s="2832" t="s">
        <v>2774</v>
      </c>
      <c r="E129" s="2858">
        <v>0.1</v>
      </c>
      <c r="F129" s="2858">
        <v>15</v>
      </c>
    </row>
    <row r="130" spans="1:6" ht="24">
      <c r="A130" s="2858">
        <v>58</v>
      </c>
      <c r="B130" s="3479" t="s">
        <v>2775</v>
      </c>
      <c r="C130" s="2858" t="s">
        <v>2776</v>
      </c>
      <c r="D130" s="2832" t="s">
        <v>2777</v>
      </c>
      <c r="E130" s="2858">
        <v>0.1</v>
      </c>
      <c r="F130" s="2858">
        <v>15</v>
      </c>
    </row>
    <row r="131" spans="1:6" ht="13.5">
      <c r="A131" s="2858">
        <v>59</v>
      </c>
      <c r="B131" s="3479"/>
      <c r="C131" s="2858" t="s">
        <v>2778</v>
      </c>
      <c r="D131" s="2832" t="s">
        <v>2779</v>
      </c>
      <c r="E131" s="2858">
        <v>0.1</v>
      </c>
      <c r="F131" s="2858">
        <v>15</v>
      </c>
    </row>
    <row r="132" spans="1:6" ht="13.5">
      <c r="A132" s="2858">
        <v>60</v>
      </c>
      <c r="B132" s="3474" t="s">
        <v>2780</v>
      </c>
      <c r="C132" s="2858" t="s">
        <v>2781</v>
      </c>
      <c r="D132" s="2832" t="s">
        <v>2782</v>
      </c>
      <c r="E132" s="2858">
        <v>0.1</v>
      </c>
      <c r="F132" s="2858">
        <v>15</v>
      </c>
    </row>
    <row r="133" spans="1:6" ht="13.5">
      <c r="A133" s="2858">
        <v>61</v>
      </c>
      <c r="B133" s="3478"/>
      <c r="C133" s="2858" t="s">
        <v>2783</v>
      </c>
      <c r="D133" s="2832" t="s">
        <v>2784</v>
      </c>
      <c r="E133" s="2858">
        <v>0.1</v>
      </c>
      <c r="F133" s="2858">
        <v>15</v>
      </c>
    </row>
    <row r="134" spans="1:6" ht="24">
      <c r="A134" s="2858">
        <v>62</v>
      </c>
      <c r="B134" s="2858" t="s">
        <v>2785</v>
      </c>
      <c r="C134" s="2858" t="s">
        <v>2786</v>
      </c>
      <c r="D134" s="2832" t="s">
        <v>2787</v>
      </c>
      <c r="E134" s="2858">
        <v>0.1</v>
      </c>
      <c r="F134" s="2858">
        <v>15</v>
      </c>
    </row>
    <row r="135" spans="1:6" ht="13.5">
      <c r="A135" s="2858">
        <v>63</v>
      </c>
      <c r="B135" s="3479" t="s">
        <v>2788</v>
      </c>
      <c r="C135" s="2858" t="s">
        <v>2789</v>
      </c>
      <c r="D135" s="2832" t="s">
        <v>2790</v>
      </c>
      <c r="E135" s="2858">
        <v>0.1</v>
      </c>
      <c r="F135" s="2858">
        <v>15</v>
      </c>
    </row>
    <row r="136" spans="1:6" ht="13.5">
      <c r="A136" s="2858">
        <v>64</v>
      </c>
      <c r="B136" s="3479"/>
      <c r="C136" s="2858" t="s">
        <v>2791</v>
      </c>
      <c r="D136" s="2832" t="s">
        <v>2792</v>
      </c>
      <c r="E136" s="2858">
        <v>0.1</v>
      </c>
      <c r="F136" s="2858">
        <v>15</v>
      </c>
    </row>
    <row r="137" spans="1:6" ht="13.5">
      <c r="A137" s="2858">
        <v>65</v>
      </c>
      <c r="B137" s="2858" t="s">
        <v>2793</v>
      </c>
      <c r="C137" s="2858" t="s">
        <v>2794</v>
      </c>
      <c r="D137" s="2832" t="s">
        <v>2795</v>
      </c>
      <c r="E137" s="2858">
        <v>0.1</v>
      </c>
      <c r="F137" s="2858">
        <v>15</v>
      </c>
    </row>
    <row r="138" spans="1:6" ht="13.5">
      <c r="A138" s="2858"/>
      <c r="B138" s="2858"/>
      <c r="C138" s="2858"/>
      <c r="D138" s="2858"/>
      <c r="E138" s="2858" t="s">
        <v>2796</v>
      </c>
      <c r="F138" s="2858"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2797</v>
      </c>
      <c r="B1" s="2866"/>
      <c r="C1" s="2866"/>
      <c r="D1" s="2866"/>
      <c r="E1" s="2866"/>
      <c r="F1" s="2866"/>
      <c r="G1" s="2866"/>
      <c r="H1" s="2866"/>
      <c r="I1" s="2866"/>
      <c r="J1" s="2866"/>
      <c r="K1" s="2866"/>
      <c r="L1" s="2866"/>
      <c r="M1" s="2866"/>
      <c r="N1" s="707"/>
    </row>
    <row r="2" spans="1:20">
      <c r="A2" s="2867" t="s">
        <v>2798</v>
      </c>
      <c r="B2" s="2868" t="s">
        <v>2594</v>
      </c>
      <c r="C2" s="2868" t="s">
        <v>2595</v>
      </c>
      <c r="D2" s="2868" t="s">
        <v>2596</v>
      </c>
      <c r="E2" s="2868" t="s">
        <v>2597</v>
      </c>
      <c r="F2" s="2868" t="s">
        <v>2598</v>
      </c>
      <c r="G2" s="2868" t="s">
        <v>2599</v>
      </c>
      <c r="H2" s="2869" t="s">
        <v>2600</v>
      </c>
      <c r="I2" s="2869" t="s">
        <v>2601</v>
      </c>
      <c r="J2" s="2870" t="s">
        <v>2602</v>
      </c>
      <c r="K2" s="2870" t="s">
        <v>2603</v>
      </c>
      <c r="L2" s="2870" t="s">
        <v>2604</v>
      </c>
      <c r="M2" s="2871" t="s">
        <v>2605</v>
      </c>
      <c r="Q2" s="2881" t="s">
        <v>2803</v>
      </c>
      <c r="R2" s="2881" t="s">
        <v>2804</v>
      </c>
      <c r="S2" s="2881" t="s">
        <v>2805</v>
      </c>
      <c r="T2" s="2881" t="s">
        <v>2806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2799</v>
      </c>
      <c r="B93" s="2866"/>
      <c r="C93" s="2866"/>
      <c r="D93" s="2866"/>
      <c r="E93" s="2866"/>
      <c r="F93" s="2866"/>
      <c r="G93" s="2866"/>
      <c r="H93" s="2866"/>
      <c r="I93" s="2866"/>
      <c r="J93" s="2866"/>
      <c r="K93" s="2866"/>
      <c r="L93" s="2866"/>
      <c r="M93" s="2866"/>
    </row>
    <row r="94" spans="1:20">
      <c r="A94" s="2867" t="s">
        <v>2798</v>
      </c>
      <c r="B94" s="2868" t="s">
        <v>2594</v>
      </c>
      <c r="C94" s="2868" t="s">
        <v>2595</v>
      </c>
      <c r="D94" s="2868" t="s">
        <v>2596</v>
      </c>
      <c r="E94" s="2868" t="s">
        <v>2597</v>
      </c>
      <c r="F94" s="2868" t="s">
        <v>2598</v>
      </c>
      <c r="G94" s="2868" t="s">
        <v>2599</v>
      </c>
      <c r="H94" s="2869" t="s">
        <v>2600</v>
      </c>
      <c r="I94" s="2869" t="s">
        <v>2601</v>
      </c>
      <c r="J94" s="2870" t="s">
        <v>2602</v>
      </c>
      <c r="K94" s="2870" t="s">
        <v>2603</v>
      </c>
      <c r="L94" s="2870" t="s">
        <v>2604</v>
      </c>
      <c r="M94" s="2871" t="s">
        <v>2605</v>
      </c>
      <c r="N94">
        <f>SUMPRODUCT((A95:A184=ROUNDDOWN(基准地价修正!G3,1))*(B94:M94=基准地价修正!G2)*(B95:M184))</f>
        <v>0</v>
      </c>
      <c r="Q94" s="2881" t="s">
        <v>2803</v>
      </c>
      <c r="R94" s="2881" t="s">
        <v>2804</v>
      </c>
      <c r="S94" s="2881" t="s">
        <v>2805</v>
      </c>
      <c r="T94" s="2881" t="s">
        <v>2806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2800</v>
      </c>
      <c r="B185" s="2866"/>
      <c r="C185" s="2866"/>
      <c r="D185" s="2866"/>
      <c r="E185" s="2866"/>
      <c r="F185" s="2866"/>
      <c r="G185" s="2866"/>
      <c r="H185" s="2866"/>
      <c r="I185" s="2866"/>
      <c r="J185" s="2866"/>
      <c r="K185" s="2866"/>
      <c r="L185" s="2866"/>
      <c r="M185" s="2866"/>
    </row>
    <row r="186" spans="1:20">
      <c r="A186" s="2867" t="s">
        <v>2798</v>
      </c>
      <c r="B186" s="2868" t="s">
        <v>2594</v>
      </c>
      <c r="C186" s="2868" t="s">
        <v>2595</v>
      </c>
      <c r="D186" s="2868" t="s">
        <v>2596</v>
      </c>
      <c r="E186" s="2868" t="s">
        <v>2597</v>
      </c>
      <c r="F186" s="2868" t="s">
        <v>2598</v>
      </c>
      <c r="G186" s="2868" t="s">
        <v>2599</v>
      </c>
      <c r="H186" s="2869" t="s">
        <v>2600</v>
      </c>
      <c r="I186" s="2869" t="s">
        <v>2601</v>
      </c>
      <c r="J186" s="2870" t="s">
        <v>2602</v>
      </c>
      <c r="K186" s="2870" t="s">
        <v>2603</v>
      </c>
      <c r="L186" s="2870" t="s">
        <v>2604</v>
      </c>
      <c r="M186" s="2871" t="s">
        <v>2605</v>
      </c>
      <c r="Q186" s="2881" t="s">
        <v>2803</v>
      </c>
      <c r="R186" s="2881" t="s">
        <v>2804</v>
      </c>
      <c r="S186" s="2881" t="s">
        <v>2805</v>
      </c>
      <c r="T186" s="2881" t="s">
        <v>2806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2801</v>
      </c>
      <c r="B277" s="2866"/>
      <c r="C277" s="2866"/>
      <c r="D277" s="2866"/>
      <c r="E277" s="2866"/>
      <c r="F277" s="2866"/>
      <c r="G277" s="2866"/>
      <c r="H277" s="2866"/>
      <c r="I277" s="2866"/>
      <c r="J277" s="2866"/>
      <c r="K277" s="2866"/>
      <c r="L277" s="2866"/>
      <c r="M277" s="2866"/>
    </row>
    <row r="278" spans="1:21">
      <c r="A278" s="2867" t="s">
        <v>2798</v>
      </c>
      <c r="B278" s="2868" t="s">
        <v>2594</v>
      </c>
      <c r="C278" s="2868" t="s">
        <v>2595</v>
      </c>
      <c r="D278" s="2868" t="s">
        <v>2596</v>
      </c>
      <c r="E278" s="2868" t="s">
        <v>2597</v>
      </c>
      <c r="F278" s="2868" t="s">
        <v>2598</v>
      </c>
      <c r="G278" s="2868" t="s">
        <v>2599</v>
      </c>
      <c r="H278" s="2869" t="s">
        <v>2600</v>
      </c>
      <c r="I278" s="2869" t="s">
        <v>2601</v>
      </c>
      <c r="J278" s="2870" t="s">
        <v>2602</v>
      </c>
      <c r="K278" s="2870" t="s">
        <v>2603</v>
      </c>
      <c r="L278" s="2870" t="s">
        <v>2604</v>
      </c>
      <c r="M278" s="2871" t="s">
        <v>2605</v>
      </c>
      <c r="Q278" s="2881" t="s">
        <v>2803</v>
      </c>
      <c r="R278" s="2881" t="s">
        <v>2804</v>
      </c>
      <c r="S278" s="2881" t="s">
        <v>2807</v>
      </c>
      <c r="T278" s="2881" t="s">
        <v>2808</v>
      </c>
      <c r="U278" s="2881" t="s">
        <v>2806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2802</v>
      </c>
      <c r="B369" s="2879"/>
      <c r="C369" s="2879"/>
      <c r="D369" s="2879"/>
      <c r="E369" s="2879"/>
      <c r="F369" s="2879"/>
      <c r="G369" s="2879"/>
      <c r="H369" s="2879"/>
      <c r="I369" s="2879"/>
      <c r="J369" s="2879"/>
      <c r="K369" s="2879"/>
      <c r="L369" s="2879"/>
      <c r="M369" s="2879"/>
    </row>
    <row r="370" spans="1:20">
      <c r="A370" s="2867" t="s">
        <v>2798</v>
      </c>
      <c r="B370" s="2868" t="s">
        <v>2594</v>
      </c>
      <c r="C370" s="2868" t="s">
        <v>2595</v>
      </c>
      <c r="D370" s="2868" t="s">
        <v>2596</v>
      </c>
      <c r="E370" s="2868" t="s">
        <v>2597</v>
      </c>
      <c r="F370" s="2868" t="s">
        <v>2598</v>
      </c>
      <c r="G370" s="2868" t="s">
        <v>2599</v>
      </c>
      <c r="H370" s="2869" t="s">
        <v>2600</v>
      </c>
      <c r="I370" s="2869" t="s">
        <v>2601</v>
      </c>
      <c r="J370" s="2870" t="s">
        <v>2602</v>
      </c>
      <c r="K370" s="2870" t="s">
        <v>2603</v>
      </c>
      <c r="L370" s="2870" t="s">
        <v>2604</v>
      </c>
      <c r="M370" s="2871" t="s">
        <v>2605</v>
      </c>
      <c r="N370">
        <f>SUMPRODUCT((A371:A460=ROUNDDOWN(基准地价修正!G3,1))*(B370:M370=基准地价修正!G2)*(B371:M460))</f>
        <v>0</v>
      </c>
      <c r="Q370" s="2881" t="s">
        <v>2803</v>
      </c>
      <c r="R370" s="2881" t="s">
        <v>2804</v>
      </c>
      <c r="S370" s="2881" t="s">
        <v>2805</v>
      </c>
      <c r="T370" s="2881" t="s">
        <v>2806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8">
      <c r="A3" s="3169" t="str">
        <f>IF(项目基本情况!B9="房地产市场价值","估价结果一览表（市场价值不需“结果表-1”）","估价结果一览表")</f>
        <v>估价结果一览表</v>
      </c>
      <c r="B3" s="3169"/>
      <c r="C3" s="3169"/>
      <c r="D3" s="3169"/>
      <c r="E3" s="3169"/>
    </row>
    <row r="4" spans="1:5" ht="19.5" thickBot="1">
      <c r="A4" s="1391"/>
      <c r="B4" s="3167" t="s">
        <v>917</v>
      </c>
      <c r="C4" s="3167"/>
      <c r="D4" s="3167"/>
      <c r="E4" s="1391"/>
    </row>
    <row r="5" spans="1:5" ht="16.5" thickTop="1">
      <c r="B5" s="3165" t="s">
        <v>909</v>
      </c>
      <c r="C5" s="1392" t="s">
        <v>910</v>
      </c>
      <c r="D5" s="797" t="e">
        <f ca="1">结果表!H101</f>
        <v>#REF!</v>
      </c>
    </row>
    <row r="6" spans="1:5" ht="15.75">
      <c r="B6" s="3165"/>
      <c r="C6" s="1392" t="s">
        <v>911</v>
      </c>
      <c r="D6" s="797" t="e">
        <f ca="1">NUMBERSTRING(INT(D5*10000),2)&amp;"元整"</f>
        <v>#REF!</v>
      </c>
    </row>
    <row r="7" spans="1:5" ht="15.75">
      <c r="B7" s="3170"/>
      <c r="C7" s="1393" t="s">
        <v>912</v>
      </c>
      <c r="D7" s="798" t="e">
        <f ca="1">结果表!H102</f>
        <v>#REF!</v>
      </c>
    </row>
    <row r="8" spans="1:5" ht="15.75">
      <c r="B8" s="3171" t="str">
        <f>结果表!E103</f>
        <v>2.估价师知悉的法定优先受偿款</v>
      </c>
      <c r="C8" s="1394" t="s">
        <v>913</v>
      </c>
      <c r="D8" s="798">
        <f>结果表!H103</f>
        <v>0</v>
      </c>
    </row>
    <row r="9" spans="1:5" ht="15.75">
      <c r="B9" s="317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4" t="str">
        <f>结果表!E107</f>
        <v>3.房地产抵押价值</v>
      </c>
      <c r="C13" s="1397" t="s">
        <v>910</v>
      </c>
      <c r="D13" s="800" t="e">
        <f ca="1">结果表!H107</f>
        <v>#REF!</v>
      </c>
    </row>
    <row r="14" spans="1:5" ht="15.75">
      <c r="B14" s="3165"/>
      <c r="C14" s="1392" t="s">
        <v>911</v>
      </c>
      <c r="D14" s="797" t="e">
        <f ca="1">NUMBERSTRING(INT(D13*10000),2)&amp;"元整"</f>
        <v>#REF!</v>
      </c>
    </row>
    <row r="15" spans="1:5" ht="15">
      <c r="B15" s="3170"/>
      <c r="C15" s="1393" t="s">
        <v>921</v>
      </c>
      <c r="D15" s="806" t="e">
        <f ca="1">结果表!H108</f>
        <v>#REF!</v>
      </c>
    </row>
    <row r="16" spans="1:5" ht="15">
      <c r="B16" s="3171" t="str">
        <f>结果表!E109</f>
        <v>——</v>
      </c>
      <c r="C16" s="1397" t="s">
        <v>922</v>
      </c>
      <c r="D16" s="1398" t="str">
        <f>结果表!H109</f>
        <v>——</v>
      </c>
    </row>
    <row r="17" spans="1:5" ht="15.75">
      <c r="B17" s="3172"/>
      <c r="C17" s="1392" t="s">
        <v>923</v>
      </c>
      <c r="D17" s="797" t="e">
        <f>NUMBERSTRING(INT(D16*10000),2)&amp;"元整"</f>
        <v>#VALUE!</v>
      </c>
    </row>
    <row r="18" spans="1:5" ht="15">
      <c r="B18" s="3173"/>
      <c r="C18" s="1393" t="s">
        <v>912</v>
      </c>
      <c r="D18" s="806" t="str">
        <f>结果表!H110</f>
        <v>——</v>
      </c>
    </row>
    <row r="19" spans="1:5" ht="15.75">
      <c r="B19" s="3164" t="str">
        <f>结果表!E111</f>
        <v>——</v>
      </c>
      <c r="C19" s="1397" t="s">
        <v>910</v>
      </c>
      <c r="D19" s="798" t="str">
        <f>结果表!H111</f>
        <v>——</v>
      </c>
    </row>
    <row r="20" spans="1:5" ht="15.75">
      <c r="B20" s="3165"/>
      <c r="C20" s="1392" t="s">
        <v>923</v>
      </c>
      <c r="D20" s="797" t="e">
        <f>NUMBERSTRING(INT(D19*10000),2)&amp;"元整"</f>
        <v>#VALUE!</v>
      </c>
    </row>
    <row r="21" spans="1:5" ht="15.75" thickBot="1">
      <c r="B21" s="316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174.9</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174.9</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174.9</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5" t="s">
        <v>94</v>
      </c>
    </row>
    <row r="43" spans="1:7" ht="13.5" customHeight="1">
      <c r="A43" s="734" t="s">
        <v>347</v>
      </c>
      <c r="B43" s="207" t="s">
        <v>426</v>
      </c>
      <c r="C43" s="230" t="e">
        <f ca="1">ROUND(IF('数据-取费表'!B22&lt;=1,C39*F22*'数据-取费表'!B21/2,C39*(POWER((1+F22),'数据-取费表'!B21/2)-1)),0)</f>
        <v>#VALUE!</v>
      </c>
      <c r="D43" s="230"/>
      <c r="E43" s="230"/>
      <c r="F43" s="231"/>
      <c r="G43" s="3346"/>
    </row>
    <row r="44" spans="1:7" ht="13.5" customHeight="1">
      <c r="A44" s="734" t="s">
        <v>348</v>
      </c>
      <c r="B44" s="207" t="s">
        <v>428</v>
      </c>
      <c r="C44" s="230" t="e">
        <f ca="1">ROUND(IF('数据-取费表'!B22&lt;=1,C40*F22*'数据-取费表'!B21/2,C40*(POWER((1+F22),'数据-取费表'!B21/2)-1)),4)</f>
        <v>#VALUE!</v>
      </c>
      <c r="D44" s="230"/>
      <c r="E44" s="230"/>
      <c r="F44" s="231"/>
      <c r="G44" s="3347"/>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0" t="s">
        <v>3180</v>
      </c>
      <c r="B1" s="3480"/>
    </row>
    <row r="2" spans="1:7" ht="14.25" thickBot="1">
      <c r="A2" s="2969"/>
      <c r="B2" s="2969"/>
    </row>
    <row r="3" spans="1:7" ht="14.25" thickBot="1">
      <c r="A3" s="2969"/>
      <c r="B3" s="2969"/>
      <c r="C3" s="2970" t="s">
        <v>2810</v>
      </c>
      <c r="D3" s="2970" t="s">
        <v>2866</v>
      </c>
      <c r="E3" s="2970" t="s">
        <v>2812</v>
      </c>
      <c r="F3" s="2970" t="s">
        <v>2867</v>
      </c>
      <c r="G3" s="2970" t="s">
        <v>2630</v>
      </c>
    </row>
    <row r="4" spans="1:7" ht="14.25" thickBot="1">
      <c r="A4" s="2971" t="s">
        <v>2865</v>
      </c>
      <c r="B4" s="2972" t="s">
        <v>2871</v>
      </c>
      <c r="C4" s="2970"/>
      <c r="D4" s="2970"/>
      <c r="E4" s="2970"/>
      <c r="F4" s="2970"/>
      <c r="G4" s="2970"/>
    </row>
    <row r="5" spans="1:7">
      <c r="A5" s="2973" t="s">
        <v>2839</v>
      </c>
      <c r="B5" s="2974" t="s">
        <v>2853</v>
      </c>
      <c r="C5" s="2975">
        <v>9.8000000000000004E-2</v>
      </c>
      <c r="D5" s="2975">
        <v>8.6999999999999994E-2</v>
      </c>
      <c r="E5" s="2975">
        <v>8.6999999999999994E-2</v>
      </c>
      <c r="F5" s="2975">
        <v>9.8000000000000004E-2</v>
      </c>
      <c r="G5" s="2976">
        <v>9.5000000000000001E-2</v>
      </c>
    </row>
    <row r="6" spans="1:7">
      <c r="A6" s="2977" t="s">
        <v>144</v>
      </c>
      <c r="B6" s="2978" t="s">
        <v>2868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2922</v>
      </c>
      <c r="C29" s="2987"/>
      <c r="D29" s="2983">
        <v>5.1999999999999998E-2</v>
      </c>
      <c r="E29" s="2983">
        <v>7.0000000000000007E-2</v>
      </c>
      <c r="F29" s="2987"/>
      <c r="G29" s="2985">
        <v>7.0999999999999994E-2</v>
      </c>
    </row>
    <row r="30" spans="1:7">
      <c r="A30" s="2988" t="s">
        <v>296</v>
      </c>
      <c r="B30" s="2974" t="s">
        <v>2855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2925</v>
      </c>
      <c r="C50" s="2979">
        <v>9.8000000000000004E-2</v>
      </c>
      <c r="D50" s="2979">
        <v>7.2999999999999995E-2</v>
      </c>
      <c r="E50" s="2979">
        <v>7.0999999999999994E-2</v>
      </c>
      <c r="F50" s="2990"/>
      <c r="G50" s="2980">
        <v>7.2999999999999995E-2</v>
      </c>
    </row>
    <row r="51" spans="1:7">
      <c r="A51" s="2989" t="s">
        <v>296</v>
      </c>
      <c r="B51" s="2978" t="s">
        <v>2927</v>
      </c>
      <c r="C51" s="2979">
        <v>9.9000000000000005E-2</v>
      </c>
      <c r="D51" s="2979">
        <v>8.5000000000000006E-2</v>
      </c>
      <c r="E51" s="2979">
        <v>6.3E-2</v>
      </c>
      <c r="F51" s="2990"/>
      <c r="G51" s="2980">
        <v>9.6000000000000002E-2</v>
      </c>
    </row>
    <row r="52" spans="1:7">
      <c r="A52" s="2989" t="s">
        <v>296</v>
      </c>
      <c r="B52" s="2978" t="s">
        <v>2931</v>
      </c>
      <c r="C52" s="2979">
        <v>7.3999999999999996E-2</v>
      </c>
      <c r="D52" s="2979">
        <v>9.6000000000000002E-2</v>
      </c>
      <c r="E52" s="2979">
        <v>0.05</v>
      </c>
      <c r="F52" s="2990"/>
      <c r="G52" s="2980">
        <v>9.8000000000000004E-2</v>
      </c>
    </row>
    <row r="53" spans="1:7">
      <c r="A53" s="2989" t="s">
        <v>296</v>
      </c>
      <c r="B53" s="2978" t="s">
        <v>2936</v>
      </c>
      <c r="C53" s="2979">
        <v>8.5999999999999993E-2</v>
      </c>
      <c r="D53" s="2990"/>
      <c r="E53" s="2979">
        <v>9.1999999999999998E-2</v>
      </c>
      <c r="F53" s="2990"/>
      <c r="G53" s="2991"/>
    </row>
    <row r="54" spans="1:7" ht="14.25" thickBot="1">
      <c r="A54" s="2992" t="s">
        <v>296</v>
      </c>
      <c r="B54" s="2982" t="s">
        <v>2939</v>
      </c>
      <c r="C54" s="2983">
        <v>9.6000000000000002E-2</v>
      </c>
      <c r="D54" s="2984"/>
      <c r="E54" s="2993"/>
      <c r="F54" s="2984"/>
      <c r="G54" s="2994"/>
    </row>
    <row r="55" spans="1:7">
      <c r="A55" s="2988" t="s">
        <v>110</v>
      </c>
      <c r="B55" s="2974" t="s">
        <v>2856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2937</v>
      </c>
      <c r="C78" s="2979">
        <v>0.1</v>
      </c>
      <c r="D78" s="2979">
        <v>8.5000000000000006E-2</v>
      </c>
      <c r="E78" s="2979">
        <v>9.6000000000000002E-2</v>
      </c>
      <c r="F78" s="2990"/>
      <c r="G78" s="2980">
        <v>9.6000000000000002E-2</v>
      </c>
    </row>
    <row r="79" spans="1:7">
      <c r="A79" s="2989" t="s">
        <v>110</v>
      </c>
      <c r="B79" s="2978" t="s">
        <v>2940</v>
      </c>
      <c r="C79" s="2979">
        <v>0.05</v>
      </c>
      <c r="D79" s="2979">
        <v>9.6000000000000002E-2</v>
      </c>
      <c r="E79" s="2979">
        <v>9.5000000000000001E-2</v>
      </c>
      <c r="F79" s="2990"/>
      <c r="G79" s="2980">
        <v>9.8000000000000004E-2</v>
      </c>
    </row>
    <row r="80" spans="1:7">
      <c r="A80" s="2989" t="s">
        <v>110</v>
      </c>
      <c r="B80" s="2978" t="s">
        <v>2944</v>
      </c>
      <c r="C80" s="2979">
        <v>8.5999999999999993E-2</v>
      </c>
      <c r="D80" s="2995"/>
      <c r="E80" s="2979">
        <v>0.1</v>
      </c>
      <c r="F80" s="2990"/>
      <c r="G80" s="2991"/>
    </row>
    <row r="81" spans="1:7">
      <c r="A81" s="2989" t="s">
        <v>110</v>
      </c>
      <c r="B81" s="2978" t="s">
        <v>2949</v>
      </c>
      <c r="C81" s="2979">
        <v>9.6000000000000002E-2</v>
      </c>
      <c r="D81" s="2990"/>
      <c r="E81" s="2979">
        <v>9.8000000000000004E-2</v>
      </c>
      <c r="F81" s="2990"/>
      <c r="G81" s="2991"/>
    </row>
    <row r="82" spans="1:7">
      <c r="A82" s="2989" t="s">
        <v>110</v>
      </c>
      <c r="B82" s="2978" t="s">
        <v>2956</v>
      </c>
      <c r="C82" s="2995"/>
      <c r="D82" s="2990"/>
      <c r="E82" s="2979">
        <v>7.6999999999999999E-2</v>
      </c>
      <c r="F82" s="2990"/>
      <c r="G82" s="2991"/>
    </row>
    <row r="83" spans="1:7">
      <c r="A83" s="2989" t="s">
        <v>110</v>
      </c>
      <c r="B83" s="2978" t="s">
        <v>2962</v>
      </c>
      <c r="C83" s="2990"/>
      <c r="D83" s="2990"/>
      <c r="E83" s="2990"/>
      <c r="F83" s="2979">
        <v>0.1</v>
      </c>
      <c r="G83" s="2996"/>
    </row>
    <row r="84" spans="1:7">
      <c r="A84" s="2989" t="s">
        <v>110</v>
      </c>
      <c r="B84" s="2978" t="s">
        <v>2969</v>
      </c>
      <c r="C84" s="2990"/>
      <c r="D84" s="2990"/>
      <c r="E84" s="2990"/>
      <c r="F84" s="2979">
        <v>0.1</v>
      </c>
      <c r="G84" s="2996"/>
    </row>
    <row r="85" spans="1:7">
      <c r="A85" s="2989" t="s">
        <v>110</v>
      </c>
      <c r="B85" s="2978" t="s">
        <v>2976</v>
      </c>
      <c r="C85" s="2990"/>
      <c r="D85" s="2990"/>
      <c r="E85" s="2990"/>
      <c r="F85" s="2979">
        <v>0.1</v>
      </c>
      <c r="G85" s="2996"/>
    </row>
    <row r="86" spans="1:7" ht="14.25" thickBot="1">
      <c r="A86" s="2992" t="s">
        <v>110</v>
      </c>
      <c r="B86" s="2982" t="s">
        <v>2981</v>
      </c>
      <c r="C86" s="2983">
        <v>9.8000000000000004E-2</v>
      </c>
      <c r="D86" s="2983">
        <v>9.8000000000000004E-2</v>
      </c>
      <c r="E86" s="2983">
        <v>9.6000000000000002E-2</v>
      </c>
      <c r="F86" s="2993"/>
      <c r="G86" s="2985">
        <v>0.1</v>
      </c>
    </row>
    <row r="87" spans="1:7">
      <c r="A87" s="2988" t="s">
        <v>303</v>
      </c>
      <c r="B87" s="2974" t="s">
        <v>2857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2950</v>
      </c>
      <c r="C113" s="2979">
        <v>0.1</v>
      </c>
      <c r="D113" s="2979">
        <v>0.1</v>
      </c>
      <c r="E113" s="2990"/>
      <c r="F113" s="2990"/>
      <c r="G113" s="2980">
        <v>0.1</v>
      </c>
    </row>
    <row r="114" spans="1:7">
      <c r="A114" s="2989" t="s">
        <v>303</v>
      </c>
      <c r="B114" s="2978" t="s">
        <v>2957</v>
      </c>
      <c r="C114" s="2979">
        <v>9.7000000000000003E-2</v>
      </c>
      <c r="D114" s="2979">
        <v>9.7000000000000003E-2</v>
      </c>
      <c r="E114" s="2990"/>
      <c r="F114" s="2990"/>
      <c r="G114" s="2980">
        <v>9.9000000000000005E-2</v>
      </c>
    </row>
    <row r="115" spans="1:7">
      <c r="A115" s="2989" t="s">
        <v>303</v>
      </c>
      <c r="B115" s="2978" t="s">
        <v>2963</v>
      </c>
      <c r="C115" s="2979">
        <v>0.1</v>
      </c>
      <c r="D115" s="2979">
        <v>0.1</v>
      </c>
      <c r="E115" s="2990"/>
      <c r="F115" s="2990"/>
      <c r="G115" s="2980">
        <v>0.1</v>
      </c>
    </row>
    <row r="116" spans="1:7">
      <c r="A116" s="2989" t="s">
        <v>303</v>
      </c>
      <c r="B116" s="2978" t="s">
        <v>2970</v>
      </c>
      <c r="C116" s="2979">
        <v>0.1</v>
      </c>
      <c r="D116" s="2979">
        <v>0.1</v>
      </c>
      <c r="E116" s="2990"/>
      <c r="F116" s="2990"/>
      <c r="G116" s="2980">
        <v>0.1</v>
      </c>
    </row>
    <row r="117" spans="1:7">
      <c r="A117" s="2989" t="s">
        <v>303</v>
      </c>
      <c r="B117" s="2978" t="s">
        <v>2977</v>
      </c>
      <c r="C117" s="2979">
        <v>9.7000000000000003E-2</v>
      </c>
      <c r="D117" s="2979">
        <v>9.7000000000000003E-2</v>
      </c>
      <c r="E117" s="2990"/>
      <c r="F117" s="2990"/>
      <c r="G117" s="2980">
        <v>9.7000000000000003E-2</v>
      </c>
    </row>
    <row r="118" spans="1:7">
      <c r="A118" s="2989" t="s">
        <v>303</v>
      </c>
      <c r="B118" s="2978" t="s">
        <v>2982</v>
      </c>
      <c r="C118" s="2979">
        <v>0.1</v>
      </c>
      <c r="D118" s="2979">
        <v>0.1</v>
      </c>
      <c r="E118" s="2990"/>
      <c r="F118" s="2990"/>
      <c r="G118" s="2980">
        <v>0.1</v>
      </c>
    </row>
    <row r="119" spans="1:7">
      <c r="A119" s="2989" t="s">
        <v>303</v>
      </c>
      <c r="B119" s="2978" t="s">
        <v>2986</v>
      </c>
      <c r="C119" s="2979">
        <v>5.0999999999999997E-2</v>
      </c>
      <c r="D119" s="2979">
        <v>5.1999999999999998E-2</v>
      </c>
      <c r="E119" s="2990"/>
      <c r="F119" s="2995"/>
      <c r="G119" s="2980">
        <v>0.06</v>
      </c>
    </row>
    <row r="120" spans="1:7">
      <c r="A120" s="2989" t="s">
        <v>303</v>
      </c>
      <c r="B120" s="2978" t="s">
        <v>2990</v>
      </c>
      <c r="C120" s="2990"/>
      <c r="D120" s="2990"/>
      <c r="E120" s="2990"/>
      <c r="F120" s="2979">
        <v>0.1</v>
      </c>
      <c r="G120" s="2996"/>
    </row>
    <row r="121" spans="1:7">
      <c r="A121" s="2989" t="s">
        <v>303</v>
      </c>
      <c r="B121" s="2978" t="s">
        <v>2995</v>
      </c>
      <c r="C121" s="2990"/>
      <c r="D121" s="2990"/>
      <c r="E121" s="2990"/>
      <c r="F121" s="2979">
        <v>0.1</v>
      </c>
      <c r="G121" s="2996"/>
    </row>
    <row r="122" spans="1:7">
      <c r="A122" s="2989" t="s">
        <v>303</v>
      </c>
      <c r="B122" s="2978" t="s">
        <v>3000</v>
      </c>
      <c r="C122" s="2979">
        <v>0.1</v>
      </c>
      <c r="D122" s="2979">
        <v>0.1</v>
      </c>
      <c r="E122" s="2979">
        <v>9.8000000000000004E-2</v>
      </c>
      <c r="F122" s="2979">
        <v>0.1</v>
      </c>
      <c r="G122" s="2980">
        <v>0.1</v>
      </c>
    </row>
    <row r="123" spans="1:7">
      <c r="A123" s="2989" t="s">
        <v>303</v>
      </c>
      <c r="B123" s="2978" t="s">
        <v>3005</v>
      </c>
      <c r="C123" s="2979">
        <v>0.1</v>
      </c>
      <c r="D123" s="2979">
        <v>0.1</v>
      </c>
      <c r="E123" s="2979">
        <v>9.8000000000000004E-2</v>
      </c>
      <c r="F123" s="2979">
        <v>0.1</v>
      </c>
      <c r="G123" s="2980">
        <v>0.1</v>
      </c>
    </row>
    <row r="124" spans="1:7">
      <c r="A124" s="2989" t="s">
        <v>303</v>
      </c>
      <c r="B124" s="2978" t="s">
        <v>3010</v>
      </c>
      <c r="C124" s="2979">
        <v>0.1</v>
      </c>
      <c r="D124" s="2979">
        <v>0.1</v>
      </c>
      <c r="E124" s="2979">
        <v>9.8000000000000004E-2</v>
      </c>
      <c r="F124" s="2995"/>
      <c r="G124" s="2980">
        <v>0.1</v>
      </c>
    </row>
    <row r="125" spans="1:7">
      <c r="A125" s="2989" t="s">
        <v>303</v>
      </c>
      <c r="B125" s="2978" t="s">
        <v>3015</v>
      </c>
      <c r="C125" s="2979">
        <v>9.8000000000000004E-2</v>
      </c>
      <c r="D125" s="2979">
        <v>9.8000000000000004E-2</v>
      </c>
      <c r="E125" s="2979">
        <v>9.6000000000000002E-2</v>
      </c>
      <c r="F125" s="2995"/>
      <c r="G125" s="2980">
        <v>0.1</v>
      </c>
    </row>
    <row r="126" spans="1:7" ht="14.25" thickBot="1">
      <c r="A126" s="2992" t="s">
        <v>303</v>
      </c>
      <c r="B126" s="2982" t="s">
        <v>3181</v>
      </c>
      <c r="C126" s="2983">
        <v>0.1</v>
      </c>
      <c r="D126" s="2983">
        <v>0.1</v>
      </c>
      <c r="E126" s="2983">
        <v>9.8000000000000004E-2</v>
      </c>
      <c r="F126" s="2983">
        <v>0.1</v>
      </c>
      <c r="G126" s="2985">
        <v>0.1</v>
      </c>
    </row>
    <row r="127" spans="1:7">
      <c r="A127" s="2988" t="s">
        <v>29</v>
      </c>
      <c r="B127" s="2974" t="s">
        <v>2858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2928</v>
      </c>
      <c r="C148" s="2979">
        <v>0.13</v>
      </c>
      <c r="D148" s="2979">
        <v>0.13</v>
      </c>
      <c r="E148" s="2979">
        <v>0.13</v>
      </c>
      <c r="F148" s="2990"/>
      <c r="G148" s="2980">
        <v>0.13</v>
      </c>
    </row>
    <row r="149" spans="1:7">
      <c r="A149" s="2989" t="s">
        <v>29</v>
      </c>
      <c r="B149" s="2978" t="s">
        <v>2932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2951</v>
      </c>
      <c r="C153" s="2979">
        <v>0.13</v>
      </c>
      <c r="D153" s="2979">
        <v>0.13</v>
      </c>
      <c r="E153" s="2979">
        <v>0.13</v>
      </c>
      <c r="F153" s="2979">
        <v>0.13</v>
      </c>
      <c r="G153" s="2980">
        <v>0.13</v>
      </c>
    </row>
    <row r="154" spans="1:7">
      <c r="A154" s="2989" t="s">
        <v>29</v>
      </c>
      <c r="B154" s="2978" t="s">
        <v>2958</v>
      </c>
      <c r="C154" s="2979">
        <v>0.121</v>
      </c>
      <c r="D154" s="2979">
        <v>0.121</v>
      </c>
      <c r="E154" s="2979">
        <v>0.105</v>
      </c>
      <c r="F154" s="2979">
        <v>0.121</v>
      </c>
      <c r="G154" s="2980">
        <v>0.123</v>
      </c>
    </row>
    <row r="155" spans="1:7">
      <c r="A155" s="2989" t="s">
        <v>29</v>
      </c>
      <c r="B155" s="2978" t="s">
        <v>2964</v>
      </c>
      <c r="C155" s="2979">
        <v>0.1</v>
      </c>
      <c r="D155" s="2979">
        <v>0.1</v>
      </c>
      <c r="E155" s="2979">
        <v>0.1</v>
      </c>
      <c r="F155" s="2979">
        <v>0.1</v>
      </c>
      <c r="G155" s="2980">
        <v>0.1</v>
      </c>
    </row>
    <row r="156" spans="1:7">
      <c r="A156" s="2989" t="s">
        <v>29</v>
      </c>
      <c r="B156" s="2978" t="s">
        <v>2971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2991</v>
      </c>
      <c r="C160" s="2979">
        <v>0.13</v>
      </c>
      <c r="D160" s="2979">
        <v>0.13</v>
      </c>
      <c r="E160" s="2979">
        <v>0.124</v>
      </c>
      <c r="F160" s="2979">
        <v>0.126</v>
      </c>
      <c r="G160" s="2980">
        <v>0.13</v>
      </c>
    </row>
    <row r="161" spans="1:7">
      <c r="A161" s="2989" t="s">
        <v>29</v>
      </c>
      <c r="B161" s="2978" t="s">
        <v>2996</v>
      </c>
      <c r="C161" s="2979">
        <v>0.13</v>
      </c>
      <c r="D161" s="2979">
        <v>0.13</v>
      </c>
      <c r="E161" s="2979">
        <v>0.124</v>
      </c>
      <c r="F161" s="2979">
        <v>0.127</v>
      </c>
      <c r="G161" s="2980">
        <v>0.13</v>
      </c>
    </row>
    <row r="162" spans="1:7">
      <c r="A162" s="2989" t="s">
        <v>29</v>
      </c>
      <c r="B162" s="2978" t="s">
        <v>3001</v>
      </c>
      <c r="C162" s="2979">
        <v>0.1</v>
      </c>
      <c r="D162" s="2979">
        <v>0.1</v>
      </c>
      <c r="E162" s="2979">
        <v>0.1</v>
      </c>
      <c r="F162" s="2979">
        <v>0.121</v>
      </c>
      <c r="G162" s="2980">
        <v>0.105</v>
      </c>
    </row>
    <row r="163" spans="1:7">
      <c r="A163" s="2989" t="s">
        <v>29</v>
      </c>
      <c r="B163" s="2978" t="s">
        <v>3006</v>
      </c>
      <c r="C163" s="2979">
        <v>0.1</v>
      </c>
      <c r="D163" s="2979">
        <v>0.1</v>
      </c>
      <c r="E163" s="2979">
        <v>0.1</v>
      </c>
      <c r="F163" s="2979">
        <v>0.1</v>
      </c>
      <c r="G163" s="2980">
        <v>0.1</v>
      </c>
    </row>
    <row r="164" spans="1:7">
      <c r="A164" s="2989" t="s">
        <v>29</v>
      </c>
      <c r="B164" s="2978" t="s">
        <v>3011</v>
      </c>
      <c r="C164" s="2995"/>
      <c r="D164" s="2995"/>
      <c r="E164" s="2995"/>
      <c r="F164" s="2979">
        <v>0.1</v>
      </c>
      <c r="G164" s="2991"/>
    </row>
    <row r="165" spans="1:7">
      <c r="A165" s="2989" t="s">
        <v>29</v>
      </c>
      <c r="B165" s="2978" t="s">
        <v>3182</v>
      </c>
      <c r="C165" s="2979">
        <v>0.126</v>
      </c>
      <c r="D165" s="2979">
        <v>0.126</v>
      </c>
      <c r="E165" s="2979">
        <v>0.11899999999999999</v>
      </c>
      <c r="F165" s="2979">
        <v>0.13</v>
      </c>
      <c r="G165" s="2980">
        <v>0.128</v>
      </c>
    </row>
    <row r="166" spans="1:7">
      <c r="A166" s="2989" t="s">
        <v>29</v>
      </c>
      <c r="B166" s="2978" t="s">
        <v>3021</v>
      </c>
      <c r="C166" s="2979">
        <v>0.129</v>
      </c>
      <c r="D166" s="2979">
        <v>0.129</v>
      </c>
      <c r="E166" s="2979">
        <v>0.123</v>
      </c>
      <c r="F166" s="2979">
        <v>0.128</v>
      </c>
      <c r="G166" s="2980">
        <v>0.13</v>
      </c>
    </row>
    <row r="167" spans="1:7">
      <c r="A167" s="2989" t="s">
        <v>29</v>
      </c>
      <c r="B167" s="2978" t="s">
        <v>3025</v>
      </c>
      <c r="C167" s="2979">
        <v>0.125</v>
      </c>
      <c r="D167" s="2979">
        <v>0.125</v>
      </c>
      <c r="E167" s="2979">
        <v>0.11700000000000001</v>
      </c>
      <c r="F167" s="2979">
        <v>0.13</v>
      </c>
      <c r="G167" s="2980">
        <v>0.126</v>
      </c>
    </row>
    <row r="168" spans="1:7">
      <c r="A168" s="2989" t="s">
        <v>29</v>
      </c>
      <c r="B168" s="2978" t="s">
        <v>3030</v>
      </c>
      <c r="C168" s="2979">
        <v>0.128</v>
      </c>
      <c r="D168" s="2979">
        <v>0.128</v>
      </c>
      <c r="E168" s="2979">
        <v>0.123</v>
      </c>
      <c r="F168" s="2990"/>
      <c r="G168" s="2980">
        <v>0.13</v>
      </c>
    </row>
    <row r="169" spans="1:7">
      <c r="A169" s="2989" t="s">
        <v>29</v>
      </c>
      <c r="B169" s="2978" t="s">
        <v>3183</v>
      </c>
      <c r="C169" s="2995"/>
      <c r="D169" s="2995"/>
      <c r="E169" s="2995"/>
      <c r="F169" s="2979">
        <v>0.05</v>
      </c>
      <c r="G169" s="2991"/>
    </row>
    <row r="170" spans="1:7">
      <c r="A170" s="2989" t="s">
        <v>29</v>
      </c>
      <c r="B170" s="2978" t="s">
        <v>3184</v>
      </c>
      <c r="C170" s="2995"/>
      <c r="D170" s="2995"/>
      <c r="E170" s="2995"/>
      <c r="F170" s="2979">
        <v>0.05</v>
      </c>
      <c r="G170" s="2991"/>
    </row>
    <row r="171" spans="1:7">
      <c r="A171" s="2989" t="s">
        <v>29</v>
      </c>
      <c r="B171" s="2978" t="s">
        <v>3185</v>
      </c>
      <c r="C171" s="2995"/>
      <c r="D171" s="2995"/>
      <c r="E171" s="2995"/>
      <c r="F171" s="2979">
        <v>0.05</v>
      </c>
      <c r="G171" s="2996"/>
    </row>
    <row r="172" spans="1:7">
      <c r="A172" s="2989" t="s">
        <v>29</v>
      </c>
      <c r="B172" s="2978" t="s">
        <v>3186</v>
      </c>
      <c r="C172" s="2995"/>
      <c r="D172" s="2995"/>
      <c r="E172" s="2995"/>
      <c r="F172" s="2979">
        <v>0.05</v>
      </c>
      <c r="G172" s="2996"/>
    </row>
    <row r="173" spans="1:7">
      <c r="A173" s="2989" t="s">
        <v>29</v>
      </c>
      <c r="B173" s="2978" t="s">
        <v>3187</v>
      </c>
      <c r="C173" s="2995"/>
      <c r="D173" s="2995"/>
      <c r="E173" s="2995"/>
      <c r="F173" s="2979">
        <v>0.05</v>
      </c>
      <c r="G173" s="2991"/>
    </row>
    <row r="174" spans="1:7">
      <c r="A174" s="2989" t="s">
        <v>29</v>
      </c>
      <c r="B174" s="2978" t="s">
        <v>3188</v>
      </c>
      <c r="C174" s="2995"/>
      <c r="D174" s="2995"/>
      <c r="E174" s="2995"/>
      <c r="F174" s="2979">
        <v>0.05</v>
      </c>
      <c r="G174" s="2991"/>
    </row>
    <row r="175" spans="1:7">
      <c r="A175" s="2989" t="s">
        <v>29</v>
      </c>
      <c r="B175" s="2978" t="s">
        <v>3189</v>
      </c>
      <c r="C175" s="2995"/>
      <c r="D175" s="2995"/>
      <c r="E175" s="2995"/>
      <c r="F175" s="2979">
        <v>0.05</v>
      </c>
      <c r="G175" s="2991"/>
    </row>
    <row r="176" spans="1:7">
      <c r="A176" s="2989" t="s">
        <v>29</v>
      </c>
      <c r="B176" s="2978" t="s">
        <v>3190</v>
      </c>
      <c r="C176" s="2995"/>
      <c r="D176" s="2995"/>
      <c r="E176" s="2995"/>
      <c r="F176" s="2979">
        <v>0.05</v>
      </c>
      <c r="G176" s="2991"/>
    </row>
    <row r="177" spans="1:7">
      <c r="A177" s="2989" t="s">
        <v>29</v>
      </c>
      <c r="B177" s="2978" t="s">
        <v>3191</v>
      </c>
      <c r="C177" s="2990"/>
      <c r="D177" s="2990"/>
      <c r="E177" s="2990"/>
      <c r="F177" s="2979">
        <v>0.05</v>
      </c>
      <c r="G177" s="2996"/>
    </row>
    <row r="178" spans="1:7">
      <c r="A178" s="2989" t="s">
        <v>29</v>
      </c>
      <c r="B178" s="2978" t="s">
        <v>3192</v>
      </c>
      <c r="C178" s="2990"/>
      <c r="D178" s="2990"/>
      <c r="E178" s="2990"/>
      <c r="F178" s="2979">
        <v>0.05</v>
      </c>
      <c r="G178" s="2996"/>
    </row>
    <row r="179" spans="1:7">
      <c r="A179" s="2989" t="s">
        <v>29</v>
      </c>
      <c r="B179" s="2978" t="s">
        <v>3193</v>
      </c>
      <c r="C179" s="2990"/>
      <c r="D179" s="2990"/>
      <c r="E179" s="2990"/>
      <c r="F179" s="2979">
        <v>0.05</v>
      </c>
      <c r="G179" s="2996"/>
    </row>
    <row r="180" spans="1:7">
      <c r="A180" s="2989" t="s">
        <v>29</v>
      </c>
      <c r="B180" s="2978" t="s">
        <v>3194</v>
      </c>
      <c r="C180" s="2990"/>
      <c r="D180" s="2990"/>
      <c r="E180" s="2990"/>
      <c r="F180" s="2979">
        <v>0.05</v>
      </c>
      <c r="G180" s="2996"/>
    </row>
    <row r="181" spans="1:7">
      <c r="A181" s="2989" t="s">
        <v>29</v>
      </c>
      <c r="B181" s="2978" t="s">
        <v>3195</v>
      </c>
      <c r="C181" s="2990"/>
      <c r="D181" s="2990"/>
      <c r="E181" s="2990"/>
      <c r="F181" s="2979">
        <v>0.05</v>
      </c>
      <c r="G181" s="2996"/>
    </row>
    <row r="182" spans="1:7">
      <c r="A182" s="2989" t="s">
        <v>29</v>
      </c>
      <c r="B182" s="2978" t="s">
        <v>3196</v>
      </c>
      <c r="C182" s="2990"/>
      <c r="D182" s="2990"/>
      <c r="E182" s="2990"/>
      <c r="F182" s="2979">
        <v>0.05</v>
      </c>
      <c r="G182" s="2996"/>
    </row>
    <row r="183" spans="1:7">
      <c r="A183" s="2989" t="s">
        <v>29</v>
      </c>
      <c r="B183" s="2978" t="s">
        <v>3197</v>
      </c>
      <c r="C183" s="2990"/>
      <c r="D183" s="2990"/>
      <c r="E183" s="2990"/>
      <c r="F183" s="2979">
        <v>0.05</v>
      </c>
      <c r="G183" s="2996"/>
    </row>
    <row r="184" spans="1:7">
      <c r="A184" s="2989" t="s">
        <v>29</v>
      </c>
      <c r="B184" s="2978" t="s">
        <v>3198</v>
      </c>
      <c r="C184" s="2990"/>
      <c r="D184" s="2990"/>
      <c r="E184" s="2990"/>
      <c r="F184" s="2979">
        <v>0.05</v>
      </c>
      <c r="G184" s="2996"/>
    </row>
    <row r="185" spans="1:7">
      <c r="A185" s="2989" t="s">
        <v>29</v>
      </c>
      <c r="B185" s="2978" t="s">
        <v>3199</v>
      </c>
      <c r="C185" s="2990"/>
      <c r="D185" s="2990"/>
      <c r="E185" s="2990"/>
      <c r="F185" s="2979">
        <v>0.05</v>
      </c>
      <c r="G185" s="2996"/>
    </row>
    <row r="186" spans="1:7">
      <c r="A186" s="2989" t="s">
        <v>29</v>
      </c>
      <c r="B186" s="2978" t="s">
        <v>3200</v>
      </c>
      <c r="C186" s="2990"/>
      <c r="D186" s="2990"/>
      <c r="E186" s="2990"/>
      <c r="F186" s="2979">
        <v>0.05</v>
      </c>
      <c r="G186" s="2996"/>
    </row>
    <row r="187" spans="1:7">
      <c r="A187" s="2989" t="s">
        <v>29</v>
      </c>
      <c r="B187" s="2978" t="s">
        <v>3201</v>
      </c>
      <c r="C187" s="2990"/>
      <c r="D187" s="2990"/>
      <c r="E187" s="2990"/>
      <c r="F187" s="2979">
        <v>0.05</v>
      </c>
      <c r="G187" s="2996"/>
    </row>
    <row r="188" spans="1:7">
      <c r="A188" s="2989" t="s">
        <v>29</v>
      </c>
      <c r="B188" s="2978" t="s">
        <v>3202</v>
      </c>
      <c r="C188" s="2990"/>
      <c r="D188" s="2990"/>
      <c r="E188" s="2990"/>
      <c r="F188" s="2979">
        <v>0.05</v>
      </c>
      <c r="G188" s="2996"/>
    </row>
    <row r="189" spans="1:7" ht="14.25" thickBot="1">
      <c r="A189" s="2992" t="s">
        <v>29</v>
      </c>
      <c r="B189" s="2982" t="s">
        <v>3203</v>
      </c>
      <c r="C189" s="2984"/>
      <c r="D189" s="2984"/>
      <c r="E189" s="2984"/>
      <c r="F189" s="2983">
        <v>0.05</v>
      </c>
      <c r="G189" s="2997"/>
    </row>
    <row r="190" spans="1:7">
      <c r="A190" s="2988" t="s">
        <v>304</v>
      </c>
      <c r="B190" s="2974" t="s">
        <v>2859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2895</v>
      </c>
      <c r="C199" s="2979">
        <v>0.13</v>
      </c>
      <c r="D199" s="2979">
        <v>0.13</v>
      </c>
      <c r="E199" s="2979">
        <v>0.13</v>
      </c>
      <c r="F199" s="2979">
        <v>0.13</v>
      </c>
      <c r="G199" s="2980">
        <v>0.13</v>
      </c>
    </row>
    <row r="200" spans="1:7">
      <c r="A200" s="2989" t="s">
        <v>304</v>
      </c>
      <c r="B200" s="2978" t="s">
        <v>2898</v>
      </c>
      <c r="C200" s="2995"/>
      <c r="D200" s="2995"/>
      <c r="E200" s="2995"/>
      <c r="F200" s="2979">
        <v>0.13</v>
      </c>
      <c r="G200" s="2991"/>
    </row>
    <row r="201" spans="1:7">
      <c r="A201" s="2989" t="s">
        <v>304</v>
      </c>
      <c r="B201" s="2978" t="s">
        <v>2903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2906</v>
      </c>
      <c r="C203" s="2979">
        <v>0.129</v>
      </c>
      <c r="D203" s="2979">
        <v>0.129</v>
      </c>
      <c r="E203" s="2979">
        <v>0.13</v>
      </c>
      <c r="F203" s="2979">
        <v>0.13</v>
      </c>
      <c r="G203" s="2980">
        <v>0.13</v>
      </c>
    </row>
    <row r="204" spans="1:7">
      <c r="A204" s="2989" t="s">
        <v>304</v>
      </c>
      <c r="B204" s="2978" t="s">
        <v>2909</v>
      </c>
      <c r="C204" s="2979">
        <v>0.129</v>
      </c>
      <c r="D204" s="2979">
        <v>0.129</v>
      </c>
      <c r="E204" s="2979">
        <v>0.123</v>
      </c>
      <c r="F204" s="2979">
        <v>0.13</v>
      </c>
      <c r="G204" s="2980">
        <v>0.13</v>
      </c>
    </row>
    <row r="205" spans="1:7">
      <c r="A205" s="2989" t="s">
        <v>304</v>
      </c>
      <c r="B205" s="2978" t="s">
        <v>2911</v>
      </c>
      <c r="C205" s="2979">
        <v>0.13</v>
      </c>
      <c r="D205" s="2979">
        <v>0.13</v>
      </c>
      <c r="E205" s="2979">
        <v>0.13</v>
      </c>
      <c r="F205" s="2979">
        <v>0.13</v>
      </c>
      <c r="G205" s="2980">
        <v>0.13</v>
      </c>
    </row>
    <row r="206" spans="1:7">
      <c r="A206" s="2989" t="s">
        <v>304</v>
      </c>
      <c r="B206" s="2978" t="s">
        <v>2914</v>
      </c>
      <c r="C206" s="2979">
        <v>0.13</v>
      </c>
      <c r="D206" s="2979">
        <v>0.13</v>
      </c>
      <c r="E206" s="2979">
        <v>0.13</v>
      </c>
      <c r="F206" s="2979">
        <v>0.128</v>
      </c>
      <c r="G206" s="2980">
        <v>0.13</v>
      </c>
    </row>
    <row r="207" spans="1:7">
      <c r="A207" s="2989" t="s">
        <v>304</v>
      </c>
      <c r="B207" s="2978" t="s">
        <v>2916</v>
      </c>
      <c r="C207" s="2979">
        <v>0.13</v>
      </c>
      <c r="D207" s="2979">
        <v>0.13</v>
      </c>
      <c r="E207" s="2979">
        <v>0.13</v>
      </c>
      <c r="F207" s="2979">
        <v>0.13</v>
      </c>
      <c r="G207" s="2980">
        <v>0.13</v>
      </c>
    </row>
    <row r="208" spans="1:7">
      <c r="A208" s="2989" t="s">
        <v>304</v>
      </c>
      <c r="B208" s="2978" t="s">
        <v>2919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2926</v>
      </c>
      <c r="C210" s="2979">
        <v>0.121</v>
      </c>
      <c r="D210" s="2979">
        <v>0.121</v>
      </c>
      <c r="E210" s="2979">
        <v>0.125</v>
      </c>
      <c r="F210" s="2979">
        <v>0.13</v>
      </c>
      <c r="G210" s="2980">
        <v>0.123</v>
      </c>
    </row>
    <row r="211" spans="1:7">
      <c r="A211" s="2989" t="s">
        <v>304</v>
      </c>
      <c r="B211" s="2978" t="s">
        <v>2929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2941</v>
      </c>
      <c r="C214" s="2979">
        <v>0.128</v>
      </c>
      <c r="D214" s="2979">
        <v>0.128</v>
      </c>
      <c r="E214" s="2979">
        <v>0.13</v>
      </c>
      <c r="F214" s="2979">
        <v>0.13</v>
      </c>
      <c r="G214" s="2980">
        <v>0.13</v>
      </c>
    </row>
    <row r="215" spans="1:7">
      <c r="A215" s="2989" t="s">
        <v>304</v>
      </c>
      <c r="B215" s="2978" t="s">
        <v>2945</v>
      </c>
      <c r="C215" s="2979">
        <v>0.13</v>
      </c>
      <c r="D215" s="2979">
        <v>0.13</v>
      </c>
      <c r="E215" s="2979">
        <v>0.13</v>
      </c>
      <c r="F215" s="2979">
        <v>0.129</v>
      </c>
      <c r="G215" s="2980">
        <v>0.13</v>
      </c>
    </row>
    <row r="216" spans="1:7">
      <c r="A216" s="2989" t="s">
        <v>304</v>
      </c>
      <c r="B216" s="2978" t="s">
        <v>2952</v>
      </c>
      <c r="C216" s="2979">
        <v>0.13</v>
      </c>
      <c r="D216" s="2979">
        <v>0.13</v>
      </c>
      <c r="E216" s="2979">
        <v>0.13</v>
      </c>
      <c r="F216" s="2979">
        <v>0.13</v>
      </c>
      <c r="G216" s="2980">
        <v>0.13</v>
      </c>
    </row>
    <row r="217" spans="1:7">
      <c r="A217" s="2989" t="s">
        <v>304</v>
      </c>
      <c r="B217" s="2978" t="s">
        <v>2959</v>
      </c>
      <c r="C217" s="2979">
        <v>0.129</v>
      </c>
      <c r="D217" s="2979">
        <v>0.129</v>
      </c>
      <c r="E217" s="2979">
        <v>0.13</v>
      </c>
      <c r="F217" s="2979">
        <v>0.13</v>
      </c>
      <c r="G217" s="2980">
        <v>0.13</v>
      </c>
    </row>
    <row r="218" spans="1:7">
      <c r="A218" s="2989" t="s">
        <v>304</v>
      </c>
      <c r="B218" s="2978" t="s">
        <v>2965</v>
      </c>
      <c r="C218" s="2990"/>
      <c r="D218" s="2990"/>
      <c r="E218" s="2990"/>
      <c r="F218" s="2979">
        <v>0.05</v>
      </c>
      <c r="G218" s="2996"/>
    </row>
    <row r="219" spans="1:7">
      <c r="A219" s="2989" t="s">
        <v>304</v>
      </c>
      <c r="B219" s="2978" t="s">
        <v>2972</v>
      </c>
      <c r="C219" s="2990"/>
      <c r="D219" s="2990"/>
      <c r="E219" s="2990"/>
      <c r="F219" s="2979">
        <v>0.05</v>
      </c>
      <c r="G219" s="2996"/>
    </row>
    <row r="220" spans="1:7">
      <c r="A220" s="2989" t="s">
        <v>304</v>
      </c>
      <c r="B220" s="2978" t="s">
        <v>2978</v>
      </c>
      <c r="C220" s="2990"/>
      <c r="D220" s="2990"/>
      <c r="E220" s="2990"/>
      <c r="F220" s="2979">
        <v>0.05</v>
      </c>
      <c r="G220" s="2996"/>
    </row>
    <row r="221" spans="1:7">
      <c r="A221" s="2989" t="s">
        <v>304</v>
      </c>
      <c r="B221" s="2978" t="s">
        <v>2983</v>
      </c>
      <c r="C221" s="2990"/>
      <c r="D221" s="2990"/>
      <c r="E221" s="2990"/>
      <c r="F221" s="2979">
        <v>0.05</v>
      </c>
      <c r="G221" s="2996"/>
    </row>
    <row r="222" spans="1:7">
      <c r="A222" s="2989" t="s">
        <v>304</v>
      </c>
      <c r="B222" s="2978" t="s">
        <v>2987</v>
      </c>
      <c r="C222" s="2990"/>
      <c r="D222" s="2990"/>
      <c r="E222" s="2990"/>
      <c r="F222" s="2979">
        <v>0.05</v>
      </c>
      <c r="G222" s="2996"/>
    </row>
    <row r="223" spans="1:7">
      <c r="A223" s="2989" t="s">
        <v>304</v>
      </c>
      <c r="B223" s="2978" t="s">
        <v>2992</v>
      </c>
      <c r="C223" s="2990"/>
      <c r="D223" s="2990"/>
      <c r="E223" s="2990"/>
      <c r="F223" s="2979">
        <v>0.05</v>
      </c>
      <c r="G223" s="2996"/>
    </row>
    <row r="224" spans="1:7">
      <c r="A224" s="2989" t="s">
        <v>304</v>
      </c>
      <c r="B224" s="2978" t="s">
        <v>2997</v>
      </c>
      <c r="C224" s="2990"/>
      <c r="D224" s="2990"/>
      <c r="E224" s="2990"/>
      <c r="F224" s="2979">
        <v>0.05</v>
      </c>
      <c r="G224" s="2996"/>
    </row>
    <row r="225" spans="1:7">
      <c r="A225" s="2989" t="s">
        <v>304</v>
      </c>
      <c r="B225" s="2978" t="s">
        <v>3002</v>
      </c>
      <c r="C225" s="2990"/>
      <c r="D225" s="2990"/>
      <c r="E225" s="2990"/>
      <c r="F225" s="2979">
        <v>0.05</v>
      </c>
      <c r="G225" s="2996"/>
    </row>
    <row r="226" spans="1:7">
      <c r="A226" s="2989" t="s">
        <v>304</v>
      </c>
      <c r="B226" s="2978" t="s">
        <v>3204</v>
      </c>
      <c r="C226" s="2990"/>
      <c r="D226" s="2990"/>
      <c r="E226" s="2990"/>
      <c r="F226" s="2979">
        <v>0.05</v>
      </c>
      <c r="G226" s="2996"/>
    </row>
    <row r="227" spans="1:7">
      <c r="A227" s="2989" t="s">
        <v>304</v>
      </c>
      <c r="B227" s="2978" t="s">
        <v>3205</v>
      </c>
      <c r="C227" s="2990"/>
      <c r="D227" s="2990"/>
      <c r="E227" s="2990"/>
      <c r="F227" s="2979">
        <v>0.05</v>
      </c>
      <c r="G227" s="2996"/>
    </row>
    <row r="228" spans="1:7">
      <c r="A228" s="2989" t="s">
        <v>304</v>
      </c>
      <c r="B228" s="2978" t="s">
        <v>3206</v>
      </c>
      <c r="C228" s="2990"/>
      <c r="D228" s="2990"/>
      <c r="E228" s="2990"/>
      <c r="F228" s="2979">
        <v>0.05</v>
      </c>
      <c r="G228" s="2996"/>
    </row>
    <row r="229" spans="1:7">
      <c r="A229" s="2989" t="s">
        <v>304</v>
      </c>
      <c r="B229" s="2978" t="s">
        <v>3207</v>
      </c>
      <c r="C229" s="2990"/>
      <c r="D229" s="2990"/>
      <c r="E229" s="2990"/>
      <c r="F229" s="2979">
        <v>0.05</v>
      </c>
      <c r="G229" s="2996"/>
    </row>
    <row r="230" spans="1:7">
      <c r="A230" s="2989" t="s">
        <v>304</v>
      </c>
      <c r="B230" s="2978" t="s">
        <v>3208</v>
      </c>
      <c r="C230" s="2990"/>
      <c r="D230" s="2990"/>
      <c r="E230" s="2990"/>
      <c r="F230" s="2979">
        <v>0.05</v>
      </c>
      <c r="G230" s="2996"/>
    </row>
    <row r="231" spans="1:7">
      <c r="A231" s="2989" t="s">
        <v>304</v>
      </c>
      <c r="B231" s="2978" t="s">
        <v>3209</v>
      </c>
      <c r="C231" s="2990"/>
      <c r="D231" s="2990"/>
      <c r="E231" s="2990"/>
      <c r="F231" s="2979">
        <v>0.05</v>
      </c>
      <c r="G231" s="2996"/>
    </row>
    <row r="232" spans="1:7">
      <c r="A232" s="2989" t="s">
        <v>304</v>
      </c>
      <c r="B232" s="2978" t="s">
        <v>3210</v>
      </c>
      <c r="C232" s="2990"/>
      <c r="D232" s="2990"/>
      <c r="E232" s="2990"/>
      <c r="F232" s="2979">
        <v>0.05</v>
      </c>
      <c r="G232" s="2996"/>
    </row>
    <row r="233" spans="1:7" ht="14.25" thickBot="1">
      <c r="A233" s="2992" t="s">
        <v>304</v>
      </c>
      <c r="B233" s="2982" t="s">
        <v>3211</v>
      </c>
      <c r="C233" s="2984"/>
      <c r="D233" s="2984"/>
      <c r="E233" s="2984"/>
      <c r="F233" s="2983">
        <v>0.05</v>
      </c>
      <c r="G233" s="2997"/>
    </row>
    <row r="234" spans="1:7">
      <c r="A234" s="2988" t="s">
        <v>305</v>
      </c>
      <c r="B234" s="2974" t="s">
        <v>2860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2880</v>
      </c>
      <c r="C238" s="2979">
        <v>0.14899999999999999</v>
      </c>
      <c r="D238" s="2979">
        <v>0.14899999999999999</v>
      </c>
      <c r="E238" s="2979">
        <v>0.15</v>
      </c>
      <c r="F238" s="2979">
        <v>0.15</v>
      </c>
      <c r="G238" s="2980">
        <v>0.15</v>
      </c>
    </row>
    <row r="239" spans="1:7">
      <c r="A239" s="2989" t="s">
        <v>305</v>
      </c>
      <c r="B239" s="2978" t="s">
        <v>2884</v>
      </c>
      <c r="C239" s="2979">
        <v>0.15</v>
      </c>
      <c r="D239" s="2979">
        <v>0.15</v>
      </c>
      <c r="E239" s="2979">
        <v>0.15</v>
      </c>
      <c r="F239" s="2979">
        <v>0.15</v>
      </c>
      <c r="G239" s="2980">
        <v>0.15</v>
      </c>
    </row>
    <row r="240" spans="1:7">
      <c r="A240" s="2989" t="s">
        <v>305</v>
      </c>
      <c r="B240" s="2978" t="s">
        <v>2889</v>
      </c>
      <c r="C240" s="2979">
        <v>0.15</v>
      </c>
      <c r="D240" s="2979">
        <v>0.15</v>
      </c>
      <c r="E240" s="2979">
        <v>0.15</v>
      </c>
      <c r="F240" s="2979">
        <v>0.15</v>
      </c>
      <c r="G240" s="2980">
        <v>0.15</v>
      </c>
    </row>
    <row r="241" spans="1:7">
      <c r="A241" s="2989" t="s">
        <v>305</v>
      </c>
      <c r="B241" s="2978" t="s">
        <v>2893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2942</v>
      </c>
      <c r="C258" s="2979">
        <v>0.14299999999999999</v>
      </c>
      <c r="D258" s="2979">
        <v>0.14299999999999999</v>
      </c>
      <c r="E258" s="2979">
        <v>0.15</v>
      </c>
      <c r="F258" s="2979">
        <v>0.14799999999999999</v>
      </c>
      <c r="G258" s="2980">
        <v>0.14599999999999999</v>
      </c>
    </row>
    <row r="259" spans="1:7">
      <c r="A259" s="2989" t="s">
        <v>305</v>
      </c>
      <c r="B259" s="2978" t="s">
        <v>2946</v>
      </c>
      <c r="C259" s="2979">
        <v>0.14399999999999999</v>
      </c>
      <c r="D259" s="2979">
        <v>0.14399999999999999</v>
      </c>
      <c r="E259" s="2979">
        <v>0.14899999999999999</v>
      </c>
      <c r="F259" s="2979">
        <v>0.14699999999999999</v>
      </c>
      <c r="G259" s="2980">
        <v>0.14599999999999999</v>
      </c>
    </row>
    <row r="260" spans="1:7">
      <c r="A260" s="2989" t="s">
        <v>305</v>
      </c>
      <c r="B260" s="2978" t="s">
        <v>2953</v>
      </c>
      <c r="C260" s="2979">
        <v>0.109</v>
      </c>
      <c r="D260" s="2979">
        <v>0.111</v>
      </c>
      <c r="E260" s="2979">
        <v>0.13100000000000001</v>
      </c>
      <c r="F260" s="2979">
        <v>0.126</v>
      </c>
      <c r="G260" s="2980">
        <v>0.11899999999999999</v>
      </c>
    </row>
    <row r="261" spans="1:7">
      <c r="A261" s="2989" t="s">
        <v>305</v>
      </c>
      <c r="B261" s="2978" t="s">
        <v>2960</v>
      </c>
      <c r="C261" s="2979">
        <v>0.1</v>
      </c>
      <c r="D261" s="2979">
        <v>0.1</v>
      </c>
      <c r="E261" s="2979">
        <v>0.11799999999999999</v>
      </c>
      <c r="F261" s="2979">
        <v>0.108</v>
      </c>
      <c r="G261" s="2980">
        <v>0.107</v>
      </c>
    </row>
    <row r="262" spans="1:7">
      <c r="A262" s="2989" t="s">
        <v>305</v>
      </c>
      <c r="B262" s="2978" t="s">
        <v>2966</v>
      </c>
      <c r="C262" s="2979">
        <v>0.1</v>
      </c>
      <c r="D262" s="2979">
        <v>0.1</v>
      </c>
      <c r="E262" s="2979">
        <v>0.1</v>
      </c>
      <c r="F262" s="2979">
        <v>0.14099999999999999</v>
      </c>
      <c r="G262" s="2980">
        <v>0.1</v>
      </c>
    </row>
    <row r="263" spans="1:7">
      <c r="A263" s="2989" t="s">
        <v>305</v>
      </c>
      <c r="B263" s="2978" t="s">
        <v>2973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2984</v>
      </c>
      <c r="C265" s="2990"/>
      <c r="D265" s="2990"/>
      <c r="E265" s="2990"/>
      <c r="F265" s="2979">
        <v>0.05</v>
      </c>
      <c r="G265" s="2996"/>
    </row>
    <row r="266" spans="1:7">
      <c r="A266" s="2989" t="s">
        <v>305</v>
      </c>
      <c r="B266" s="2978" t="s">
        <v>2988</v>
      </c>
      <c r="C266" s="2990"/>
      <c r="D266" s="2990"/>
      <c r="E266" s="2990"/>
      <c r="F266" s="2979">
        <v>0.05</v>
      </c>
      <c r="G266" s="2996"/>
    </row>
    <row r="267" spans="1:7">
      <c r="A267" s="2989" t="s">
        <v>305</v>
      </c>
      <c r="B267" s="2978" t="s">
        <v>2993</v>
      </c>
      <c r="C267" s="2990"/>
      <c r="D267" s="2990"/>
      <c r="E267" s="2990"/>
      <c r="F267" s="2979">
        <v>0.05</v>
      </c>
      <c r="G267" s="2996"/>
    </row>
    <row r="268" spans="1:7">
      <c r="A268" s="2989" t="s">
        <v>305</v>
      </c>
      <c r="B268" s="2978" t="s">
        <v>2998</v>
      </c>
      <c r="C268" s="2990"/>
      <c r="D268" s="2990"/>
      <c r="E268" s="2990"/>
      <c r="F268" s="2979">
        <v>0.05</v>
      </c>
      <c r="G268" s="2996"/>
    </row>
    <row r="269" spans="1:7">
      <c r="A269" s="2989" t="s">
        <v>305</v>
      </c>
      <c r="B269" s="2978" t="s">
        <v>3003</v>
      </c>
      <c r="C269" s="2990"/>
      <c r="D269" s="2990"/>
      <c r="E269" s="2990"/>
      <c r="F269" s="2979">
        <v>0.05</v>
      </c>
      <c r="G269" s="2996"/>
    </row>
    <row r="270" spans="1:7">
      <c r="A270" s="2989" t="s">
        <v>305</v>
      </c>
      <c r="B270" s="2978" t="s">
        <v>3008</v>
      </c>
      <c r="C270" s="2990"/>
      <c r="D270" s="2990"/>
      <c r="E270" s="2990"/>
      <c r="F270" s="2979">
        <v>0.05</v>
      </c>
      <c r="G270" s="2996"/>
    </row>
    <row r="271" spans="1:7">
      <c r="A271" s="2989" t="s">
        <v>305</v>
      </c>
      <c r="B271" s="2978" t="s">
        <v>3212</v>
      </c>
      <c r="C271" s="2990"/>
      <c r="D271" s="2990"/>
      <c r="E271" s="2990"/>
      <c r="F271" s="2979">
        <v>0.05</v>
      </c>
      <c r="G271" s="2996"/>
    </row>
    <row r="272" spans="1:7">
      <c r="A272" s="2989" t="s">
        <v>305</v>
      </c>
      <c r="B272" s="2978" t="s">
        <v>3213</v>
      </c>
      <c r="C272" s="2990"/>
      <c r="D272" s="2990"/>
      <c r="E272" s="2990"/>
      <c r="F272" s="2979">
        <v>0.05</v>
      </c>
      <c r="G272" s="2996"/>
    </row>
    <row r="273" spans="1:7">
      <c r="A273" s="2989" t="s">
        <v>305</v>
      </c>
      <c r="B273" s="2978" t="s">
        <v>3214</v>
      </c>
      <c r="C273" s="2990"/>
      <c r="D273" s="2990"/>
      <c r="E273" s="2990"/>
      <c r="F273" s="2979">
        <v>0.05</v>
      </c>
      <c r="G273" s="2996"/>
    </row>
    <row r="274" spans="1:7">
      <c r="A274" s="2989" t="s">
        <v>305</v>
      </c>
      <c r="B274" s="2978" t="s">
        <v>3215</v>
      </c>
      <c r="C274" s="2990"/>
      <c r="D274" s="2990"/>
      <c r="E274" s="2990"/>
      <c r="F274" s="2979">
        <v>0.05</v>
      </c>
      <c r="G274" s="2996"/>
    </row>
    <row r="275" spans="1:7">
      <c r="A275" s="2989" t="s">
        <v>305</v>
      </c>
      <c r="B275" s="2978" t="s">
        <v>3216</v>
      </c>
      <c r="C275" s="2990"/>
      <c r="D275" s="2990"/>
      <c r="E275" s="2990"/>
      <c r="F275" s="2979">
        <v>0.05</v>
      </c>
      <c r="G275" s="2996"/>
    </row>
    <row r="276" spans="1:7" ht="14.25" thickBot="1">
      <c r="A276" s="2992" t="s">
        <v>305</v>
      </c>
      <c r="B276" s="2982" t="s">
        <v>3217</v>
      </c>
      <c r="C276" s="2984"/>
      <c r="D276" s="2984"/>
      <c r="E276" s="2984"/>
      <c r="F276" s="2983">
        <v>0.05</v>
      </c>
      <c r="G276" s="2997"/>
    </row>
    <row r="277" spans="1:7">
      <c r="A277" s="2988" t="s">
        <v>306</v>
      </c>
      <c r="B277" s="2974" t="s">
        <v>2861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2873</v>
      </c>
      <c r="C279" s="2979">
        <v>0.15</v>
      </c>
      <c r="D279" s="2979">
        <v>0.15</v>
      </c>
      <c r="E279" s="2979">
        <v>0.15</v>
      </c>
      <c r="F279" s="2979">
        <v>0.15</v>
      </c>
      <c r="G279" s="2980">
        <v>0.15</v>
      </c>
    </row>
    <row r="280" spans="1:7">
      <c r="A280" s="2989" t="s">
        <v>306</v>
      </c>
      <c r="B280" s="2978" t="s">
        <v>2877</v>
      </c>
      <c r="C280" s="2979">
        <v>0.15</v>
      </c>
      <c r="D280" s="2979">
        <v>0.15</v>
      </c>
      <c r="E280" s="2979">
        <v>0.15</v>
      </c>
      <c r="F280" s="2979">
        <v>0.15</v>
      </c>
      <c r="G280" s="2980">
        <v>0.15</v>
      </c>
    </row>
    <row r="281" spans="1:7">
      <c r="A281" s="2989" t="s">
        <v>306</v>
      </c>
      <c r="B281" s="2978" t="s">
        <v>2881</v>
      </c>
      <c r="C281" s="2979">
        <v>0.15</v>
      </c>
      <c r="D281" s="2979">
        <v>0.15</v>
      </c>
      <c r="E281" s="2979">
        <v>0.15</v>
      </c>
      <c r="F281" s="2979">
        <v>0.15</v>
      </c>
      <c r="G281" s="2980">
        <v>0.15</v>
      </c>
    </row>
    <row r="282" spans="1:7">
      <c r="A282" s="2989" t="s">
        <v>306</v>
      </c>
      <c r="B282" s="2978" t="s">
        <v>2885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2915</v>
      </c>
      <c r="C293" s="2979">
        <v>0.15</v>
      </c>
      <c r="D293" s="2979">
        <v>0.15</v>
      </c>
      <c r="E293" s="2979">
        <v>0.15</v>
      </c>
      <c r="F293" s="2979">
        <v>0.14499999999999999</v>
      </c>
      <c r="G293" s="2980">
        <v>0.15</v>
      </c>
    </row>
    <row r="294" spans="1:7">
      <c r="A294" s="2989" t="s">
        <v>306</v>
      </c>
      <c r="B294" s="2978" t="s">
        <v>2917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2947</v>
      </c>
      <c r="C302" s="2979">
        <v>0.15</v>
      </c>
      <c r="D302" s="2979">
        <v>0.15</v>
      </c>
      <c r="E302" s="2979">
        <v>0.15</v>
      </c>
      <c r="F302" s="2979">
        <v>0.14699999999999999</v>
      </c>
      <c r="G302" s="2980">
        <v>0.15</v>
      </c>
    </row>
    <row r="303" spans="1:7">
      <c r="A303" s="2989" t="s">
        <v>306</v>
      </c>
      <c r="B303" s="2978" t="s">
        <v>2954</v>
      </c>
      <c r="C303" s="2979">
        <v>0.15</v>
      </c>
      <c r="D303" s="2979">
        <v>0.15</v>
      </c>
      <c r="E303" s="2979">
        <v>0.15</v>
      </c>
      <c r="F303" s="2979">
        <v>0.14199999999999999</v>
      </c>
      <c r="G303" s="2980">
        <v>0.15</v>
      </c>
    </row>
    <row r="304" spans="1:7">
      <c r="A304" s="2989" t="s">
        <v>306</v>
      </c>
      <c r="B304" s="2978" t="s">
        <v>2961</v>
      </c>
      <c r="C304" s="2979">
        <v>0.15</v>
      </c>
      <c r="D304" s="2979">
        <v>0.15</v>
      </c>
      <c r="E304" s="2979">
        <v>0.15</v>
      </c>
      <c r="F304" s="2979">
        <v>0.14499999999999999</v>
      </c>
      <c r="G304" s="2980">
        <v>0.15</v>
      </c>
    </row>
    <row r="305" spans="1:7">
      <c r="A305" s="2989" t="s">
        <v>306</v>
      </c>
      <c r="B305" s="2978" t="s">
        <v>2967</v>
      </c>
      <c r="C305" s="2979">
        <v>0.15</v>
      </c>
      <c r="D305" s="2979">
        <v>0.15</v>
      </c>
      <c r="E305" s="2979">
        <v>0.15</v>
      </c>
      <c r="F305" s="2979">
        <v>0.111</v>
      </c>
      <c r="G305" s="2980">
        <v>0.15</v>
      </c>
    </row>
    <row r="306" spans="1:7">
      <c r="A306" s="2989" t="s">
        <v>306</v>
      </c>
      <c r="B306" s="2978" t="s">
        <v>2974</v>
      </c>
      <c r="C306" s="2979">
        <v>0.15</v>
      </c>
      <c r="D306" s="2979">
        <v>0.15</v>
      </c>
      <c r="E306" s="2979">
        <v>0.15</v>
      </c>
      <c r="F306" s="2979">
        <v>0.126</v>
      </c>
      <c r="G306" s="2980">
        <v>0.15</v>
      </c>
    </row>
    <row r="307" spans="1:7">
      <c r="A307" s="2989" t="s">
        <v>306</v>
      </c>
      <c r="B307" s="2978" t="s">
        <v>2979</v>
      </c>
      <c r="C307" s="2979">
        <v>0.15</v>
      </c>
      <c r="D307" s="2979">
        <v>0.15</v>
      </c>
      <c r="E307" s="2979">
        <v>0.15</v>
      </c>
      <c r="F307" s="2979">
        <v>0.12</v>
      </c>
      <c r="G307" s="2980">
        <v>0.15</v>
      </c>
    </row>
    <row r="308" spans="1:7">
      <c r="A308" s="2989" t="s">
        <v>306</v>
      </c>
      <c r="B308" s="2978" t="s">
        <v>2985</v>
      </c>
      <c r="C308" s="2979">
        <v>0.15</v>
      </c>
      <c r="D308" s="2979">
        <v>0.15</v>
      </c>
      <c r="E308" s="2979">
        <v>0.15</v>
      </c>
      <c r="F308" s="2979">
        <v>0.13</v>
      </c>
      <c r="G308" s="2980">
        <v>0.15</v>
      </c>
    </row>
    <row r="309" spans="1:7">
      <c r="A309" s="2989" t="s">
        <v>306</v>
      </c>
      <c r="B309" s="2978" t="s">
        <v>2989</v>
      </c>
      <c r="C309" s="2979">
        <v>0.15</v>
      </c>
      <c r="D309" s="2979">
        <v>0.15</v>
      </c>
      <c r="E309" s="2979">
        <v>0.15</v>
      </c>
      <c r="F309" s="2979">
        <v>0.14099999999999999</v>
      </c>
      <c r="G309" s="2980">
        <v>0.15</v>
      </c>
    </row>
    <row r="310" spans="1:7">
      <c r="A310" s="2989" t="s">
        <v>306</v>
      </c>
      <c r="B310" s="2978" t="s">
        <v>2994</v>
      </c>
      <c r="C310" s="2979">
        <v>0.15</v>
      </c>
      <c r="D310" s="2979">
        <v>0.15</v>
      </c>
      <c r="E310" s="2979">
        <v>0.15</v>
      </c>
      <c r="F310" s="2979">
        <v>0.15</v>
      </c>
      <c r="G310" s="2980">
        <v>0.15</v>
      </c>
    </row>
    <row r="311" spans="1:7">
      <c r="A311" s="2989" t="s">
        <v>306</v>
      </c>
      <c r="B311" s="2978" t="s">
        <v>2999</v>
      </c>
      <c r="C311" s="2979">
        <v>0.13200000000000001</v>
      </c>
      <c r="D311" s="2979">
        <v>0.13300000000000001</v>
      </c>
      <c r="E311" s="2979">
        <v>0.14499999999999999</v>
      </c>
      <c r="F311" s="2979">
        <v>0.14199999999999999</v>
      </c>
      <c r="G311" s="2980">
        <v>0.14000000000000001</v>
      </c>
    </row>
    <row r="312" spans="1:7">
      <c r="A312" s="2989" t="s">
        <v>306</v>
      </c>
      <c r="B312" s="2978" t="s">
        <v>3004</v>
      </c>
      <c r="C312" s="2979">
        <v>0.13800000000000001</v>
      </c>
      <c r="D312" s="2979">
        <v>0.14000000000000001</v>
      </c>
      <c r="E312" s="2979">
        <v>0.14599999999999999</v>
      </c>
      <c r="F312" s="2979">
        <v>0.14899999999999999</v>
      </c>
      <c r="G312" s="2980">
        <v>0.14199999999999999</v>
      </c>
    </row>
    <row r="313" spans="1:7">
      <c r="A313" s="2989" t="s">
        <v>306</v>
      </c>
      <c r="B313" s="2978" t="s">
        <v>3009</v>
      </c>
      <c r="C313" s="2979">
        <v>0.125</v>
      </c>
      <c r="D313" s="2979">
        <v>0.127</v>
      </c>
      <c r="E313" s="2979">
        <v>0.14399999999999999</v>
      </c>
      <c r="F313" s="2979">
        <v>0.115</v>
      </c>
      <c r="G313" s="2980">
        <v>0.13600000000000001</v>
      </c>
    </row>
    <row r="314" spans="1:7">
      <c r="A314" s="2989" t="s">
        <v>306</v>
      </c>
      <c r="B314" s="2978" t="s">
        <v>3218</v>
      </c>
      <c r="C314" s="2995"/>
      <c r="D314" s="2995"/>
      <c r="E314" s="2995"/>
      <c r="F314" s="2979">
        <v>0.05</v>
      </c>
      <c r="G314" s="2996"/>
    </row>
    <row r="315" spans="1:7">
      <c r="A315" s="2989" t="s">
        <v>306</v>
      </c>
      <c r="B315" s="2978" t="s">
        <v>3219</v>
      </c>
      <c r="C315" s="2995"/>
      <c r="D315" s="2995"/>
      <c r="E315" s="2995"/>
      <c r="F315" s="2979">
        <v>0.05</v>
      </c>
      <c r="G315" s="2996"/>
    </row>
    <row r="316" spans="1:7">
      <c r="A316" s="2989" t="s">
        <v>306</v>
      </c>
      <c r="B316" s="2978" t="s">
        <v>3220</v>
      </c>
      <c r="C316" s="2990"/>
      <c r="D316" s="2990"/>
      <c r="E316" s="2990"/>
      <c r="F316" s="2979">
        <v>0.05</v>
      </c>
      <c r="G316" s="2996"/>
    </row>
    <row r="317" spans="1:7">
      <c r="A317" s="2989" t="s">
        <v>306</v>
      </c>
      <c r="B317" s="2978" t="s">
        <v>3221</v>
      </c>
      <c r="C317" s="2990"/>
      <c r="D317" s="2990"/>
      <c r="E317" s="2990"/>
      <c r="F317" s="2979">
        <v>0.05</v>
      </c>
      <c r="G317" s="2996"/>
    </row>
    <row r="318" spans="1:7">
      <c r="A318" s="2989" t="s">
        <v>306</v>
      </c>
      <c r="B318" s="2978" t="s">
        <v>3222</v>
      </c>
      <c r="C318" s="2990"/>
      <c r="D318" s="2990"/>
      <c r="E318" s="2990"/>
      <c r="F318" s="2979">
        <v>0.05</v>
      </c>
      <c r="G318" s="2996"/>
    </row>
    <row r="319" spans="1:7">
      <c r="A319" s="2989" t="s">
        <v>306</v>
      </c>
      <c r="B319" s="2978" t="s">
        <v>3223</v>
      </c>
      <c r="C319" s="2990"/>
      <c r="D319" s="2990"/>
      <c r="E319" s="2990"/>
      <c r="F319" s="2979">
        <v>0.05</v>
      </c>
      <c r="G319" s="2996"/>
    </row>
    <row r="320" spans="1:7">
      <c r="A320" s="2989" t="s">
        <v>306</v>
      </c>
      <c r="B320" s="2978" t="s">
        <v>3224</v>
      </c>
      <c r="C320" s="2990"/>
      <c r="D320" s="2990"/>
      <c r="E320" s="2990"/>
      <c r="F320" s="2979">
        <v>0.05</v>
      </c>
      <c r="G320" s="2996"/>
    </row>
    <row r="321" spans="1:7">
      <c r="A321" s="2989" t="s">
        <v>306</v>
      </c>
      <c r="B321" s="2978" t="s">
        <v>3225</v>
      </c>
      <c r="C321" s="2990"/>
      <c r="D321" s="2990"/>
      <c r="E321" s="2990"/>
      <c r="F321" s="2979">
        <v>0.05</v>
      </c>
      <c r="G321" s="2996"/>
    </row>
    <row r="322" spans="1:7">
      <c r="A322" s="2989" t="s">
        <v>306</v>
      </c>
      <c r="B322" s="2978" t="s">
        <v>3226</v>
      </c>
      <c r="C322" s="2990"/>
      <c r="D322" s="2990"/>
      <c r="E322" s="2990"/>
      <c r="F322" s="2979">
        <v>0.05</v>
      </c>
      <c r="G322" s="2996"/>
    </row>
    <row r="323" spans="1:7">
      <c r="A323" s="2989" t="s">
        <v>306</v>
      </c>
      <c r="B323" s="2978" t="s">
        <v>3227</v>
      </c>
      <c r="C323" s="2990"/>
      <c r="D323" s="2990"/>
      <c r="E323" s="2990"/>
      <c r="F323" s="2979">
        <v>0.05</v>
      </c>
      <c r="G323" s="2996"/>
    </row>
    <row r="324" spans="1:7">
      <c r="A324" s="2989" t="s">
        <v>306</v>
      </c>
      <c r="B324" s="2978" t="s">
        <v>3228</v>
      </c>
      <c r="C324" s="2990"/>
      <c r="D324" s="2990"/>
      <c r="E324" s="2990"/>
      <c r="F324" s="2979">
        <v>0.05</v>
      </c>
      <c r="G324" s="2996"/>
    </row>
    <row r="325" spans="1:7">
      <c r="A325" s="2989" t="s">
        <v>306</v>
      </c>
      <c r="B325" s="2978" t="s">
        <v>3229</v>
      </c>
      <c r="C325" s="2990"/>
      <c r="D325" s="2990"/>
      <c r="E325" s="2990"/>
      <c r="F325" s="2979">
        <v>0.05</v>
      </c>
      <c r="G325" s="2996"/>
    </row>
    <row r="326" spans="1:7" ht="14.25" thickBot="1">
      <c r="A326" s="2992" t="s">
        <v>306</v>
      </c>
      <c r="B326" s="2982" t="s">
        <v>3230</v>
      </c>
      <c r="C326" s="2984"/>
      <c r="D326" s="2984"/>
      <c r="E326" s="2984"/>
      <c r="F326" s="2983">
        <v>0.05</v>
      </c>
      <c r="G326" s="2997"/>
    </row>
    <row r="327" spans="1:7">
      <c r="A327" s="2988" t="s">
        <v>307</v>
      </c>
      <c r="B327" s="2974" t="s">
        <v>2862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2874</v>
      </c>
      <c r="C329" s="2979">
        <v>0.15</v>
      </c>
      <c r="D329" s="2979">
        <v>0.15</v>
      </c>
      <c r="E329" s="2979">
        <v>0.15</v>
      </c>
      <c r="F329" s="2979">
        <v>0.15</v>
      </c>
      <c r="G329" s="2980">
        <v>0.15</v>
      </c>
    </row>
    <row r="330" spans="1:7">
      <c r="A330" s="2989" t="s">
        <v>307</v>
      </c>
      <c r="B330" s="2978" t="s">
        <v>2878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2886</v>
      </c>
      <c r="C332" s="2979">
        <v>0.15</v>
      </c>
      <c r="D332" s="2979">
        <v>0.15</v>
      </c>
      <c r="E332" s="2979">
        <v>0.15</v>
      </c>
      <c r="F332" s="2979">
        <v>0.15</v>
      </c>
      <c r="G332" s="2980">
        <v>0.15</v>
      </c>
    </row>
    <row r="333" spans="1:7">
      <c r="A333" s="2989" t="s">
        <v>307</v>
      </c>
      <c r="B333" s="2978" t="s">
        <v>2890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2896</v>
      </c>
      <c r="C336" s="2979">
        <v>0.15</v>
      </c>
      <c r="D336" s="2979">
        <v>0.15</v>
      </c>
      <c r="E336" s="2979">
        <v>0.15</v>
      </c>
      <c r="F336" s="2979">
        <v>0.14199999999999999</v>
      </c>
      <c r="G336" s="2980">
        <v>0.15</v>
      </c>
    </row>
    <row r="337" spans="1:7">
      <c r="A337" s="2989" t="s">
        <v>307</v>
      </c>
      <c r="B337" s="2978" t="s">
        <v>2901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2921</v>
      </c>
      <c r="C345" s="2979">
        <v>0.15</v>
      </c>
      <c r="D345" s="2979">
        <v>0.15</v>
      </c>
      <c r="E345" s="2979">
        <v>0.15</v>
      </c>
      <c r="F345" s="2979">
        <v>0.13800000000000001</v>
      </c>
      <c r="G345" s="2980">
        <v>0.15</v>
      </c>
    </row>
    <row r="346" spans="1:7">
      <c r="A346" s="2989" t="s">
        <v>307</v>
      </c>
      <c r="B346" s="2978" t="s">
        <v>2923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2930</v>
      </c>
      <c r="C348" s="2979">
        <v>0.15</v>
      </c>
      <c r="D348" s="2979">
        <v>0.15</v>
      </c>
      <c r="E348" s="2979">
        <v>0.15</v>
      </c>
      <c r="F348" s="2979">
        <v>0.14399999999999999</v>
      </c>
      <c r="G348" s="2980">
        <v>0.15</v>
      </c>
    </row>
    <row r="349" spans="1:7">
      <c r="A349" s="2989" t="s">
        <v>307</v>
      </c>
      <c r="B349" s="2978" t="s">
        <v>2935</v>
      </c>
      <c r="C349" s="2979">
        <v>0.15</v>
      </c>
      <c r="D349" s="2979">
        <v>0.15</v>
      </c>
      <c r="E349" s="2979">
        <v>0.15</v>
      </c>
      <c r="F349" s="2979">
        <v>0.15</v>
      </c>
      <c r="G349" s="2980">
        <v>0.15</v>
      </c>
    </row>
    <row r="350" spans="1:7">
      <c r="A350" s="2989" t="s">
        <v>307</v>
      </c>
      <c r="B350" s="2978" t="s">
        <v>2938</v>
      </c>
      <c r="C350" s="2979">
        <v>0.15</v>
      </c>
      <c r="D350" s="2979">
        <v>0.15</v>
      </c>
      <c r="E350" s="2979">
        <v>0.15</v>
      </c>
      <c r="F350" s="2979">
        <v>0.14699999999999999</v>
      </c>
      <c r="G350" s="2980">
        <v>0.15</v>
      </c>
    </row>
    <row r="351" spans="1:7">
      <c r="A351" s="2989" t="s">
        <v>307</v>
      </c>
      <c r="B351" s="2978" t="s">
        <v>2943</v>
      </c>
      <c r="C351" s="2979">
        <v>0.15</v>
      </c>
      <c r="D351" s="2979">
        <v>0.15</v>
      </c>
      <c r="E351" s="2979">
        <v>0.15</v>
      </c>
      <c r="F351" s="2979">
        <v>0.13</v>
      </c>
      <c r="G351" s="2980">
        <v>0.15</v>
      </c>
    </row>
    <row r="352" spans="1:7">
      <c r="A352" s="2989" t="s">
        <v>307</v>
      </c>
      <c r="B352" s="2978" t="s">
        <v>2948</v>
      </c>
      <c r="C352" s="2979">
        <v>0.15</v>
      </c>
      <c r="D352" s="2979">
        <v>0.15</v>
      </c>
      <c r="E352" s="2979">
        <v>0.15</v>
      </c>
      <c r="F352" s="2979">
        <v>0.14599999999999999</v>
      </c>
      <c r="G352" s="2980">
        <v>0.15</v>
      </c>
    </row>
    <row r="353" spans="1:7">
      <c r="A353" s="2989" t="s">
        <v>307</v>
      </c>
      <c r="B353" s="2978" t="s">
        <v>2955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2968</v>
      </c>
      <c r="C355" s="2979">
        <v>0.15</v>
      </c>
      <c r="D355" s="2979">
        <v>0.15</v>
      </c>
      <c r="E355" s="2979">
        <v>0.15</v>
      </c>
      <c r="F355" s="2979">
        <v>0.15</v>
      </c>
      <c r="G355" s="2980">
        <v>0.15</v>
      </c>
    </row>
    <row r="356" spans="1:7">
      <c r="A356" s="2989" t="s">
        <v>307</v>
      </c>
      <c r="B356" s="2978" t="s">
        <v>2975</v>
      </c>
      <c r="C356" s="2979">
        <v>0.15</v>
      </c>
      <c r="D356" s="2979">
        <v>0.15</v>
      </c>
      <c r="E356" s="2979">
        <v>0.15</v>
      </c>
      <c r="F356" s="2979">
        <v>0.15</v>
      </c>
      <c r="G356" s="2980">
        <v>0.15</v>
      </c>
    </row>
    <row r="357" spans="1:7" ht="14.25" thickBot="1">
      <c r="A357" s="2992" t="s">
        <v>307</v>
      </c>
      <c r="B357" s="2982" t="s">
        <v>2980</v>
      </c>
      <c r="C357" s="2983">
        <v>0.126</v>
      </c>
      <c r="D357" s="2983">
        <v>0.127</v>
      </c>
      <c r="E357" s="2983">
        <v>0.14299999999999999</v>
      </c>
      <c r="F357" s="2983">
        <v>0.125</v>
      </c>
      <c r="G357" s="2985">
        <v>0.129</v>
      </c>
    </row>
    <row r="358" spans="1:7">
      <c r="A358" s="2988" t="s">
        <v>2849</v>
      </c>
      <c r="B358" s="2974" t="s">
        <v>2863</v>
      </c>
      <c r="C358" s="2975">
        <v>0.15</v>
      </c>
      <c r="D358" s="2975">
        <v>0.15</v>
      </c>
      <c r="E358" s="2975">
        <v>0.15</v>
      </c>
      <c r="F358" s="2975">
        <v>0.15</v>
      </c>
      <c r="G358" s="2976">
        <v>0.15</v>
      </c>
    </row>
    <row r="359" spans="1:7">
      <c r="A359" s="2989" t="s">
        <v>2849</v>
      </c>
      <c r="B359" s="2978" t="s">
        <v>2869</v>
      </c>
      <c r="C359" s="2979">
        <v>0.1</v>
      </c>
      <c r="D359" s="2979">
        <v>0.1</v>
      </c>
      <c r="E359" s="2979">
        <v>0.1</v>
      </c>
      <c r="F359" s="2979">
        <v>0.1</v>
      </c>
      <c r="G359" s="2980">
        <v>0.1</v>
      </c>
    </row>
    <row r="360" spans="1:7">
      <c r="A360" s="2989" t="s">
        <v>2849</v>
      </c>
      <c r="B360" s="2978" t="s">
        <v>2875</v>
      </c>
      <c r="C360" s="2979">
        <v>0.15</v>
      </c>
      <c r="D360" s="2979">
        <v>0.15</v>
      </c>
      <c r="E360" s="2979">
        <v>0.15</v>
      </c>
      <c r="F360" s="2979">
        <v>0.14899999999999999</v>
      </c>
      <c r="G360" s="2980">
        <v>0.15</v>
      </c>
    </row>
    <row r="361" spans="1:7">
      <c r="A361" s="2989" t="s">
        <v>2849</v>
      </c>
      <c r="B361" s="2978" t="s">
        <v>153</v>
      </c>
      <c r="C361" s="2979">
        <v>0.15</v>
      </c>
      <c r="D361" s="2979">
        <v>0.15</v>
      </c>
      <c r="E361" s="2979">
        <v>0.15</v>
      </c>
      <c r="F361" s="2979">
        <v>0.115</v>
      </c>
      <c r="G361" s="2980">
        <v>0.15</v>
      </c>
    </row>
    <row r="362" spans="1:7">
      <c r="A362" s="2989" t="s">
        <v>2849</v>
      </c>
      <c r="B362" s="2978" t="s">
        <v>2882</v>
      </c>
      <c r="C362" s="2979">
        <v>0.15</v>
      </c>
      <c r="D362" s="2979">
        <v>0.15</v>
      </c>
      <c r="E362" s="2979">
        <v>0.15</v>
      </c>
      <c r="F362" s="2979">
        <v>0.106</v>
      </c>
      <c r="G362" s="2980">
        <v>0.15</v>
      </c>
    </row>
    <row r="363" spans="1:7">
      <c r="A363" s="2989" t="s">
        <v>2849</v>
      </c>
      <c r="B363" s="2978" t="s">
        <v>2887</v>
      </c>
      <c r="C363" s="2979">
        <v>0.15</v>
      </c>
      <c r="D363" s="2979">
        <v>0.15</v>
      </c>
      <c r="E363" s="2979">
        <v>0.15</v>
      </c>
      <c r="F363" s="2979">
        <v>0.14699999999999999</v>
      </c>
      <c r="G363" s="2980">
        <v>0.15</v>
      </c>
    </row>
    <row r="364" spans="1:7">
      <c r="A364" s="2989" t="s">
        <v>2849</v>
      </c>
      <c r="B364" s="2978" t="s">
        <v>2891</v>
      </c>
      <c r="C364" s="2979">
        <v>0.15</v>
      </c>
      <c r="D364" s="2979">
        <v>0.15</v>
      </c>
      <c r="E364" s="2979">
        <v>0.15</v>
      </c>
      <c r="F364" s="2979">
        <v>0.14799999999999999</v>
      </c>
      <c r="G364" s="2980">
        <v>0.15</v>
      </c>
    </row>
    <row r="365" spans="1:7">
      <c r="A365" s="2989" t="s">
        <v>2849</v>
      </c>
      <c r="B365" s="2978" t="s">
        <v>200</v>
      </c>
      <c r="C365" s="2979">
        <v>0.15</v>
      </c>
      <c r="D365" s="2979">
        <v>0.15</v>
      </c>
      <c r="E365" s="2979">
        <v>0.15</v>
      </c>
      <c r="F365" s="2979">
        <v>0.15</v>
      </c>
      <c r="G365" s="2980">
        <v>0.15</v>
      </c>
    </row>
    <row r="366" spans="1:7">
      <c r="A366" s="2989" t="s">
        <v>2849</v>
      </c>
      <c r="B366" s="2978" t="s">
        <v>2894</v>
      </c>
      <c r="C366" s="2979">
        <v>0.15</v>
      </c>
      <c r="D366" s="2979">
        <v>0.15</v>
      </c>
      <c r="E366" s="2979">
        <v>0.15</v>
      </c>
      <c r="F366" s="2979">
        <v>0.15</v>
      </c>
      <c r="G366" s="2980">
        <v>0.15</v>
      </c>
    </row>
    <row r="367" spans="1:7">
      <c r="A367" s="2989" t="s">
        <v>2849</v>
      </c>
      <c r="B367" s="2978" t="s">
        <v>2897</v>
      </c>
      <c r="C367" s="2979">
        <v>0.15</v>
      </c>
      <c r="D367" s="2979">
        <v>0.15</v>
      </c>
      <c r="E367" s="2979">
        <v>0.15</v>
      </c>
      <c r="F367" s="2979">
        <v>0.14699999999999999</v>
      </c>
      <c r="G367" s="2980">
        <v>0.15</v>
      </c>
    </row>
    <row r="368" spans="1:7">
      <c r="A368" s="2989" t="s">
        <v>2849</v>
      </c>
      <c r="B368" s="2978" t="s">
        <v>2902</v>
      </c>
      <c r="C368" s="2979">
        <v>0.15</v>
      </c>
      <c r="D368" s="2979">
        <v>0.15</v>
      </c>
      <c r="E368" s="2979">
        <v>0.15</v>
      </c>
      <c r="F368" s="2979">
        <v>0.13600000000000001</v>
      </c>
      <c r="G368" s="2980">
        <v>0.15</v>
      </c>
    </row>
    <row r="369" spans="1:7">
      <c r="A369" s="2989" t="s">
        <v>2849</v>
      </c>
      <c r="B369" s="2978" t="s">
        <v>214</v>
      </c>
      <c r="C369" s="2979">
        <v>0.15</v>
      </c>
      <c r="D369" s="2979">
        <v>0.15</v>
      </c>
      <c r="E369" s="2979">
        <v>0.15</v>
      </c>
      <c r="F369" s="2979">
        <v>0.14399999999999999</v>
      </c>
      <c r="G369" s="2980">
        <v>0.15</v>
      </c>
    </row>
    <row r="370" spans="1:7">
      <c r="A370" s="2989" t="s">
        <v>2849</v>
      </c>
      <c r="B370" s="2978" t="s">
        <v>221</v>
      </c>
      <c r="C370" s="2979">
        <v>0.15</v>
      </c>
      <c r="D370" s="2979">
        <v>0.15</v>
      </c>
      <c r="E370" s="2979">
        <v>0.15</v>
      </c>
      <c r="F370" s="2979">
        <v>0.14599999999999999</v>
      </c>
      <c r="G370" s="2980">
        <v>0.15</v>
      </c>
    </row>
    <row r="371" spans="1:7">
      <c r="A371" s="2989" t="s">
        <v>2849</v>
      </c>
      <c r="B371" s="2978" t="s">
        <v>229</v>
      </c>
      <c r="C371" s="2979">
        <v>0.15</v>
      </c>
      <c r="D371" s="2979">
        <v>0.15</v>
      </c>
      <c r="E371" s="2979">
        <v>0.15</v>
      </c>
      <c r="F371" s="2979">
        <v>0.12</v>
      </c>
      <c r="G371" s="2980">
        <v>0.15</v>
      </c>
    </row>
    <row r="372" spans="1:7">
      <c r="A372" s="2989" t="s">
        <v>2849</v>
      </c>
      <c r="B372" s="2978" t="s">
        <v>2910</v>
      </c>
      <c r="C372" s="2979">
        <v>0.15</v>
      </c>
      <c r="D372" s="2979">
        <v>0.15</v>
      </c>
      <c r="E372" s="2979">
        <v>0.15</v>
      </c>
      <c r="F372" s="2979">
        <v>0.14299999999999999</v>
      </c>
      <c r="G372" s="2980">
        <v>0.15</v>
      </c>
    </row>
    <row r="373" spans="1:7">
      <c r="A373" s="2989" t="s">
        <v>2849</v>
      </c>
      <c r="B373" s="2978" t="s">
        <v>258</v>
      </c>
      <c r="C373" s="2979">
        <v>0.15</v>
      </c>
      <c r="D373" s="2979">
        <v>0.15</v>
      </c>
      <c r="E373" s="2979">
        <v>0.15</v>
      </c>
      <c r="F373" s="2979">
        <v>0.14599999999999999</v>
      </c>
      <c r="G373" s="2980">
        <v>0.15</v>
      </c>
    </row>
    <row r="374" spans="1:7">
      <c r="A374" s="2989" t="s">
        <v>2849</v>
      </c>
      <c r="B374" s="2978" t="s">
        <v>266</v>
      </c>
      <c r="C374" s="2979">
        <v>0.15</v>
      </c>
      <c r="D374" s="2979">
        <v>0.15</v>
      </c>
      <c r="E374" s="2979">
        <v>0.15</v>
      </c>
      <c r="F374" s="2979">
        <v>0.14399999999999999</v>
      </c>
      <c r="G374" s="2980">
        <v>0.15</v>
      </c>
    </row>
    <row r="375" spans="1:7">
      <c r="A375" s="2989" t="s">
        <v>2849</v>
      </c>
      <c r="B375" s="2978" t="s">
        <v>2918</v>
      </c>
      <c r="C375" s="2979">
        <v>0.15</v>
      </c>
      <c r="D375" s="2979">
        <v>0.15</v>
      </c>
      <c r="E375" s="2979">
        <v>0.15</v>
      </c>
      <c r="F375" s="2979">
        <v>0.13</v>
      </c>
      <c r="G375" s="2980">
        <v>0.15</v>
      </c>
    </row>
    <row r="376" spans="1:7">
      <c r="A376" s="2989" t="s">
        <v>2849</v>
      </c>
      <c r="B376" s="2978" t="s">
        <v>277</v>
      </c>
      <c r="C376" s="2979">
        <v>0.15</v>
      </c>
      <c r="D376" s="2979">
        <v>0.15</v>
      </c>
      <c r="E376" s="2979">
        <v>0.15</v>
      </c>
      <c r="F376" s="2979">
        <v>0.14199999999999999</v>
      </c>
      <c r="G376" s="2980">
        <v>0.15</v>
      </c>
    </row>
    <row r="377" spans="1:7" ht="14.25" thickBot="1">
      <c r="A377" s="2992" t="s">
        <v>2849</v>
      </c>
      <c r="B377" s="2982" t="s">
        <v>2924</v>
      </c>
      <c r="C377" s="2983">
        <v>0.15</v>
      </c>
      <c r="D377" s="2983">
        <v>0.15</v>
      </c>
      <c r="E377" s="2983">
        <v>0.15</v>
      </c>
      <c r="F377" s="2983">
        <v>0.14000000000000001</v>
      </c>
      <c r="G377" s="2985">
        <v>0.15</v>
      </c>
    </row>
    <row r="378" spans="1:7">
      <c r="A378" s="2988" t="s">
        <v>2850</v>
      </c>
      <c r="B378" s="2974" t="s">
        <v>2864</v>
      </c>
      <c r="C378" s="2975">
        <v>0.15</v>
      </c>
      <c r="D378" s="2975">
        <v>0.15</v>
      </c>
      <c r="E378" s="2975">
        <v>0.15</v>
      </c>
      <c r="F378" s="2975">
        <v>0.107</v>
      </c>
      <c r="G378" s="2976">
        <v>0.15</v>
      </c>
    </row>
    <row r="379" spans="1:7">
      <c r="A379" s="2989" t="s">
        <v>2850</v>
      </c>
      <c r="B379" s="2978" t="s">
        <v>2870</v>
      </c>
      <c r="C379" s="2979">
        <v>0.15</v>
      </c>
      <c r="D379" s="2979">
        <v>0.15</v>
      </c>
      <c r="E379" s="2979">
        <v>0.15</v>
      </c>
      <c r="F379" s="2979">
        <v>0.115</v>
      </c>
      <c r="G379" s="2980">
        <v>0.14899999999999999</v>
      </c>
    </row>
    <row r="380" spans="1:7">
      <c r="A380" s="2989" t="s">
        <v>2850</v>
      </c>
      <c r="B380" s="2978" t="s">
        <v>2876</v>
      </c>
      <c r="C380" s="2979">
        <v>0.15</v>
      </c>
      <c r="D380" s="2979">
        <v>0.15</v>
      </c>
      <c r="E380" s="2979">
        <v>0.15</v>
      </c>
      <c r="F380" s="2979">
        <v>0.1</v>
      </c>
      <c r="G380" s="2980">
        <v>0.14799999999999999</v>
      </c>
    </row>
    <row r="381" spans="1:7">
      <c r="A381" s="2989" t="s">
        <v>2850</v>
      </c>
      <c r="B381" s="2978" t="s">
        <v>2879</v>
      </c>
      <c r="C381" s="2979">
        <v>0.15</v>
      </c>
      <c r="D381" s="2979">
        <v>0.15</v>
      </c>
      <c r="E381" s="2979">
        <v>0.15</v>
      </c>
      <c r="F381" s="2979">
        <v>0.126</v>
      </c>
      <c r="G381" s="2980">
        <v>0.15</v>
      </c>
    </row>
    <row r="382" spans="1:7">
      <c r="A382" s="2989" t="s">
        <v>2850</v>
      </c>
      <c r="B382" s="2978" t="s">
        <v>2883</v>
      </c>
      <c r="C382" s="2979">
        <v>0.15</v>
      </c>
      <c r="D382" s="2979">
        <v>0.15</v>
      </c>
      <c r="E382" s="2979">
        <v>0.15</v>
      </c>
      <c r="F382" s="2979">
        <v>0.15</v>
      </c>
      <c r="G382" s="2980">
        <v>0.15</v>
      </c>
    </row>
    <row r="383" spans="1:7">
      <c r="A383" s="2989" t="s">
        <v>2850</v>
      </c>
      <c r="B383" s="2978" t="s">
        <v>2888</v>
      </c>
      <c r="C383" s="2979">
        <v>0.15</v>
      </c>
      <c r="D383" s="2979">
        <v>0.15</v>
      </c>
      <c r="E383" s="2979">
        <v>0.15</v>
      </c>
      <c r="F383" s="2979">
        <v>0.14699999999999999</v>
      </c>
      <c r="G383" s="2980">
        <v>0.15</v>
      </c>
    </row>
    <row r="384" spans="1:7" ht="14.25" thickBot="1">
      <c r="A384" s="2999" t="s">
        <v>2850</v>
      </c>
      <c r="B384" s="3000" t="s">
        <v>2892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481" t="s">
        <v>3231</v>
      </c>
      <c r="B1" s="3481"/>
      <c r="C1" s="3481"/>
      <c r="D1" s="3481"/>
      <c r="E1" s="3481"/>
      <c r="F1" s="3482"/>
    </row>
    <row r="2" spans="1:6" ht="14.25">
      <c r="A2" s="3003" t="s">
        <v>3232</v>
      </c>
    </row>
    <row r="3" spans="1:6" ht="14.25">
      <c r="A3" s="3003" t="s">
        <v>3233</v>
      </c>
      <c r="F3" s="3004" t="s">
        <v>3234</v>
      </c>
    </row>
    <row r="4" spans="1:6">
      <c r="A4" s="3005" t="s">
        <v>672</v>
      </c>
      <c r="B4" s="3005" t="s">
        <v>673</v>
      </c>
      <c r="C4" s="3005" t="s">
        <v>21</v>
      </c>
      <c r="D4" s="3005" t="s">
        <v>674</v>
      </c>
      <c r="E4" s="3005" t="s">
        <v>3</v>
      </c>
      <c r="F4" s="3005" t="s">
        <v>3235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H3" sqref="H3"/>
    </sheetView>
  </sheetViews>
  <sheetFormatPr defaultRowHeight="13.5"/>
  <cols>
    <col min="1" max="1" width="13.875" customWidth="1"/>
    <col min="11" max="17" width="0" hidden="1" customWidth="1"/>
    <col min="25" max="30" width="0" hidden="1" customWidth="1"/>
  </cols>
  <sheetData>
    <row r="1" spans="1:44">
      <c r="A1" s="2938">
        <f>基准地价修正!G23</f>
        <v>45828</v>
      </c>
      <c r="B1" s="2930" t="s">
        <v>3377</v>
      </c>
      <c r="C1" s="2931"/>
      <c r="D1" s="2931"/>
      <c r="E1" s="2931"/>
      <c r="F1" s="2931"/>
      <c r="G1" s="2931"/>
      <c r="H1" s="2931"/>
      <c r="I1" s="2931"/>
      <c r="J1" s="2897"/>
      <c r="K1" s="2931" t="s">
        <v>454</v>
      </c>
      <c r="L1" s="2931"/>
      <c r="M1" s="2931"/>
      <c r="N1" s="2931"/>
      <c r="O1" s="2931"/>
      <c r="P1" s="2931"/>
      <c r="Q1" s="2897"/>
      <c r="R1" s="3483" t="s">
        <v>456</v>
      </c>
      <c r="S1" s="3484"/>
      <c r="T1" s="3484"/>
      <c r="U1" s="3484"/>
      <c r="V1" s="3484"/>
      <c r="W1" s="3484"/>
      <c r="X1" s="2897"/>
      <c r="Y1" s="3483" t="s">
        <v>457</v>
      </c>
      <c r="Z1" s="3484"/>
      <c r="AA1" s="3484"/>
      <c r="AB1" s="3484"/>
      <c r="AC1" s="3484"/>
      <c r="AD1" s="3484"/>
    </row>
    <row r="2" spans="1:44" s="2010" customFormat="1" ht="14.25" thickBot="1">
      <c r="B2" s="2882"/>
      <c r="C2" s="2883"/>
      <c r="D2" s="2011" t="s">
        <v>2809</v>
      </c>
      <c r="E2" s="2012" t="s">
        <v>2810</v>
      </c>
      <c r="F2" s="2012" t="s">
        <v>2811</v>
      </c>
      <c r="G2" s="2012" t="s">
        <v>2812</v>
      </c>
      <c r="H2" s="2012" t="s">
        <v>2813</v>
      </c>
      <c r="I2" s="2012" t="s">
        <v>2630</v>
      </c>
      <c r="J2" s="2884"/>
      <c r="K2" s="2011" t="s">
        <v>2809</v>
      </c>
      <c r="L2" s="2012" t="s">
        <v>2810</v>
      </c>
      <c r="M2" s="2012" t="s">
        <v>2811</v>
      </c>
      <c r="N2" s="2012" t="s">
        <v>2812</v>
      </c>
      <c r="O2" s="2012" t="s">
        <v>2814</v>
      </c>
      <c r="P2" s="2012" t="s">
        <v>2630</v>
      </c>
      <c r="Q2" s="2884"/>
      <c r="R2" s="2011" t="s">
        <v>2809</v>
      </c>
      <c r="S2" s="2012" t="s">
        <v>2810</v>
      </c>
      <c r="T2" s="2012" t="s">
        <v>2811</v>
      </c>
      <c r="U2" s="2012" t="s">
        <v>2815</v>
      </c>
      <c r="V2" s="2012" t="s">
        <v>2816</v>
      </c>
      <c r="W2" s="2012" t="s">
        <v>2630</v>
      </c>
      <c r="X2" s="2884"/>
      <c r="Y2" s="2011" t="s">
        <v>2809</v>
      </c>
      <c r="Z2" s="2012" t="s">
        <v>2810</v>
      </c>
      <c r="AA2" s="2012" t="s">
        <v>2811</v>
      </c>
      <c r="AB2" s="2012" t="s">
        <v>2817</v>
      </c>
      <c r="AC2" s="2012" t="s">
        <v>2816</v>
      </c>
      <c r="AD2" s="2012" t="s">
        <v>2630</v>
      </c>
      <c r="AF2" t="s">
        <v>3404</v>
      </c>
      <c r="AG2" t="s">
        <v>673</v>
      </c>
      <c r="AH2" t="s">
        <v>21</v>
      </c>
      <c r="AI2" t="s">
        <v>3405</v>
      </c>
      <c r="AJ2" t="s">
        <v>3</v>
      </c>
      <c r="AK2" t="s">
        <v>3406</v>
      </c>
      <c r="AM2" t="s">
        <v>3404</v>
      </c>
      <c r="AN2" t="s">
        <v>673</v>
      </c>
      <c r="AO2" t="s">
        <v>21</v>
      </c>
      <c r="AP2" t="s">
        <v>3405</v>
      </c>
      <c r="AQ2" t="s">
        <v>3</v>
      </c>
      <c r="AR2" t="s">
        <v>3406</v>
      </c>
    </row>
    <row r="3" spans="1:44" s="2887" customFormat="1" ht="12.75">
      <c r="A3" s="2885" t="s">
        <v>2818</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3401</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3380</v>
      </c>
    </row>
    <row r="27" spans="1:44">
      <c r="I27" s="1405" t="s">
        <v>2824</v>
      </c>
    </row>
    <row r="29" spans="1:44" s="2009" customFormat="1" ht="12.75">
      <c r="B29" s="2930" t="s">
        <v>3378</v>
      </c>
      <c r="C29" s="2931"/>
      <c r="D29" s="2931"/>
      <c r="E29" s="2931"/>
      <c r="F29" s="2931"/>
      <c r="G29" s="2931"/>
      <c r="H29" s="2931"/>
      <c r="I29" s="2931"/>
      <c r="J29" s="2897"/>
      <c r="K29" s="2931" t="s">
        <v>2825</v>
      </c>
      <c r="L29" s="2931"/>
      <c r="M29" s="2931"/>
      <c r="N29" s="2931"/>
      <c r="O29" s="2931"/>
      <c r="P29" s="2931"/>
      <c r="Q29" s="2897"/>
      <c r="R29" s="3483" t="s">
        <v>2826</v>
      </c>
      <c r="S29" s="3484"/>
      <c r="T29" s="3484"/>
      <c r="U29" s="3484"/>
      <c r="V29" s="3484"/>
      <c r="W29" s="3484"/>
      <c r="X29" s="2897"/>
      <c r="Y29" s="3483" t="s">
        <v>2827</v>
      </c>
      <c r="Z29" s="3484"/>
      <c r="AA29" s="3484"/>
      <c r="AB29" s="3484"/>
      <c r="AC29" s="3484"/>
      <c r="AD29" s="3484"/>
    </row>
    <row r="30" spans="1:44" s="2010" customFormat="1" ht="14.25" thickBot="1">
      <c r="B30" s="2882"/>
      <c r="C30" s="2883"/>
      <c r="D30" s="2011" t="s">
        <v>2828</v>
      </c>
      <c r="E30" s="2012" t="s">
        <v>2829</v>
      </c>
      <c r="F30" s="2012" t="s">
        <v>2830</v>
      </c>
      <c r="G30" s="2012" t="s">
        <v>2831</v>
      </c>
      <c r="H30" s="2012"/>
      <c r="I30" s="2012" t="s">
        <v>2832</v>
      </c>
      <c r="J30" s="2884"/>
      <c r="K30" s="2011" t="s">
        <v>2828</v>
      </c>
      <c r="L30" s="2012" t="s">
        <v>2829</v>
      </c>
      <c r="M30" s="2012" t="s">
        <v>2830</v>
      </c>
      <c r="N30" s="2012" t="s">
        <v>2831</v>
      </c>
      <c r="O30" s="2012"/>
      <c r="P30" s="2012" t="s">
        <v>2832</v>
      </c>
      <c r="Q30" s="2884"/>
      <c r="R30" s="2011" t="s">
        <v>2828</v>
      </c>
      <c r="S30" s="2012" t="s">
        <v>2829</v>
      </c>
      <c r="T30" s="2012" t="s">
        <v>2830</v>
      </c>
      <c r="U30" s="2012" t="s">
        <v>2831</v>
      </c>
      <c r="V30" s="2012"/>
      <c r="W30" s="2012" t="s">
        <v>2832</v>
      </c>
      <c r="X30" s="2884"/>
      <c r="Y30" s="2011" t="s">
        <v>2828</v>
      </c>
      <c r="Z30" s="2012" t="s">
        <v>2829</v>
      </c>
      <c r="AA30" s="2012" t="s">
        <v>2830</v>
      </c>
      <c r="AB30" s="2012" t="s">
        <v>2831</v>
      </c>
      <c r="AC30" s="2012"/>
      <c r="AD30" s="2012" t="s">
        <v>2832</v>
      </c>
      <c r="AG30" t="s">
        <v>673</v>
      </c>
      <c r="AH30" t="s">
        <v>21</v>
      </c>
      <c r="AI30" t="s">
        <v>3405</v>
      </c>
      <c r="AJ30"/>
      <c r="AK30" t="s">
        <v>3406</v>
      </c>
      <c r="AN30" t="s">
        <v>673</v>
      </c>
      <c r="AO30" t="s">
        <v>21</v>
      </c>
      <c r="AP30" t="s">
        <v>3405</v>
      </c>
      <c r="AQ30"/>
      <c r="AR30" t="s">
        <v>3406</v>
      </c>
    </row>
    <row r="31" spans="1:44" s="2887" customFormat="1" ht="12.75">
      <c r="A31" s="2885" t="s">
        <v>2833</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3410</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H3" sqref="H3"/>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8" t="s">
        <v>452</v>
      </c>
      <c r="C1" s="3488"/>
      <c r="D1" s="3488"/>
      <c r="E1" s="3488"/>
      <c r="F1" s="3488"/>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8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H3" sqref="H3"/>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96" t="s">
        <v>2838</v>
      </c>
      <c r="B1" s="3496"/>
      <c r="C1" s="3496"/>
      <c r="D1" s="3496"/>
      <c r="E1" s="3496"/>
      <c r="F1" s="3496"/>
      <c r="G1" s="3497"/>
      <c r="I1" s="2939" t="s">
        <v>2839</v>
      </c>
      <c r="J1" s="2940" t="s">
        <v>2840</v>
      </c>
      <c r="K1" s="2940" t="s">
        <v>2841</v>
      </c>
      <c r="L1" s="2940" t="s">
        <v>2842</v>
      </c>
      <c r="M1" s="2940" t="s">
        <v>2843</v>
      </c>
      <c r="N1" s="2940" t="s">
        <v>2844</v>
      </c>
      <c r="O1" s="2940" t="s">
        <v>2845</v>
      </c>
      <c r="P1" s="2940" t="s">
        <v>2846</v>
      </c>
      <c r="Q1" s="2940" t="s">
        <v>2847</v>
      </c>
      <c r="R1" s="2940" t="s">
        <v>2848</v>
      </c>
      <c r="S1" s="2940" t="s">
        <v>2849</v>
      </c>
      <c r="T1" s="2941" t="s">
        <v>2850</v>
      </c>
    </row>
    <row r="2" spans="1:20" ht="12" thickBot="1">
      <c r="A2" s="2942" t="s">
        <v>2851</v>
      </c>
      <c r="B2" s="2942"/>
      <c r="C2" s="2942"/>
      <c r="D2" s="2942"/>
      <c r="E2" s="2942"/>
      <c r="F2" s="2942"/>
      <c r="G2" s="2943" t="s">
        <v>2852</v>
      </c>
      <c r="I2" s="2944" t="s">
        <v>2853</v>
      </c>
      <c r="J2" s="2944" t="s">
        <v>2854</v>
      </c>
      <c r="K2" s="2944" t="s">
        <v>2855</v>
      </c>
      <c r="L2" s="2944" t="s">
        <v>2856</v>
      </c>
      <c r="M2" s="2944" t="s">
        <v>2857</v>
      </c>
      <c r="N2" s="2944" t="s">
        <v>2858</v>
      </c>
      <c r="O2" s="2944" t="s">
        <v>2859</v>
      </c>
      <c r="P2" s="2944" t="s">
        <v>2860</v>
      </c>
      <c r="Q2" s="2944" t="s">
        <v>2861</v>
      </c>
      <c r="R2" s="2944" t="s">
        <v>2862</v>
      </c>
      <c r="S2" s="2944" t="s">
        <v>2863</v>
      </c>
      <c r="T2" s="2944" t="s">
        <v>2864</v>
      </c>
    </row>
    <row r="3" spans="1:20" s="2950" customFormat="1">
      <c r="A3" s="3494" t="s">
        <v>2865</v>
      </c>
      <c r="B3" s="2945"/>
      <c r="C3" s="2946" t="s">
        <v>2810</v>
      </c>
      <c r="D3" s="2946" t="s">
        <v>2866</v>
      </c>
      <c r="E3" s="2946" t="s">
        <v>2812</v>
      </c>
      <c r="F3" s="2946" t="s">
        <v>2867</v>
      </c>
      <c r="G3" s="2946" t="s">
        <v>2630</v>
      </c>
      <c r="H3" s="2947"/>
      <c r="I3" s="2948" t="s">
        <v>2868</v>
      </c>
      <c r="J3" s="2949" t="s">
        <v>128</v>
      </c>
      <c r="K3" s="2949" t="s">
        <v>129</v>
      </c>
      <c r="L3" s="2948" t="s">
        <v>130</v>
      </c>
      <c r="M3" s="2948" t="s">
        <v>131</v>
      </c>
      <c r="N3" s="2948" t="s">
        <v>132</v>
      </c>
      <c r="O3" s="2948" t="s">
        <v>133</v>
      </c>
      <c r="P3" s="2948" t="s">
        <v>134</v>
      </c>
      <c r="Q3" s="2948" t="s">
        <v>135</v>
      </c>
      <c r="R3" s="2948" t="s">
        <v>136</v>
      </c>
      <c r="S3" s="2948" t="s">
        <v>2869</v>
      </c>
      <c r="T3" s="2948" t="s">
        <v>2870</v>
      </c>
    </row>
    <row r="4" spans="1:20" s="2950" customFormat="1" ht="12" thickBot="1">
      <c r="A4" s="3495"/>
      <c r="B4" s="2951" t="s">
        <v>2871</v>
      </c>
      <c r="C4" s="2951" t="s">
        <v>2872</v>
      </c>
      <c r="D4" s="2951" t="s">
        <v>2872</v>
      </c>
      <c r="E4" s="2951" t="s">
        <v>2872</v>
      </c>
      <c r="F4" s="2952" t="s">
        <v>2872</v>
      </c>
      <c r="G4" s="2952" t="s">
        <v>2872</v>
      </c>
      <c r="H4" s="2947"/>
      <c r="I4" s="2949" t="s">
        <v>137</v>
      </c>
      <c r="J4" s="2949" t="s">
        <v>111</v>
      </c>
      <c r="K4" s="2949" t="s">
        <v>138</v>
      </c>
      <c r="L4" s="2948" t="s">
        <v>139</v>
      </c>
      <c r="M4" s="2948" t="s">
        <v>140</v>
      </c>
      <c r="N4" s="2948" t="s">
        <v>141</v>
      </c>
      <c r="O4" s="2948" t="s">
        <v>142</v>
      </c>
      <c r="P4" s="2948" t="s">
        <v>143</v>
      </c>
      <c r="Q4" s="2948" t="s">
        <v>2873</v>
      </c>
      <c r="R4" s="2948" t="s">
        <v>2874</v>
      </c>
      <c r="S4" s="2948" t="s">
        <v>2875</v>
      </c>
      <c r="T4" s="2948" t="s">
        <v>2876</v>
      </c>
    </row>
    <row r="5" spans="1:20">
      <c r="A5" s="2953" t="s">
        <v>2839</v>
      </c>
      <c r="B5" s="2944" t="s">
        <v>2853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2877</v>
      </c>
      <c r="R5" s="2948" t="s">
        <v>2878</v>
      </c>
      <c r="S5" s="2948" t="s">
        <v>153</v>
      </c>
      <c r="T5" s="2948" t="s">
        <v>2879</v>
      </c>
    </row>
    <row r="6" spans="1:20" ht="12" thickBot="1">
      <c r="A6" s="2948" t="s">
        <v>144</v>
      </c>
      <c r="B6" s="2948" t="s">
        <v>2868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2880</v>
      </c>
      <c r="Q6" s="2948" t="s">
        <v>2881</v>
      </c>
      <c r="R6" s="2948" t="s">
        <v>161</v>
      </c>
      <c r="S6" s="2948" t="s">
        <v>2882</v>
      </c>
      <c r="T6" s="2948" t="s">
        <v>2883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2884</v>
      </c>
      <c r="Q7" s="2948" t="s">
        <v>2885</v>
      </c>
      <c r="R7" s="2948" t="s">
        <v>2886</v>
      </c>
      <c r="S7" s="2948" t="s">
        <v>2887</v>
      </c>
      <c r="T7" s="2948" t="s">
        <v>2888</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2889</v>
      </c>
      <c r="Q8" s="2948" t="s">
        <v>174</v>
      </c>
      <c r="R8" s="2948" t="s">
        <v>2890</v>
      </c>
      <c r="S8" s="2948" t="s">
        <v>2891</v>
      </c>
      <c r="T8" s="2955" t="s">
        <v>2892</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2893</v>
      </c>
      <c r="Q9" s="2948" t="s">
        <v>182</v>
      </c>
      <c r="R9" s="2948" t="s">
        <v>183</v>
      </c>
      <c r="S9" s="2948" t="s">
        <v>200</v>
      </c>
    </row>
    <row r="10" spans="1:20">
      <c r="A10" s="2953" t="s">
        <v>184</v>
      </c>
      <c r="B10" s="2944" t="s">
        <v>2854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2895</v>
      </c>
      <c r="P11" s="2948" t="s">
        <v>191</v>
      </c>
      <c r="Q11" s="2948" t="s">
        <v>199</v>
      </c>
      <c r="R11" s="2948" t="s">
        <v>2896</v>
      </c>
      <c r="S11" s="2948" t="s">
        <v>2897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2898</v>
      </c>
      <c r="P12" s="2948" t="s">
        <v>2899</v>
      </c>
      <c r="Q12" s="2948" t="s">
        <v>2900</v>
      </c>
      <c r="R12" s="2948" t="s">
        <v>2901</v>
      </c>
      <c r="S12" s="2948" t="s">
        <v>2902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2904</v>
      </c>
      <c r="K14" s="2949" t="s">
        <v>215</v>
      </c>
      <c r="L14" s="2948" t="s">
        <v>216</v>
      </c>
      <c r="M14" s="2948" t="s">
        <v>217</v>
      </c>
      <c r="N14" s="2948" t="s">
        <v>218</v>
      </c>
      <c r="O14" s="2948" t="s">
        <v>240</v>
      </c>
      <c r="P14" s="2948" t="s">
        <v>213</v>
      </c>
      <c r="Q14" s="2948" t="s">
        <v>2905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2906</v>
      </c>
      <c r="P15" s="2948" t="s">
        <v>2907</v>
      </c>
      <c r="Q15" s="2948" t="s">
        <v>242</v>
      </c>
      <c r="R15" s="2948" t="s">
        <v>2908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2909</v>
      </c>
      <c r="P16" s="2948" t="s">
        <v>227</v>
      </c>
      <c r="Q16" s="2948" t="s">
        <v>250</v>
      </c>
      <c r="R16" s="2948" t="s">
        <v>207</v>
      </c>
      <c r="S16" s="2948" t="s">
        <v>2910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2911</v>
      </c>
      <c r="P17" s="2948" t="s">
        <v>2912</v>
      </c>
      <c r="Q17" s="2948" t="s">
        <v>256</v>
      </c>
      <c r="R17" s="2948" t="s">
        <v>2913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2914</v>
      </c>
      <c r="P18" s="2948" t="s">
        <v>241</v>
      </c>
      <c r="Q18" s="2948" t="s">
        <v>2915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2916</v>
      </c>
      <c r="P19" s="2948" t="s">
        <v>249</v>
      </c>
      <c r="Q19" s="2948" t="s">
        <v>2917</v>
      </c>
      <c r="R19" s="2948" t="s">
        <v>265</v>
      </c>
      <c r="S19" s="2948" t="s">
        <v>2918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2919</v>
      </c>
      <c r="P20" s="2948" t="s">
        <v>2920</v>
      </c>
      <c r="Q20" s="2948" t="s">
        <v>290</v>
      </c>
      <c r="R20" s="2948" t="s">
        <v>2921</v>
      </c>
      <c r="S20" s="2948" t="s">
        <v>277</v>
      </c>
    </row>
    <row r="21" spans="1:19" ht="14.25" customHeight="1" thickBot="1">
      <c r="A21" s="2948" t="s">
        <v>184</v>
      </c>
      <c r="B21" s="2949" t="s">
        <v>208</v>
      </c>
      <c r="C21" s="2948">
        <v>32370</v>
      </c>
      <c r="D21" s="2948">
        <v>26730</v>
      </c>
      <c r="E21" s="2948">
        <v>26640</v>
      </c>
      <c r="F21" s="2948"/>
      <c r="G21" s="2948">
        <v>19440</v>
      </c>
      <c r="J21" s="2955" t="s">
        <v>2922</v>
      </c>
      <c r="K21" s="2949" t="s">
        <v>267</v>
      </c>
      <c r="L21" s="2948" t="s">
        <v>268</v>
      </c>
      <c r="M21" s="2948" t="s">
        <v>269</v>
      </c>
      <c r="N21" s="2948" t="s">
        <v>270</v>
      </c>
      <c r="O21" s="2948" t="s">
        <v>264</v>
      </c>
      <c r="P21" s="2948" t="s">
        <v>283</v>
      </c>
      <c r="Q21" s="2948" t="s">
        <v>293</v>
      </c>
      <c r="R21" s="2948" t="s">
        <v>2923</v>
      </c>
      <c r="S21" s="2955" t="s">
        <v>2924</v>
      </c>
    </row>
    <row r="22" spans="1:19" ht="14.25" customHeight="1">
      <c r="A22" s="2948" t="s">
        <v>184</v>
      </c>
      <c r="B22" s="2949" t="s">
        <v>2904</v>
      </c>
      <c r="C22" s="2948">
        <v>29830</v>
      </c>
      <c r="D22" s="2948">
        <v>27600</v>
      </c>
      <c r="E22" s="2948">
        <v>28150</v>
      </c>
      <c r="F22" s="2948"/>
      <c r="G22" s="2948">
        <v>20080</v>
      </c>
      <c r="K22" s="2949" t="s">
        <v>2925</v>
      </c>
      <c r="L22" s="2948" t="s">
        <v>272</v>
      </c>
      <c r="M22" s="2948" t="s">
        <v>273</v>
      </c>
      <c r="N22" s="2948" t="s">
        <v>274</v>
      </c>
      <c r="O22" s="2948" t="s">
        <v>2926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2927</v>
      </c>
      <c r="L23" s="2948" t="s">
        <v>278</v>
      </c>
      <c r="M23" s="2948" t="s">
        <v>279</v>
      </c>
      <c r="N23" s="2948" t="s">
        <v>2928</v>
      </c>
      <c r="O23" s="2948" t="s">
        <v>2929</v>
      </c>
      <c r="P23" s="2948" t="s">
        <v>289</v>
      </c>
      <c r="Q23" s="2948" t="s">
        <v>298</v>
      </c>
      <c r="R23" s="2948" t="s">
        <v>2930</v>
      </c>
    </row>
    <row r="24" spans="1:19" ht="14.25" customHeight="1">
      <c r="A24" s="2948" t="s">
        <v>184</v>
      </c>
      <c r="B24" s="2949" t="s">
        <v>230</v>
      </c>
      <c r="C24" s="2948">
        <v>27930</v>
      </c>
      <c r="D24" s="2948">
        <v>32260</v>
      </c>
      <c r="E24" s="2948">
        <v>32120</v>
      </c>
      <c r="F24" s="2948"/>
      <c r="G24" s="2948">
        <v>23470</v>
      </c>
      <c r="K24" s="2949" t="s">
        <v>2931</v>
      </c>
      <c r="L24" s="2948" t="s">
        <v>281</v>
      </c>
      <c r="M24" s="2948" t="s">
        <v>282</v>
      </c>
      <c r="N24" s="2948" t="s">
        <v>2932</v>
      </c>
      <c r="O24" s="2948" t="s">
        <v>285</v>
      </c>
      <c r="P24" s="2948" t="s">
        <v>2933</v>
      </c>
      <c r="Q24" s="2957" t="s">
        <v>2934</v>
      </c>
      <c r="R24" s="2948" t="s">
        <v>2935</v>
      </c>
    </row>
    <row r="25" spans="1:19" ht="14.25" customHeight="1">
      <c r="A25" s="2948" t="s">
        <v>184</v>
      </c>
      <c r="B25" s="2949" t="s">
        <v>235</v>
      </c>
      <c r="C25" s="2948">
        <v>32230</v>
      </c>
      <c r="D25" s="2948">
        <v>29640</v>
      </c>
      <c r="E25" s="2948">
        <v>29510</v>
      </c>
      <c r="F25" s="2948"/>
      <c r="G25" s="2948">
        <v>21560</v>
      </c>
      <c r="K25" s="2949" t="s">
        <v>2936</v>
      </c>
      <c r="L25" s="2948" t="s">
        <v>2937</v>
      </c>
      <c r="M25" s="2948" t="s">
        <v>284</v>
      </c>
      <c r="N25" s="2948" t="s">
        <v>292</v>
      </c>
      <c r="O25" s="2948" t="s">
        <v>288</v>
      </c>
      <c r="P25" s="2948" t="s">
        <v>275</v>
      </c>
      <c r="Q25" s="2957" t="s">
        <v>271</v>
      </c>
      <c r="R25" s="2948" t="s">
        <v>2938</v>
      </c>
    </row>
    <row r="26" spans="1:19" ht="14.25" customHeight="1" thickBot="1">
      <c r="A26" s="2948" t="s">
        <v>184</v>
      </c>
      <c r="B26" s="2949" t="s">
        <v>244</v>
      </c>
      <c r="C26" s="2948">
        <v>31690</v>
      </c>
      <c r="D26" s="2948">
        <v>27650</v>
      </c>
      <c r="E26" s="2948">
        <v>28200</v>
      </c>
      <c r="F26" s="2948"/>
      <c r="G26" s="2948">
        <v>20110</v>
      </c>
      <c r="K26" s="2954" t="s">
        <v>2939</v>
      </c>
      <c r="L26" s="2948" t="s">
        <v>2940</v>
      </c>
      <c r="M26" s="2948" t="s">
        <v>287</v>
      </c>
      <c r="N26" s="2948" t="s">
        <v>294</v>
      </c>
      <c r="O26" s="2948" t="s">
        <v>2941</v>
      </c>
      <c r="P26" s="2948" t="s">
        <v>2942</v>
      </c>
      <c r="Q26" s="2957" t="s">
        <v>276</v>
      </c>
      <c r="R26" s="2948" t="s">
        <v>2943</v>
      </c>
    </row>
    <row r="27" spans="1:19" ht="14.25" customHeight="1">
      <c r="A27" s="2948" t="s">
        <v>184</v>
      </c>
      <c r="B27" s="2949" t="s">
        <v>251</v>
      </c>
      <c r="C27" s="2948">
        <v>29610</v>
      </c>
      <c r="D27" s="2948">
        <v>27770</v>
      </c>
      <c r="E27" s="2948">
        <v>28300</v>
      </c>
      <c r="F27" s="2948"/>
      <c r="G27" s="2948">
        <v>20210</v>
      </c>
      <c r="L27" s="2948" t="s">
        <v>2944</v>
      </c>
      <c r="M27" s="2948" t="s">
        <v>291</v>
      </c>
      <c r="N27" s="2948" t="s">
        <v>297</v>
      </c>
      <c r="O27" s="2948" t="s">
        <v>2945</v>
      </c>
      <c r="P27" s="2948" t="s">
        <v>2946</v>
      </c>
      <c r="Q27" s="2948" t="s">
        <v>2947</v>
      </c>
      <c r="R27" s="2948" t="s">
        <v>2948</v>
      </c>
    </row>
    <row r="28" spans="1:19" ht="14.25" customHeight="1">
      <c r="A28" s="2948" t="s">
        <v>184</v>
      </c>
      <c r="B28" s="2949" t="s">
        <v>259</v>
      </c>
      <c r="C28" s="2948"/>
      <c r="D28" s="2948">
        <v>31520</v>
      </c>
      <c r="E28" s="2948">
        <v>31410</v>
      </c>
      <c r="F28" s="2948"/>
      <c r="G28" s="2948">
        <v>22940</v>
      </c>
      <c r="L28" s="2948" t="s">
        <v>2949</v>
      </c>
      <c r="M28" s="2948" t="s">
        <v>2950</v>
      </c>
      <c r="N28" s="2948" t="s">
        <v>2951</v>
      </c>
      <c r="O28" s="2948" t="s">
        <v>2952</v>
      </c>
      <c r="P28" s="2948" t="s">
        <v>2953</v>
      </c>
      <c r="Q28" s="2948" t="s">
        <v>2954</v>
      </c>
      <c r="R28" s="2948" t="s">
        <v>2955</v>
      </c>
    </row>
    <row r="29" spans="1:19" ht="14.25" customHeight="1" thickBot="1">
      <c r="A29" s="2956" t="s">
        <v>184</v>
      </c>
      <c r="B29" s="2958" t="s">
        <v>2922</v>
      </c>
      <c r="C29" s="2959"/>
      <c r="D29" s="2959">
        <v>29460</v>
      </c>
      <c r="E29" s="2959">
        <v>28640</v>
      </c>
      <c r="F29" s="2959"/>
      <c r="G29" s="2959">
        <v>21430</v>
      </c>
      <c r="L29" s="2948" t="s">
        <v>2956</v>
      </c>
      <c r="M29" s="2948" t="s">
        <v>2957</v>
      </c>
      <c r="N29" s="2948" t="s">
        <v>2958</v>
      </c>
      <c r="O29" s="2948" t="s">
        <v>2959</v>
      </c>
      <c r="P29" s="2948" t="s">
        <v>2960</v>
      </c>
      <c r="Q29" s="2948" t="s">
        <v>2961</v>
      </c>
      <c r="R29" s="2948" t="s">
        <v>280</v>
      </c>
    </row>
    <row r="30" spans="1:19" ht="14.25" customHeight="1">
      <c r="A30" s="2953" t="s">
        <v>296</v>
      </c>
      <c r="B30" s="2944" t="s">
        <v>2855</v>
      </c>
      <c r="C30" s="2944">
        <v>26890</v>
      </c>
      <c r="D30" s="2944">
        <v>26770</v>
      </c>
      <c r="E30" s="2944">
        <v>25700</v>
      </c>
      <c r="F30" s="2944">
        <v>8180</v>
      </c>
      <c r="G30" s="2960">
        <v>18740</v>
      </c>
      <c r="L30" s="2948" t="s">
        <v>2962</v>
      </c>
      <c r="M30" s="2948" t="s">
        <v>2963</v>
      </c>
      <c r="N30" s="2948" t="s">
        <v>2964</v>
      </c>
      <c r="O30" s="2948" t="s">
        <v>2965</v>
      </c>
      <c r="P30" s="2948" t="s">
        <v>2966</v>
      </c>
      <c r="Q30" s="2948" t="s">
        <v>2967</v>
      </c>
      <c r="R30" s="2948" t="s">
        <v>2968</v>
      </c>
    </row>
    <row r="31" spans="1:19" ht="14.25" customHeight="1">
      <c r="A31" s="2948" t="s">
        <v>296</v>
      </c>
      <c r="B31" s="2949" t="s">
        <v>129</v>
      </c>
      <c r="C31" s="2948">
        <v>24550</v>
      </c>
      <c r="D31" s="2948">
        <v>23990</v>
      </c>
      <c r="E31" s="2948">
        <v>22930</v>
      </c>
      <c r="F31" s="2948">
        <v>7470</v>
      </c>
      <c r="G31" s="2961">
        <v>16790</v>
      </c>
      <c r="L31" s="2948" t="s">
        <v>2969</v>
      </c>
      <c r="M31" s="2948" t="s">
        <v>2970</v>
      </c>
      <c r="N31" s="2948" t="s">
        <v>2971</v>
      </c>
      <c r="O31" s="2948" t="s">
        <v>2972</v>
      </c>
      <c r="P31" s="2948" t="s">
        <v>2973</v>
      </c>
      <c r="Q31" s="2948" t="s">
        <v>2974</v>
      </c>
      <c r="R31" s="2948" t="s">
        <v>2975</v>
      </c>
    </row>
    <row r="32" spans="1:19" ht="14.25" customHeight="1" thickBot="1">
      <c r="A32" s="2948" t="s">
        <v>296</v>
      </c>
      <c r="B32" s="2949" t="s">
        <v>138</v>
      </c>
      <c r="C32" s="2948">
        <v>27210</v>
      </c>
      <c r="D32" s="2948">
        <v>23240</v>
      </c>
      <c r="E32" s="2948">
        <v>23260</v>
      </c>
      <c r="F32" s="2948">
        <v>7130</v>
      </c>
      <c r="G32" s="2961">
        <v>16270</v>
      </c>
      <c r="L32" s="2948" t="s">
        <v>2976</v>
      </c>
      <c r="M32" s="2948" t="s">
        <v>2977</v>
      </c>
      <c r="N32" s="2948" t="s">
        <v>300</v>
      </c>
      <c r="O32" s="2948" t="s">
        <v>2978</v>
      </c>
      <c r="P32" s="2948" t="s">
        <v>299</v>
      </c>
      <c r="Q32" s="2948" t="s">
        <v>2979</v>
      </c>
      <c r="R32" s="2955" t="s">
        <v>2980</v>
      </c>
    </row>
    <row r="33" spans="1:17" ht="14.25" customHeight="1" thickBot="1">
      <c r="A33" s="2948" t="s">
        <v>296</v>
      </c>
      <c r="B33" s="2949" t="s">
        <v>147</v>
      </c>
      <c r="C33" s="2948">
        <v>27300</v>
      </c>
      <c r="D33" s="2948">
        <v>22980</v>
      </c>
      <c r="E33" s="2948">
        <v>24260</v>
      </c>
      <c r="F33" s="2948">
        <v>5860</v>
      </c>
      <c r="G33" s="2961">
        <v>16090</v>
      </c>
      <c r="L33" s="2955" t="s">
        <v>2981</v>
      </c>
      <c r="M33" s="2948" t="s">
        <v>2982</v>
      </c>
      <c r="N33" s="2948" t="s">
        <v>301</v>
      </c>
      <c r="O33" s="2948" t="s">
        <v>2983</v>
      </c>
      <c r="P33" s="2948" t="s">
        <v>2984</v>
      </c>
      <c r="Q33" s="2948" t="s">
        <v>2985</v>
      </c>
    </row>
    <row r="34" spans="1:17" ht="14.25" customHeight="1">
      <c r="A34" s="2948" t="s">
        <v>296</v>
      </c>
      <c r="B34" s="2949" t="s">
        <v>156</v>
      </c>
      <c r="C34" s="2948">
        <v>23090</v>
      </c>
      <c r="D34" s="2948">
        <v>23390</v>
      </c>
      <c r="E34" s="2948">
        <v>23510</v>
      </c>
      <c r="F34" s="2948">
        <v>6700</v>
      </c>
      <c r="G34" s="2961">
        <v>16370</v>
      </c>
      <c r="M34" s="2948" t="s">
        <v>2986</v>
      </c>
      <c r="N34" s="2948" t="s">
        <v>302</v>
      </c>
      <c r="O34" s="2948" t="s">
        <v>2987</v>
      </c>
      <c r="P34" s="2948" t="s">
        <v>2988</v>
      </c>
      <c r="Q34" s="2948" t="s">
        <v>2989</v>
      </c>
    </row>
    <row r="35" spans="1:17" ht="14.25" customHeight="1">
      <c r="A35" s="2948" t="s">
        <v>296</v>
      </c>
      <c r="B35" s="2949" t="s">
        <v>163</v>
      </c>
      <c r="C35" s="2948">
        <v>27270</v>
      </c>
      <c r="D35" s="2948">
        <v>24270</v>
      </c>
      <c r="E35" s="2948">
        <v>24950</v>
      </c>
      <c r="F35" s="2948">
        <v>6600</v>
      </c>
      <c r="G35" s="2961">
        <v>16990</v>
      </c>
      <c r="M35" s="2948" t="s">
        <v>2990</v>
      </c>
      <c r="N35" s="2948" t="s">
        <v>2991</v>
      </c>
      <c r="O35" s="2948" t="s">
        <v>2992</v>
      </c>
      <c r="P35" s="2948" t="s">
        <v>2993</v>
      </c>
      <c r="Q35" s="2948" t="s">
        <v>2994</v>
      </c>
    </row>
    <row r="36" spans="1:17" ht="14.25" customHeight="1">
      <c r="A36" s="2948" t="s">
        <v>296</v>
      </c>
      <c r="B36" s="2949" t="s">
        <v>169</v>
      </c>
      <c r="C36" s="2948">
        <v>23490</v>
      </c>
      <c r="D36" s="2948">
        <v>23020</v>
      </c>
      <c r="E36" s="2948">
        <v>25230</v>
      </c>
      <c r="F36" s="2948">
        <v>6780</v>
      </c>
      <c r="G36" s="2961">
        <v>16120</v>
      </c>
      <c r="M36" s="2948" t="s">
        <v>2995</v>
      </c>
      <c r="N36" s="2948" t="s">
        <v>2996</v>
      </c>
      <c r="O36" s="2948" t="s">
        <v>2997</v>
      </c>
      <c r="P36" s="2948" t="s">
        <v>2998</v>
      </c>
      <c r="Q36" s="2948" t="s">
        <v>2999</v>
      </c>
    </row>
    <row r="37" spans="1:17" ht="14.25" customHeight="1">
      <c r="A37" s="2948" t="s">
        <v>296</v>
      </c>
      <c r="B37" s="2949" t="s">
        <v>176</v>
      </c>
      <c r="C37" s="2948">
        <v>24380</v>
      </c>
      <c r="D37" s="2948">
        <v>22240</v>
      </c>
      <c r="E37" s="2948">
        <v>25980</v>
      </c>
      <c r="F37" s="2948">
        <v>8160</v>
      </c>
      <c r="G37" s="2961">
        <v>15570</v>
      </c>
      <c r="M37" s="2948" t="s">
        <v>3000</v>
      </c>
      <c r="N37" s="2948" t="s">
        <v>3001</v>
      </c>
      <c r="O37" s="2948" t="s">
        <v>3002</v>
      </c>
      <c r="P37" s="2948" t="s">
        <v>3003</v>
      </c>
      <c r="Q37" s="2948" t="s">
        <v>3004</v>
      </c>
    </row>
    <row r="38" spans="1:17" ht="14.25" customHeight="1">
      <c r="A38" s="2948" t="s">
        <v>296</v>
      </c>
      <c r="B38" s="2949" t="s">
        <v>186</v>
      </c>
      <c r="C38" s="2948">
        <v>23120</v>
      </c>
      <c r="D38" s="2948">
        <v>24630</v>
      </c>
      <c r="E38" s="2948">
        <v>25030</v>
      </c>
      <c r="F38" s="2948">
        <v>7710</v>
      </c>
      <c r="G38" s="2961">
        <v>17240</v>
      </c>
      <c r="M38" s="2948" t="s">
        <v>3005</v>
      </c>
      <c r="N38" s="2948" t="s">
        <v>3006</v>
      </c>
      <c r="O38" s="2948" t="s">
        <v>3007</v>
      </c>
      <c r="P38" s="2948" t="s">
        <v>3008</v>
      </c>
      <c r="Q38" s="2948" t="s">
        <v>3009</v>
      </c>
    </row>
    <row r="39" spans="1:17" ht="14.25" customHeight="1">
      <c r="A39" s="2948" t="s">
        <v>296</v>
      </c>
      <c r="B39" s="2949" t="s">
        <v>195</v>
      </c>
      <c r="C39" s="2948">
        <v>22330</v>
      </c>
      <c r="D39" s="2948">
        <v>21140</v>
      </c>
      <c r="E39" s="2948">
        <v>23970</v>
      </c>
      <c r="F39" s="2948">
        <v>7940</v>
      </c>
      <c r="G39" s="2961">
        <v>14790</v>
      </c>
      <c r="M39" s="2948" t="s">
        <v>3010</v>
      </c>
      <c r="N39" s="2948" t="s">
        <v>3011</v>
      </c>
      <c r="O39" s="2948" t="s">
        <v>3012</v>
      </c>
      <c r="P39" s="2948" t="s">
        <v>3013</v>
      </c>
      <c r="Q39" s="2948" t="s">
        <v>3014</v>
      </c>
    </row>
    <row r="40" spans="1:17" ht="14.25" customHeight="1">
      <c r="A40" s="2948" t="s">
        <v>296</v>
      </c>
      <c r="B40" s="2949" t="s">
        <v>202</v>
      </c>
      <c r="C40" s="2948">
        <v>24740</v>
      </c>
      <c r="D40" s="2948">
        <v>24690</v>
      </c>
      <c r="E40" s="2948">
        <v>22610</v>
      </c>
      <c r="F40" s="2948"/>
      <c r="G40" s="2961">
        <v>17280</v>
      </c>
      <c r="M40" s="2948" t="s">
        <v>3015</v>
      </c>
      <c r="N40" s="2948" t="s">
        <v>3016</v>
      </c>
      <c r="O40" s="2948" t="s">
        <v>3017</v>
      </c>
      <c r="P40" s="2948" t="s">
        <v>3018</v>
      </c>
      <c r="Q40" s="2948" t="s">
        <v>3019</v>
      </c>
    </row>
    <row r="41" spans="1:17" ht="14.25" customHeight="1" thickBot="1">
      <c r="A41" s="2948" t="s">
        <v>296</v>
      </c>
      <c r="B41" s="2949" t="s">
        <v>209</v>
      </c>
      <c r="C41" s="2948">
        <v>21220</v>
      </c>
      <c r="D41" s="2948">
        <v>21120</v>
      </c>
      <c r="E41" s="2948">
        <v>22590</v>
      </c>
      <c r="F41" s="2948"/>
      <c r="G41" s="2961">
        <v>14780</v>
      </c>
      <c r="M41" s="2955" t="s">
        <v>3020</v>
      </c>
      <c r="N41" s="2948" t="s">
        <v>3021</v>
      </c>
      <c r="O41" s="2948" t="s">
        <v>3022</v>
      </c>
      <c r="P41" s="2948" t="s">
        <v>3023</v>
      </c>
      <c r="Q41" s="2948" t="s">
        <v>3024</v>
      </c>
    </row>
    <row r="42" spans="1:17" ht="14.25" customHeight="1">
      <c r="A42" s="2948" t="s">
        <v>296</v>
      </c>
      <c r="B42" s="2949" t="s">
        <v>215</v>
      </c>
      <c r="C42" s="2948">
        <v>24800</v>
      </c>
      <c r="D42" s="2948">
        <v>22280</v>
      </c>
      <c r="E42" s="2948">
        <v>24350</v>
      </c>
      <c r="F42" s="2948"/>
      <c r="G42" s="2961">
        <v>15590</v>
      </c>
      <c r="N42" s="2948" t="s">
        <v>3025</v>
      </c>
      <c r="O42" s="2948" t="s">
        <v>3026</v>
      </c>
      <c r="P42" s="2948" t="s">
        <v>3027</v>
      </c>
      <c r="Q42" s="2948" t="s">
        <v>3028</v>
      </c>
    </row>
    <row r="43" spans="1:17" ht="14.25" customHeight="1">
      <c r="A43" s="2948" t="s">
        <v>3029</v>
      </c>
      <c r="B43" s="2949" t="s">
        <v>223</v>
      </c>
      <c r="C43" s="2948">
        <v>21210</v>
      </c>
      <c r="D43" s="2948">
        <v>21160</v>
      </c>
      <c r="E43" s="2948">
        <v>22650</v>
      </c>
      <c r="F43" s="2948"/>
      <c r="G43" s="2961">
        <v>14800</v>
      </c>
      <c r="N43" s="2948" t="s">
        <v>3030</v>
      </c>
      <c r="O43" s="2948" t="s">
        <v>3031</v>
      </c>
      <c r="P43" s="2948" t="s">
        <v>3032</v>
      </c>
      <c r="Q43" s="2948" t="s">
        <v>3033</v>
      </c>
    </row>
    <row r="44" spans="1:17" ht="14.25" customHeight="1" thickBot="1">
      <c r="A44" s="2948" t="s">
        <v>296</v>
      </c>
      <c r="B44" s="2949" t="s">
        <v>231</v>
      </c>
      <c r="C44" s="2948">
        <v>22370</v>
      </c>
      <c r="D44" s="2948">
        <v>23140</v>
      </c>
      <c r="E44" s="2948">
        <v>25090</v>
      </c>
      <c r="F44" s="2948"/>
      <c r="G44" s="2961">
        <v>16190</v>
      </c>
      <c r="N44" s="2948" t="s">
        <v>3034</v>
      </c>
      <c r="O44" s="2948" t="s">
        <v>3035</v>
      </c>
      <c r="P44" s="2955" t="s">
        <v>3036</v>
      </c>
      <c r="Q44" s="2948" t="s">
        <v>3037</v>
      </c>
    </row>
    <row r="45" spans="1:17" ht="14.25" customHeight="1" thickBot="1">
      <c r="A45" s="2948" t="s">
        <v>296</v>
      </c>
      <c r="B45" s="2949" t="s">
        <v>236</v>
      </c>
      <c r="C45" s="2948">
        <v>21240</v>
      </c>
      <c r="D45" s="2948">
        <v>27050</v>
      </c>
      <c r="E45" s="2948">
        <v>28000</v>
      </c>
      <c r="F45" s="2948"/>
      <c r="G45" s="2961">
        <v>18940</v>
      </c>
      <c r="N45" s="2948" t="s">
        <v>3038</v>
      </c>
      <c r="O45" s="2955" t="s">
        <v>3039</v>
      </c>
      <c r="Q45" s="2948" t="s">
        <v>3040</v>
      </c>
    </row>
    <row r="46" spans="1:17" ht="14.25" customHeight="1">
      <c r="A46" s="2948" t="s">
        <v>296</v>
      </c>
      <c r="B46" s="2949" t="s">
        <v>245</v>
      </c>
      <c r="C46" s="2948">
        <v>23240</v>
      </c>
      <c r="D46" s="2948">
        <v>23000</v>
      </c>
      <c r="E46" s="2948">
        <v>24980</v>
      </c>
      <c r="F46" s="2948"/>
      <c r="G46" s="2961">
        <v>16100</v>
      </c>
      <c r="N46" s="2948" t="s">
        <v>3041</v>
      </c>
      <c r="Q46" s="2948" t="s">
        <v>3042</v>
      </c>
    </row>
    <row r="47" spans="1:17" ht="14.25" customHeight="1">
      <c r="A47" s="2948" t="s">
        <v>296</v>
      </c>
      <c r="B47" s="2949" t="s">
        <v>252</v>
      </c>
      <c r="C47" s="2948">
        <v>27150</v>
      </c>
      <c r="D47" s="2948">
        <v>23310</v>
      </c>
      <c r="E47" s="2948">
        <v>25150</v>
      </c>
      <c r="F47" s="2948"/>
      <c r="G47" s="2961">
        <v>16310</v>
      </c>
      <c r="N47" s="2948" t="s">
        <v>3043</v>
      </c>
      <c r="Q47" s="2948" t="s">
        <v>3044</v>
      </c>
    </row>
    <row r="48" spans="1:17" ht="14.25" customHeight="1">
      <c r="A48" s="2948" t="s">
        <v>296</v>
      </c>
      <c r="B48" s="2949" t="s">
        <v>260</v>
      </c>
      <c r="C48" s="2948">
        <v>23100</v>
      </c>
      <c r="D48" s="2948">
        <v>21110</v>
      </c>
      <c r="E48" s="2948">
        <v>23080</v>
      </c>
      <c r="F48" s="2948"/>
      <c r="G48" s="2961">
        <v>14780</v>
      </c>
      <c r="N48" s="2948" t="s">
        <v>3045</v>
      </c>
      <c r="Q48" s="2948" t="s">
        <v>3046</v>
      </c>
    </row>
    <row r="49" spans="1:17" ht="14.25" customHeight="1">
      <c r="A49" s="2948" t="s">
        <v>296</v>
      </c>
      <c r="B49" s="2949" t="s">
        <v>267</v>
      </c>
      <c r="C49" s="2948">
        <v>23400</v>
      </c>
      <c r="D49" s="2948">
        <v>22920</v>
      </c>
      <c r="E49" s="2948">
        <v>24900</v>
      </c>
      <c r="F49" s="2948"/>
      <c r="G49" s="2961">
        <v>16040</v>
      </c>
      <c r="N49" s="2948" t="s">
        <v>3047</v>
      </c>
      <c r="Q49" s="2948" t="s">
        <v>3048</v>
      </c>
    </row>
    <row r="50" spans="1:17" ht="14.25" customHeight="1">
      <c r="A50" s="2948" t="s">
        <v>296</v>
      </c>
      <c r="B50" s="2949" t="s">
        <v>2925</v>
      </c>
      <c r="C50" s="2948">
        <v>21200</v>
      </c>
      <c r="D50" s="2948">
        <v>26540</v>
      </c>
      <c r="E50" s="2948">
        <v>23200</v>
      </c>
      <c r="F50" s="2948"/>
      <c r="G50" s="2961">
        <v>18580</v>
      </c>
      <c r="N50" s="2948" t="s">
        <v>3049</v>
      </c>
      <c r="Q50" s="2949" t="s">
        <v>3050</v>
      </c>
    </row>
    <row r="51" spans="1:17" ht="14.25" customHeight="1" thickBot="1">
      <c r="A51" s="2948" t="s">
        <v>296</v>
      </c>
      <c r="B51" s="2949" t="s">
        <v>2927</v>
      </c>
      <c r="C51" s="2948">
        <v>23000</v>
      </c>
      <c r="D51" s="2948">
        <v>23460</v>
      </c>
      <c r="E51" s="2948">
        <v>25290</v>
      </c>
      <c r="F51" s="2948"/>
      <c r="G51" s="2961">
        <v>16420</v>
      </c>
      <c r="N51" s="2948" t="s">
        <v>3051</v>
      </c>
      <c r="Q51" s="2955" t="s">
        <v>3052</v>
      </c>
    </row>
    <row r="52" spans="1:17" ht="14.25" customHeight="1">
      <c r="A52" s="2948" t="s">
        <v>296</v>
      </c>
      <c r="B52" s="2949" t="s">
        <v>2931</v>
      </c>
      <c r="C52" s="2948">
        <v>26660</v>
      </c>
      <c r="D52" s="2948">
        <v>22350</v>
      </c>
      <c r="E52" s="2948">
        <v>22920</v>
      </c>
      <c r="F52" s="2948"/>
      <c r="G52" s="2961">
        <v>15640</v>
      </c>
      <c r="N52" s="2948" t="s">
        <v>3053</v>
      </c>
    </row>
    <row r="53" spans="1:17" ht="14.25" customHeight="1">
      <c r="A53" s="2948" t="s">
        <v>296</v>
      </c>
      <c r="B53" s="2949" t="s">
        <v>2936</v>
      </c>
      <c r="C53" s="2948">
        <v>23580</v>
      </c>
      <c r="D53" s="2948"/>
      <c r="E53" s="2948">
        <v>24280</v>
      </c>
      <c r="F53" s="2948"/>
      <c r="G53" s="2961"/>
      <c r="N53" s="2948" t="s">
        <v>3054</v>
      </c>
    </row>
    <row r="54" spans="1:17" ht="14.25" customHeight="1" thickBot="1">
      <c r="A54" s="2962" t="s">
        <v>296</v>
      </c>
      <c r="B54" s="2954" t="s">
        <v>2939</v>
      </c>
      <c r="C54" s="2955">
        <v>22460</v>
      </c>
      <c r="D54" s="2955"/>
      <c r="E54" s="2955"/>
      <c r="F54" s="2955"/>
      <c r="G54" s="2963"/>
      <c r="N54" s="2948" t="s">
        <v>3055</v>
      </c>
    </row>
    <row r="55" spans="1:17" ht="14.25" customHeight="1">
      <c r="A55" s="2953" t="s">
        <v>110</v>
      </c>
      <c r="B55" s="2944" t="s">
        <v>3056</v>
      </c>
      <c r="C55" s="2948">
        <v>21970</v>
      </c>
      <c r="D55" s="2948">
        <v>20370</v>
      </c>
      <c r="E55" s="2948">
        <v>20180</v>
      </c>
      <c r="F55" s="2948">
        <v>5730</v>
      </c>
      <c r="G55" s="2948">
        <v>13820</v>
      </c>
      <c r="N55" s="2948" t="s">
        <v>3057</v>
      </c>
    </row>
    <row r="56" spans="1:17" ht="14.25" customHeight="1">
      <c r="A56" s="2948" t="s">
        <v>110</v>
      </c>
      <c r="B56" s="2948" t="s">
        <v>130</v>
      </c>
      <c r="C56" s="2948">
        <v>20470</v>
      </c>
      <c r="D56" s="2948">
        <v>20700</v>
      </c>
      <c r="E56" s="2948">
        <v>20380</v>
      </c>
      <c r="F56" s="2948">
        <v>4760</v>
      </c>
      <c r="G56" s="2948">
        <v>14050</v>
      </c>
      <c r="N56" s="2948" t="s">
        <v>3058</v>
      </c>
    </row>
    <row r="57" spans="1:17" ht="14.25" customHeight="1">
      <c r="A57" s="2948" t="s">
        <v>110</v>
      </c>
      <c r="B57" s="2948" t="s">
        <v>139</v>
      </c>
      <c r="C57" s="2948">
        <v>20790</v>
      </c>
      <c r="D57" s="2948">
        <v>21370</v>
      </c>
      <c r="E57" s="2948">
        <v>20890</v>
      </c>
      <c r="F57" s="2948">
        <v>4910</v>
      </c>
      <c r="G57" s="2948">
        <v>14510</v>
      </c>
      <c r="N57" s="2948" t="s">
        <v>3059</v>
      </c>
    </row>
    <row r="58" spans="1:17" ht="14.25" customHeight="1">
      <c r="A58" s="2948" t="s">
        <v>110</v>
      </c>
      <c r="B58" s="2948" t="s">
        <v>148</v>
      </c>
      <c r="C58" s="2948">
        <v>21460</v>
      </c>
      <c r="D58" s="2948">
        <v>20920</v>
      </c>
      <c r="E58" s="2948">
        <v>23410</v>
      </c>
      <c r="F58" s="2948">
        <v>5100</v>
      </c>
      <c r="G58" s="2948">
        <v>14200</v>
      </c>
      <c r="N58" s="2948" t="s">
        <v>3060</v>
      </c>
    </row>
    <row r="59" spans="1:17" ht="14.25" customHeight="1">
      <c r="A59" s="2948" t="s">
        <v>110</v>
      </c>
      <c r="B59" s="2948" t="s">
        <v>157</v>
      </c>
      <c r="C59" s="2948">
        <v>21000</v>
      </c>
      <c r="D59" s="2948">
        <v>21550</v>
      </c>
      <c r="E59" s="2948">
        <v>21150</v>
      </c>
      <c r="F59" s="2948">
        <v>5250</v>
      </c>
      <c r="G59" s="2948">
        <v>14630</v>
      </c>
      <c r="N59" s="2948" t="s">
        <v>3061</v>
      </c>
    </row>
    <row r="60" spans="1:17" ht="14.25" customHeight="1">
      <c r="A60" s="2948" t="s">
        <v>110</v>
      </c>
      <c r="B60" s="2948" t="s">
        <v>164</v>
      </c>
      <c r="C60" s="2948">
        <v>21640</v>
      </c>
      <c r="D60" s="2948">
        <v>21260</v>
      </c>
      <c r="E60" s="2948">
        <v>24040</v>
      </c>
      <c r="F60" s="2948">
        <v>4470</v>
      </c>
      <c r="G60" s="2948">
        <v>14430</v>
      </c>
      <c r="N60" s="2948" t="s">
        <v>3062</v>
      </c>
    </row>
    <row r="61" spans="1:17" ht="14.25" customHeight="1">
      <c r="A61" s="2948" t="s">
        <v>110</v>
      </c>
      <c r="B61" s="2948" t="s">
        <v>170</v>
      </c>
      <c r="C61" s="2948">
        <v>21330</v>
      </c>
      <c r="D61" s="2948">
        <v>18640</v>
      </c>
      <c r="E61" s="2948">
        <v>21190</v>
      </c>
      <c r="F61" s="2948">
        <v>4180</v>
      </c>
      <c r="G61" s="2948">
        <v>12650</v>
      </c>
      <c r="N61" s="2948" t="s">
        <v>3063</v>
      </c>
    </row>
    <row r="62" spans="1:17" ht="14.25" customHeight="1">
      <c r="A62" s="2948" t="s">
        <v>110</v>
      </c>
      <c r="B62" s="2948" t="s">
        <v>177</v>
      </c>
      <c r="C62" s="2948">
        <v>18710</v>
      </c>
      <c r="D62" s="2948">
        <v>19400</v>
      </c>
      <c r="E62" s="2948">
        <v>23750</v>
      </c>
      <c r="F62" s="2948">
        <v>4860</v>
      </c>
      <c r="G62" s="2948">
        <v>13170</v>
      </c>
      <c r="N62" s="2948" t="s">
        <v>3064</v>
      </c>
    </row>
    <row r="63" spans="1:17" ht="14.25" customHeight="1">
      <c r="A63" s="2948" t="s">
        <v>110</v>
      </c>
      <c r="B63" s="2948" t="s">
        <v>187</v>
      </c>
      <c r="C63" s="2948">
        <v>19480</v>
      </c>
      <c r="D63" s="2948">
        <v>16830</v>
      </c>
      <c r="E63" s="2948">
        <v>21590</v>
      </c>
      <c r="F63" s="2948">
        <v>4560</v>
      </c>
      <c r="G63" s="2948">
        <v>11420</v>
      </c>
      <c r="N63" s="2948" t="s">
        <v>3065</v>
      </c>
    </row>
    <row r="64" spans="1:17" ht="14.25" customHeight="1" thickBot="1">
      <c r="A64" s="2948" t="s">
        <v>110</v>
      </c>
      <c r="B64" s="2948" t="s">
        <v>196</v>
      </c>
      <c r="C64" s="2948">
        <v>16920</v>
      </c>
      <c r="D64" s="2948">
        <v>19190</v>
      </c>
      <c r="E64" s="2948">
        <v>22200</v>
      </c>
      <c r="F64" s="2948">
        <v>4390</v>
      </c>
      <c r="G64" s="2948">
        <v>13030</v>
      </c>
      <c r="N64" s="2955" t="s">
        <v>3066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2937</v>
      </c>
      <c r="C78" s="2948">
        <v>19820</v>
      </c>
      <c r="D78" s="2948">
        <v>19780</v>
      </c>
      <c r="E78" s="2948">
        <v>18560</v>
      </c>
      <c r="F78" s="2948"/>
      <c r="G78" s="2948">
        <v>13430</v>
      </c>
    </row>
    <row r="79" spans="1:7" s="2782" customFormat="1" ht="14.25" customHeight="1">
      <c r="A79" s="2948" t="s">
        <v>110</v>
      </c>
      <c r="B79" s="2948" t="s">
        <v>2940</v>
      </c>
      <c r="C79" s="2948">
        <v>21660</v>
      </c>
      <c r="D79" s="2948">
        <v>18000</v>
      </c>
      <c r="E79" s="2948">
        <v>22570</v>
      </c>
      <c r="F79" s="2948"/>
      <c r="G79" s="2948">
        <v>12220</v>
      </c>
    </row>
    <row r="80" spans="1:7" s="2782" customFormat="1" ht="14.25" customHeight="1">
      <c r="A80" s="2948" t="s">
        <v>110</v>
      </c>
      <c r="B80" s="2948" t="s">
        <v>2944</v>
      </c>
      <c r="C80" s="2948">
        <v>19850</v>
      </c>
      <c r="D80" s="2948"/>
      <c r="E80" s="2948">
        <v>21700</v>
      </c>
      <c r="F80" s="2948"/>
      <c r="G80" s="2948"/>
    </row>
    <row r="81" spans="1:7" s="2782" customFormat="1" ht="14.25" customHeight="1">
      <c r="A81" s="2948" t="s">
        <v>110</v>
      </c>
      <c r="B81" s="2948" t="s">
        <v>2949</v>
      </c>
      <c r="C81" s="2948">
        <v>18080</v>
      </c>
      <c r="D81" s="2948"/>
      <c r="E81" s="2948">
        <v>20900</v>
      </c>
      <c r="F81" s="2948"/>
      <c r="G81" s="2948"/>
    </row>
    <row r="82" spans="1:7" s="2782" customFormat="1" ht="14.25" customHeight="1">
      <c r="A82" s="2948" t="s">
        <v>110</v>
      </c>
      <c r="B82" s="2948" t="s">
        <v>2956</v>
      </c>
      <c r="C82" s="2948"/>
      <c r="D82" s="2948"/>
      <c r="E82" s="2948">
        <v>20840</v>
      </c>
      <c r="F82" s="2948"/>
      <c r="G82" s="2948"/>
    </row>
    <row r="83" spans="1:7" s="2782" customFormat="1" ht="14.25" customHeight="1">
      <c r="A83" s="2948" t="s">
        <v>110</v>
      </c>
      <c r="B83" s="2948" t="s">
        <v>3067</v>
      </c>
      <c r="C83" s="2948"/>
      <c r="D83" s="2948"/>
      <c r="E83" s="2948"/>
      <c r="F83" s="2948">
        <v>4770</v>
      </c>
      <c r="G83" s="2948"/>
    </row>
    <row r="84" spans="1:7" s="2782" customFormat="1" ht="14.25" customHeight="1">
      <c r="A84" s="2948" t="s">
        <v>110</v>
      </c>
      <c r="B84" s="2948" t="s">
        <v>3068</v>
      </c>
      <c r="C84" s="2948"/>
      <c r="D84" s="2948"/>
      <c r="E84" s="2948"/>
      <c r="F84" s="2948">
        <v>4600</v>
      </c>
      <c r="G84" s="2948"/>
    </row>
    <row r="85" spans="1:7" s="2782" customFormat="1" ht="14.25" customHeight="1">
      <c r="A85" s="2948" t="s">
        <v>110</v>
      </c>
      <c r="B85" s="2948" t="s">
        <v>3069</v>
      </c>
      <c r="C85" s="2948"/>
      <c r="D85" s="2948"/>
      <c r="E85" s="2948"/>
      <c r="F85" s="2948">
        <v>4680</v>
      </c>
      <c r="G85" s="2948"/>
    </row>
    <row r="86" spans="1:7" s="2782" customFormat="1" ht="14.25" customHeight="1" thickBot="1">
      <c r="A86" s="2956" t="s">
        <v>110</v>
      </c>
      <c r="B86" s="2958" t="s">
        <v>3070</v>
      </c>
      <c r="C86" s="2959">
        <v>16610</v>
      </c>
      <c r="D86" s="2959">
        <v>16540</v>
      </c>
      <c r="E86" s="2959">
        <v>18850</v>
      </c>
      <c r="F86" s="2959"/>
      <c r="G86" s="2959">
        <v>11220</v>
      </c>
    </row>
    <row r="87" spans="1:7" s="2782" customFormat="1" ht="14.25" customHeight="1">
      <c r="A87" s="2953" t="s">
        <v>303</v>
      </c>
      <c r="B87" s="2944" t="s">
        <v>3071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2950</v>
      </c>
      <c r="C113" s="2948">
        <v>15520</v>
      </c>
      <c r="D113" s="2948">
        <v>15450</v>
      </c>
      <c r="E113" s="2948"/>
      <c r="F113" s="2948"/>
      <c r="G113" s="2961">
        <v>10210</v>
      </c>
    </row>
    <row r="114" spans="1:7" s="2782" customFormat="1" ht="14.25" customHeight="1">
      <c r="A114" s="2948" t="s">
        <v>303</v>
      </c>
      <c r="B114" s="2948" t="s">
        <v>2957</v>
      </c>
      <c r="C114" s="2948">
        <v>13110</v>
      </c>
      <c r="D114" s="2948">
        <v>13050</v>
      </c>
      <c r="E114" s="2948"/>
      <c r="F114" s="2948"/>
      <c r="G114" s="2961">
        <v>8620</v>
      </c>
    </row>
    <row r="115" spans="1:7" s="2782" customFormat="1" ht="14.25" customHeight="1">
      <c r="A115" s="2948" t="s">
        <v>303</v>
      </c>
      <c r="B115" s="2948" t="s">
        <v>2963</v>
      </c>
      <c r="C115" s="2948">
        <v>12460</v>
      </c>
      <c r="D115" s="2948">
        <v>12390</v>
      </c>
      <c r="E115" s="2948"/>
      <c r="F115" s="2948"/>
      <c r="G115" s="2961">
        <v>8190</v>
      </c>
    </row>
    <row r="116" spans="1:7" s="2782" customFormat="1" ht="14.25" customHeight="1">
      <c r="A116" s="2948" t="s">
        <v>303</v>
      </c>
      <c r="B116" s="2948" t="s">
        <v>2970</v>
      </c>
      <c r="C116" s="2948">
        <v>13580</v>
      </c>
      <c r="D116" s="2948">
        <v>13520</v>
      </c>
      <c r="E116" s="2948"/>
      <c r="F116" s="2948"/>
      <c r="G116" s="2961">
        <v>8930</v>
      </c>
    </row>
    <row r="117" spans="1:7" s="2782" customFormat="1" ht="14.25" customHeight="1">
      <c r="A117" s="2948" t="s">
        <v>303</v>
      </c>
      <c r="B117" s="2948" t="s">
        <v>2977</v>
      </c>
      <c r="C117" s="2948">
        <v>17120</v>
      </c>
      <c r="D117" s="2948">
        <v>17040</v>
      </c>
      <c r="E117" s="2948"/>
      <c r="F117" s="2948"/>
      <c r="G117" s="2961">
        <v>11260</v>
      </c>
    </row>
    <row r="118" spans="1:7" s="2782" customFormat="1" ht="14.25" customHeight="1">
      <c r="A118" s="2948" t="s">
        <v>303</v>
      </c>
      <c r="B118" s="2948" t="s">
        <v>2982</v>
      </c>
      <c r="C118" s="2948">
        <v>14860</v>
      </c>
      <c r="D118" s="2948">
        <v>14790</v>
      </c>
      <c r="E118" s="2948"/>
      <c r="F118" s="2948"/>
      <c r="G118" s="2961">
        <v>9780</v>
      </c>
    </row>
    <row r="119" spans="1:7" s="2782" customFormat="1" ht="14.25" customHeight="1">
      <c r="A119" s="2948" t="s">
        <v>303</v>
      </c>
      <c r="B119" s="2948" t="s">
        <v>2986</v>
      </c>
      <c r="C119" s="2948">
        <v>16470</v>
      </c>
      <c r="D119" s="2948">
        <v>16400</v>
      </c>
      <c r="E119" s="2948"/>
      <c r="F119" s="2948"/>
      <c r="G119" s="2961">
        <v>10840</v>
      </c>
    </row>
    <row r="120" spans="1:7" s="2782" customFormat="1" ht="14.25" customHeight="1">
      <c r="A120" s="2948" t="s">
        <v>303</v>
      </c>
      <c r="B120" s="2948" t="s">
        <v>3072</v>
      </c>
      <c r="C120" s="2948"/>
      <c r="D120" s="2948"/>
      <c r="E120" s="2948"/>
      <c r="F120" s="2948">
        <v>4160</v>
      </c>
      <c r="G120" s="2961"/>
    </row>
    <row r="121" spans="1:7" s="2782" customFormat="1" ht="14.25" customHeight="1">
      <c r="A121" s="2948" t="s">
        <v>303</v>
      </c>
      <c r="B121" s="2948" t="s">
        <v>3073</v>
      </c>
      <c r="C121" s="2948"/>
      <c r="D121" s="2948"/>
      <c r="E121" s="2948"/>
      <c r="F121" s="2948">
        <v>3880</v>
      </c>
      <c r="G121" s="2961"/>
    </row>
    <row r="122" spans="1:7" s="2782" customFormat="1" ht="14.25" customHeight="1">
      <c r="A122" s="2948" t="s">
        <v>303</v>
      </c>
      <c r="B122" s="2948" t="s">
        <v>3074</v>
      </c>
      <c r="C122" s="2948">
        <v>13750</v>
      </c>
      <c r="D122" s="2948">
        <v>13680</v>
      </c>
      <c r="E122" s="2948">
        <v>16460</v>
      </c>
      <c r="F122" s="2948">
        <v>2880</v>
      </c>
      <c r="G122" s="2961">
        <v>9040</v>
      </c>
    </row>
    <row r="123" spans="1:7" s="2782" customFormat="1" ht="14.25" customHeight="1">
      <c r="A123" s="2948" t="s">
        <v>303</v>
      </c>
      <c r="B123" s="2948" t="s">
        <v>3005</v>
      </c>
      <c r="C123" s="2948">
        <v>13590</v>
      </c>
      <c r="D123" s="2948">
        <v>13520</v>
      </c>
      <c r="E123" s="2948">
        <v>16290</v>
      </c>
      <c r="F123" s="2948">
        <v>2790</v>
      </c>
      <c r="G123" s="2961">
        <v>8930</v>
      </c>
    </row>
    <row r="124" spans="1:7" s="2782" customFormat="1" ht="14.25" customHeight="1">
      <c r="A124" s="2948" t="s">
        <v>303</v>
      </c>
      <c r="B124" s="2948" t="s">
        <v>3010</v>
      </c>
      <c r="C124" s="2948">
        <v>13400</v>
      </c>
      <c r="D124" s="2948">
        <v>13320</v>
      </c>
      <c r="E124" s="2948">
        <v>16100</v>
      </c>
      <c r="F124" s="2948">
        <v>2320</v>
      </c>
      <c r="G124" s="2961">
        <v>8800</v>
      </c>
    </row>
    <row r="125" spans="1:7" s="2782" customFormat="1" ht="14.25" customHeight="1">
      <c r="A125" s="2948" t="s">
        <v>303</v>
      </c>
      <c r="B125" s="2948" t="s">
        <v>3015</v>
      </c>
      <c r="C125" s="2948">
        <v>12860</v>
      </c>
      <c r="D125" s="2948">
        <v>12790</v>
      </c>
      <c r="E125" s="2948">
        <v>15370</v>
      </c>
      <c r="F125" s="2948">
        <v>2280</v>
      </c>
      <c r="G125" s="2961">
        <v>8450</v>
      </c>
    </row>
    <row r="126" spans="1:7" s="2782" customFormat="1" ht="14.25" customHeight="1" thickBot="1">
      <c r="A126" s="2962" t="s">
        <v>303</v>
      </c>
      <c r="B126" s="2955" t="s">
        <v>3020</v>
      </c>
      <c r="C126" s="2955">
        <v>12960</v>
      </c>
      <c r="D126" s="2955">
        <v>12890</v>
      </c>
      <c r="E126" s="2955">
        <v>15530</v>
      </c>
      <c r="F126" s="2955">
        <v>2910</v>
      </c>
      <c r="G126" s="2963">
        <v>8520</v>
      </c>
    </row>
    <row r="127" spans="1:7" s="2782" customFormat="1" ht="14.25" customHeight="1">
      <c r="A127" s="2953" t="s">
        <v>29</v>
      </c>
      <c r="B127" s="2944" t="s">
        <v>3075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3076</v>
      </c>
      <c r="C148" s="2948">
        <v>10370</v>
      </c>
      <c r="D148" s="2948">
        <v>10310</v>
      </c>
      <c r="E148" s="2948">
        <v>12970</v>
      </c>
      <c r="F148" s="2948"/>
      <c r="G148" s="2948">
        <v>6630</v>
      </c>
    </row>
    <row r="149" spans="1:7" s="2782" customFormat="1" ht="14.25" customHeight="1">
      <c r="A149" s="2948" t="s">
        <v>29</v>
      </c>
      <c r="B149" s="2948" t="s">
        <v>3077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2951</v>
      </c>
      <c r="C153" s="2948">
        <v>10880</v>
      </c>
      <c r="D153" s="2948">
        <v>10820</v>
      </c>
      <c r="E153" s="2948">
        <v>13660</v>
      </c>
      <c r="F153" s="2948">
        <v>2260</v>
      </c>
      <c r="G153" s="2948">
        <v>6970</v>
      </c>
    </row>
    <row r="154" spans="1:7" s="2782" customFormat="1" ht="14.25" customHeight="1">
      <c r="A154" s="2948" t="s">
        <v>29</v>
      </c>
      <c r="B154" s="2948" t="s">
        <v>3078</v>
      </c>
      <c r="C154" s="2948">
        <v>11220</v>
      </c>
      <c r="D154" s="2948">
        <v>11160</v>
      </c>
      <c r="E154" s="2948">
        <v>14130</v>
      </c>
      <c r="F154" s="2948">
        <v>2230</v>
      </c>
      <c r="G154" s="2948">
        <v>7180</v>
      </c>
    </row>
    <row r="155" spans="1:7" s="2782" customFormat="1" ht="14.25" customHeight="1">
      <c r="A155" s="2948" t="s">
        <v>29</v>
      </c>
      <c r="B155" s="2948" t="s">
        <v>2964</v>
      </c>
      <c r="C155" s="2948">
        <v>10430</v>
      </c>
      <c r="D155" s="2948">
        <v>10380</v>
      </c>
      <c r="E155" s="2948">
        <v>13140</v>
      </c>
      <c r="F155" s="2948">
        <v>2080</v>
      </c>
      <c r="G155" s="2948">
        <v>6650</v>
      </c>
    </row>
    <row r="156" spans="1:7" s="2782" customFormat="1" ht="14.25" customHeight="1">
      <c r="A156" s="2948" t="s">
        <v>29</v>
      </c>
      <c r="B156" s="2948" t="s">
        <v>3079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3080</v>
      </c>
      <c r="C160" s="2948">
        <v>11180</v>
      </c>
      <c r="D160" s="2948">
        <v>11140</v>
      </c>
      <c r="E160" s="2948">
        <v>14050</v>
      </c>
      <c r="F160" s="2948">
        <v>2270</v>
      </c>
      <c r="G160" s="2948">
        <v>7170</v>
      </c>
    </row>
    <row r="161" spans="1:7" s="2782" customFormat="1" ht="14.25" customHeight="1">
      <c r="A161" s="2948" t="s">
        <v>29</v>
      </c>
      <c r="B161" s="2948" t="s">
        <v>2996</v>
      </c>
      <c r="C161" s="2948">
        <v>11160</v>
      </c>
      <c r="D161" s="2948">
        <v>11120</v>
      </c>
      <c r="E161" s="2948">
        <v>14020</v>
      </c>
      <c r="F161" s="2948">
        <v>2150</v>
      </c>
      <c r="G161" s="2948">
        <v>7160</v>
      </c>
    </row>
    <row r="162" spans="1:7" s="2782" customFormat="1" ht="14.25" customHeight="1">
      <c r="A162" s="2948" t="s">
        <v>29</v>
      </c>
      <c r="B162" s="2948" t="s">
        <v>3001</v>
      </c>
      <c r="C162" s="2948">
        <v>9620</v>
      </c>
      <c r="D162" s="2948">
        <v>9570</v>
      </c>
      <c r="E162" s="2948">
        <v>12320</v>
      </c>
      <c r="F162" s="2948">
        <v>2010</v>
      </c>
      <c r="G162" s="2948">
        <v>6160</v>
      </c>
    </row>
    <row r="163" spans="1:7" s="2782" customFormat="1" ht="14.25" customHeight="1">
      <c r="A163" s="2948" t="s">
        <v>29</v>
      </c>
      <c r="B163" s="2948" t="s">
        <v>3006</v>
      </c>
      <c r="C163" s="2948">
        <v>9320</v>
      </c>
      <c r="D163" s="2948">
        <v>9270</v>
      </c>
      <c r="E163" s="2948">
        <v>11790</v>
      </c>
      <c r="F163" s="2948">
        <v>1920</v>
      </c>
      <c r="G163" s="2948">
        <v>5960</v>
      </c>
    </row>
    <row r="164" spans="1:7" s="2782" customFormat="1" ht="14.25" customHeight="1">
      <c r="A164" s="2948" t="s">
        <v>29</v>
      </c>
      <c r="B164" s="2948" t="s">
        <v>3011</v>
      </c>
      <c r="C164" s="2948"/>
      <c r="D164" s="2948"/>
      <c r="E164" s="2948"/>
      <c r="F164" s="2948">
        <v>1980</v>
      </c>
      <c r="G164" s="2948"/>
    </row>
    <row r="165" spans="1:7" s="2782" customFormat="1" ht="14.25" customHeight="1">
      <c r="A165" s="2948" t="s">
        <v>29</v>
      </c>
      <c r="B165" s="2948" t="s">
        <v>3081</v>
      </c>
      <c r="C165" s="2948">
        <v>11060</v>
      </c>
      <c r="D165" s="2948">
        <v>11030</v>
      </c>
      <c r="E165" s="2948">
        <v>13850</v>
      </c>
      <c r="F165" s="2948">
        <v>2170</v>
      </c>
      <c r="G165" s="2948">
        <v>7090</v>
      </c>
    </row>
    <row r="166" spans="1:7" s="2782" customFormat="1" ht="14.25" customHeight="1">
      <c r="A166" s="2948" t="s">
        <v>29</v>
      </c>
      <c r="B166" s="2948" t="s">
        <v>3021</v>
      </c>
      <c r="C166" s="2948">
        <v>11050</v>
      </c>
      <c r="D166" s="2948">
        <v>11010</v>
      </c>
      <c r="E166" s="2948">
        <v>13920</v>
      </c>
      <c r="F166" s="2948">
        <v>2140</v>
      </c>
      <c r="G166" s="2948">
        <v>7080</v>
      </c>
    </row>
    <row r="167" spans="1:7" s="2782" customFormat="1" ht="14.25" customHeight="1">
      <c r="A167" s="2948" t="s">
        <v>29</v>
      </c>
      <c r="B167" s="2948" t="s">
        <v>3025</v>
      </c>
      <c r="C167" s="2948">
        <v>10930</v>
      </c>
      <c r="D167" s="2948">
        <v>10890</v>
      </c>
      <c r="E167" s="2948">
        <v>13790</v>
      </c>
      <c r="F167" s="2948">
        <v>2010</v>
      </c>
      <c r="G167" s="2948">
        <v>7000</v>
      </c>
    </row>
    <row r="168" spans="1:7" s="2782" customFormat="1" ht="14.25" customHeight="1">
      <c r="A168" s="2948" t="s">
        <v>29</v>
      </c>
      <c r="B168" s="2948" t="s">
        <v>3030</v>
      </c>
      <c r="C168" s="2948">
        <v>9420</v>
      </c>
      <c r="D168" s="2948">
        <v>9380</v>
      </c>
      <c r="E168" s="2948">
        <v>11970</v>
      </c>
      <c r="F168" s="2948"/>
      <c r="G168" s="2948">
        <v>6040</v>
      </c>
    </row>
    <row r="169" spans="1:7" s="2782" customFormat="1" ht="14.25" customHeight="1">
      <c r="A169" s="2948" t="s">
        <v>29</v>
      </c>
      <c r="B169" s="2948" t="s">
        <v>3082</v>
      </c>
      <c r="C169" s="2948"/>
      <c r="D169" s="2948"/>
      <c r="E169" s="2948"/>
      <c r="F169" s="2948">
        <v>2880</v>
      </c>
      <c r="G169" s="2948"/>
    </row>
    <row r="170" spans="1:7" s="2782" customFormat="1" ht="14.25" customHeight="1">
      <c r="A170" s="2948" t="s">
        <v>29</v>
      </c>
      <c r="B170" s="2948" t="s">
        <v>3038</v>
      </c>
      <c r="C170" s="2948"/>
      <c r="D170" s="2948"/>
      <c r="E170" s="2948"/>
      <c r="F170" s="2948">
        <v>2880</v>
      </c>
      <c r="G170" s="2948"/>
    </row>
    <row r="171" spans="1:7" s="2782" customFormat="1" ht="14.25" customHeight="1">
      <c r="A171" s="2948" t="s">
        <v>29</v>
      </c>
      <c r="B171" s="2948" t="s">
        <v>3041</v>
      </c>
      <c r="C171" s="2948"/>
      <c r="D171" s="2948"/>
      <c r="E171" s="2948"/>
      <c r="F171" s="2948">
        <v>2880</v>
      </c>
      <c r="G171" s="2948"/>
    </row>
    <row r="172" spans="1:7" s="2782" customFormat="1" ht="14.25" customHeight="1">
      <c r="A172" s="2948" t="s">
        <v>29</v>
      </c>
      <c r="B172" s="2948" t="s">
        <v>3043</v>
      </c>
      <c r="C172" s="2948"/>
      <c r="D172" s="2948"/>
      <c r="E172" s="2948"/>
      <c r="F172" s="2948">
        <v>2880</v>
      </c>
      <c r="G172" s="2948"/>
    </row>
    <row r="173" spans="1:7" s="2782" customFormat="1" ht="14.25" customHeight="1">
      <c r="A173" s="2948" t="s">
        <v>29</v>
      </c>
      <c r="B173" s="2948" t="s">
        <v>3045</v>
      </c>
      <c r="C173" s="2948"/>
      <c r="D173" s="2948"/>
      <c r="E173" s="2948"/>
      <c r="F173" s="2948">
        <v>2150</v>
      </c>
      <c r="G173" s="2948"/>
    </row>
    <row r="174" spans="1:7" s="2782" customFormat="1" ht="14.25" customHeight="1">
      <c r="A174" s="2948" t="s">
        <v>29</v>
      </c>
      <c r="B174" s="2948" t="s">
        <v>3047</v>
      </c>
      <c r="C174" s="2948"/>
      <c r="D174" s="2948"/>
      <c r="E174" s="2948"/>
      <c r="F174" s="2948">
        <v>2030</v>
      </c>
      <c r="G174" s="2948"/>
    </row>
    <row r="175" spans="1:7" s="2782" customFormat="1" ht="14.25" customHeight="1">
      <c r="A175" s="2948" t="s">
        <v>29</v>
      </c>
      <c r="B175" s="2948" t="s">
        <v>3049</v>
      </c>
      <c r="C175" s="2948"/>
      <c r="D175" s="2948"/>
      <c r="E175" s="2948"/>
      <c r="F175" s="2948">
        <v>2780</v>
      </c>
      <c r="G175" s="2948"/>
    </row>
    <row r="176" spans="1:7" s="2782" customFormat="1" ht="14.25" customHeight="1">
      <c r="A176" s="2948" t="s">
        <v>29</v>
      </c>
      <c r="B176" s="2948" t="s">
        <v>3051</v>
      </c>
      <c r="C176" s="2948"/>
      <c r="D176" s="2948"/>
      <c r="E176" s="2948"/>
      <c r="F176" s="2948">
        <v>2780</v>
      </c>
      <c r="G176" s="2948"/>
    </row>
    <row r="177" spans="1:7" s="2782" customFormat="1" ht="14.25" customHeight="1">
      <c r="A177" s="2948" t="s">
        <v>29</v>
      </c>
      <c r="B177" s="2948" t="s">
        <v>3083</v>
      </c>
      <c r="C177" s="2948"/>
      <c r="D177" s="2948"/>
      <c r="E177" s="2948"/>
      <c r="F177" s="2948">
        <v>2780</v>
      </c>
      <c r="G177" s="2948"/>
    </row>
    <row r="178" spans="1:7" s="2782" customFormat="1" ht="14.25" customHeight="1">
      <c r="A178" s="2948" t="s">
        <v>29</v>
      </c>
      <c r="B178" s="2948" t="s">
        <v>3084</v>
      </c>
      <c r="C178" s="2948"/>
      <c r="D178" s="2948"/>
      <c r="E178" s="2948"/>
      <c r="F178" s="2948">
        <v>2060</v>
      </c>
      <c r="G178" s="2948"/>
    </row>
    <row r="179" spans="1:7" s="2782" customFormat="1" ht="14.25" customHeight="1">
      <c r="A179" s="2948" t="s">
        <v>29</v>
      </c>
      <c r="B179" s="2948" t="s">
        <v>3085</v>
      </c>
      <c r="C179" s="2948"/>
      <c r="D179" s="2948"/>
      <c r="E179" s="2948"/>
      <c r="F179" s="2948">
        <v>2120</v>
      </c>
      <c r="G179" s="2948"/>
    </row>
    <row r="180" spans="1:7" s="2782" customFormat="1" ht="14.25" customHeight="1">
      <c r="A180" s="2948" t="s">
        <v>29</v>
      </c>
      <c r="B180" s="2948" t="s">
        <v>3057</v>
      </c>
      <c r="C180" s="2948"/>
      <c r="D180" s="2948"/>
      <c r="E180" s="2948"/>
      <c r="F180" s="2948">
        <v>2340</v>
      </c>
      <c r="G180" s="2948"/>
    </row>
    <row r="181" spans="1:7" s="2782" customFormat="1" ht="14.25" customHeight="1">
      <c r="A181" s="2948" t="s">
        <v>29</v>
      </c>
      <c r="B181" s="2948" t="s">
        <v>3058</v>
      </c>
      <c r="C181" s="2948"/>
      <c r="D181" s="2948"/>
      <c r="E181" s="2948"/>
      <c r="F181" s="2948">
        <v>2340</v>
      </c>
      <c r="G181" s="2948"/>
    </row>
    <row r="182" spans="1:7" s="2782" customFormat="1" ht="14.25" customHeight="1">
      <c r="A182" s="2948" t="s">
        <v>29</v>
      </c>
      <c r="B182" s="2948" t="s">
        <v>3059</v>
      </c>
      <c r="C182" s="2948"/>
      <c r="D182" s="2948"/>
      <c r="E182" s="2948"/>
      <c r="F182" s="2948">
        <v>2340</v>
      </c>
      <c r="G182" s="2948"/>
    </row>
    <row r="183" spans="1:7" s="2782" customFormat="1" ht="14.25" customHeight="1">
      <c r="A183" s="2948" t="s">
        <v>29</v>
      </c>
      <c r="B183" s="2948" t="s">
        <v>3060</v>
      </c>
      <c r="C183" s="2948"/>
      <c r="D183" s="2948"/>
      <c r="E183" s="2948"/>
      <c r="F183" s="2948">
        <v>2340</v>
      </c>
      <c r="G183" s="2948"/>
    </row>
    <row r="184" spans="1:7" s="2782" customFormat="1" ht="14.25" customHeight="1">
      <c r="A184" s="2948" t="s">
        <v>29</v>
      </c>
      <c r="B184" s="2948" t="s">
        <v>3061</v>
      </c>
      <c r="C184" s="2948"/>
      <c r="D184" s="2948"/>
      <c r="E184" s="2948"/>
      <c r="F184" s="2948">
        <v>2340</v>
      </c>
      <c r="G184" s="2948"/>
    </row>
    <row r="185" spans="1:7" s="2782" customFormat="1" ht="14.25" customHeight="1">
      <c r="A185" s="2948" t="s">
        <v>29</v>
      </c>
      <c r="B185" s="2948" t="s">
        <v>3062</v>
      </c>
      <c r="C185" s="2948"/>
      <c r="D185" s="2948"/>
      <c r="E185" s="2948"/>
      <c r="F185" s="2948">
        <v>2530</v>
      </c>
      <c r="G185" s="2948"/>
    </row>
    <row r="186" spans="1:7" s="2782" customFormat="1" ht="14.25" customHeight="1">
      <c r="A186" s="2948" t="s">
        <v>29</v>
      </c>
      <c r="B186" s="2948" t="s">
        <v>3063</v>
      </c>
      <c r="C186" s="2948"/>
      <c r="D186" s="2948"/>
      <c r="E186" s="2948"/>
      <c r="F186" s="2948">
        <v>2550</v>
      </c>
      <c r="G186" s="2948"/>
    </row>
    <row r="187" spans="1:7" s="2782" customFormat="1" ht="14.25" customHeight="1">
      <c r="A187" s="2948" t="s">
        <v>29</v>
      </c>
      <c r="B187" s="2948" t="s">
        <v>3064</v>
      </c>
      <c r="C187" s="2948"/>
      <c r="D187" s="2948"/>
      <c r="E187" s="2948"/>
      <c r="F187" s="2948">
        <v>2070</v>
      </c>
      <c r="G187" s="2948"/>
    </row>
    <row r="188" spans="1:7" s="2782" customFormat="1" ht="14.25" customHeight="1">
      <c r="A188" s="2948" t="s">
        <v>29</v>
      </c>
      <c r="B188" s="2948" t="s">
        <v>3065</v>
      </c>
      <c r="C188" s="2948"/>
      <c r="D188" s="2948"/>
      <c r="E188" s="2948"/>
      <c r="F188" s="2948">
        <v>2340</v>
      </c>
      <c r="G188" s="2948"/>
    </row>
    <row r="189" spans="1:7" s="2782" customFormat="1" ht="14.25" customHeight="1" thickBot="1">
      <c r="A189" s="2956" t="s">
        <v>29</v>
      </c>
      <c r="B189" s="2959" t="s">
        <v>3066</v>
      </c>
      <c r="C189" s="2959"/>
      <c r="D189" s="2959"/>
      <c r="E189" s="2959"/>
      <c r="F189" s="2959">
        <v>2050</v>
      </c>
      <c r="G189" s="2959"/>
    </row>
    <row r="190" spans="1:7" s="2782" customFormat="1" ht="14.25" customHeight="1">
      <c r="A190" s="2953" t="s">
        <v>304</v>
      </c>
      <c r="B190" s="2944" t="s">
        <v>3086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3087</v>
      </c>
      <c r="C199" s="2948">
        <v>8690</v>
      </c>
      <c r="D199" s="2948">
        <v>8630</v>
      </c>
      <c r="E199" s="2948">
        <v>11350</v>
      </c>
      <c r="F199" s="2948">
        <v>1600</v>
      </c>
      <c r="G199" s="2961">
        <v>5450</v>
      </c>
    </row>
    <row r="200" spans="1:7" s="2782" customFormat="1" ht="14.25" customHeight="1">
      <c r="A200" s="2948" t="s">
        <v>304</v>
      </c>
      <c r="B200" s="2948" t="s">
        <v>2898</v>
      </c>
      <c r="C200" s="2948"/>
      <c r="D200" s="2948"/>
      <c r="E200" s="2948"/>
      <c r="F200" s="2948">
        <v>1510</v>
      </c>
      <c r="G200" s="2961"/>
    </row>
    <row r="201" spans="1:7" s="2782" customFormat="1" ht="14.25" customHeight="1">
      <c r="A201" s="2948" t="s">
        <v>304</v>
      </c>
      <c r="B201" s="2948" t="s">
        <v>3088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3089</v>
      </c>
      <c r="C203" s="2948">
        <v>8130</v>
      </c>
      <c r="D203" s="2948">
        <v>8070</v>
      </c>
      <c r="E203" s="2948">
        <v>10820</v>
      </c>
      <c r="F203" s="2948">
        <v>1690</v>
      </c>
      <c r="G203" s="2961">
        <v>5100</v>
      </c>
    </row>
    <row r="204" spans="1:7" s="2782" customFormat="1" ht="14.25" customHeight="1">
      <c r="A204" s="2948" t="s">
        <v>304</v>
      </c>
      <c r="B204" s="2948" t="s">
        <v>2909</v>
      </c>
      <c r="C204" s="2948">
        <v>8350</v>
      </c>
      <c r="D204" s="2948">
        <v>8290</v>
      </c>
      <c r="E204" s="2948">
        <v>11080</v>
      </c>
      <c r="F204" s="2948">
        <v>1450</v>
      </c>
      <c r="G204" s="2961">
        <v>5240</v>
      </c>
    </row>
    <row r="205" spans="1:7" s="2782" customFormat="1" ht="14.25" customHeight="1">
      <c r="A205" s="2948" t="s">
        <v>304</v>
      </c>
      <c r="B205" s="2948" t="s">
        <v>2911</v>
      </c>
      <c r="C205" s="2948">
        <v>7190</v>
      </c>
      <c r="D205" s="2948">
        <v>7130</v>
      </c>
      <c r="E205" s="2948">
        <v>9490</v>
      </c>
      <c r="F205" s="2948">
        <v>1470</v>
      </c>
      <c r="G205" s="2961">
        <v>4510</v>
      </c>
    </row>
    <row r="206" spans="1:7" s="2782" customFormat="1" ht="14.25" customHeight="1">
      <c r="A206" s="2948" t="s">
        <v>304</v>
      </c>
      <c r="B206" s="2948" t="s">
        <v>2914</v>
      </c>
      <c r="C206" s="2948">
        <v>7000</v>
      </c>
      <c r="D206" s="2948">
        <v>6950</v>
      </c>
      <c r="E206" s="2948">
        <v>9170</v>
      </c>
      <c r="F206" s="2948">
        <v>1400</v>
      </c>
      <c r="G206" s="2961">
        <v>4380</v>
      </c>
    </row>
    <row r="207" spans="1:7" s="2782" customFormat="1" ht="14.25" customHeight="1">
      <c r="A207" s="2948" t="s">
        <v>304</v>
      </c>
      <c r="B207" s="2948" t="s">
        <v>2916</v>
      </c>
      <c r="C207" s="2948">
        <v>6950</v>
      </c>
      <c r="D207" s="2948">
        <v>6900</v>
      </c>
      <c r="E207" s="2948">
        <v>9110</v>
      </c>
      <c r="F207" s="2948">
        <v>1790</v>
      </c>
      <c r="G207" s="2961">
        <v>4360</v>
      </c>
    </row>
    <row r="208" spans="1:7" s="2782" customFormat="1" ht="14.25" customHeight="1">
      <c r="A208" s="2948" t="s">
        <v>304</v>
      </c>
      <c r="B208" s="2948" t="s">
        <v>3090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2926</v>
      </c>
      <c r="C210" s="2948">
        <v>8710</v>
      </c>
      <c r="D210" s="2948">
        <v>8660</v>
      </c>
      <c r="E210" s="2948">
        <v>11440</v>
      </c>
      <c r="F210" s="2948">
        <v>1740</v>
      </c>
      <c r="G210" s="2961">
        <v>5470</v>
      </c>
    </row>
    <row r="211" spans="1:7" s="2782" customFormat="1" ht="14.25" customHeight="1">
      <c r="A211" s="2948" t="s">
        <v>304</v>
      </c>
      <c r="B211" s="2948" t="s">
        <v>3091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3092</v>
      </c>
      <c r="C214" s="2948">
        <v>8090</v>
      </c>
      <c r="D214" s="2948">
        <v>8030</v>
      </c>
      <c r="E214" s="2948">
        <v>10780</v>
      </c>
      <c r="F214" s="2948">
        <v>1570</v>
      </c>
      <c r="G214" s="2961">
        <v>5070</v>
      </c>
    </row>
    <row r="215" spans="1:7" s="2782" customFormat="1" ht="14.25" customHeight="1">
      <c r="A215" s="2948" t="s">
        <v>304</v>
      </c>
      <c r="B215" s="2948" t="s">
        <v>3093</v>
      </c>
      <c r="C215" s="2948">
        <v>7950</v>
      </c>
      <c r="D215" s="2948">
        <v>7900</v>
      </c>
      <c r="E215" s="2948">
        <v>10560</v>
      </c>
      <c r="F215" s="2948">
        <v>1630</v>
      </c>
      <c r="G215" s="2961">
        <v>4990</v>
      </c>
    </row>
    <row r="216" spans="1:7" s="2782" customFormat="1" ht="14.25" customHeight="1">
      <c r="A216" s="2948" t="s">
        <v>304</v>
      </c>
      <c r="B216" s="2948" t="s">
        <v>3094</v>
      </c>
      <c r="C216" s="2948">
        <v>8490</v>
      </c>
      <c r="D216" s="2948">
        <v>8440</v>
      </c>
      <c r="E216" s="2948">
        <v>11260</v>
      </c>
      <c r="F216" s="2948">
        <v>1690</v>
      </c>
      <c r="G216" s="2961">
        <v>5330</v>
      </c>
    </row>
    <row r="217" spans="1:7" s="2782" customFormat="1" ht="14.25" customHeight="1">
      <c r="A217" s="2948" t="s">
        <v>304</v>
      </c>
      <c r="B217" s="2948" t="s">
        <v>2959</v>
      </c>
      <c r="C217" s="2948">
        <v>8200</v>
      </c>
      <c r="D217" s="2948">
        <v>8150</v>
      </c>
      <c r="E217" s="2948">
        <v>10910</v>
      </c>
      <c r="F217" s="2948">
        <v>1670</v>
      </c>
      <c r="G217" s="2961">
        <v>5150</v>
      </c>
    </row>
    <row r="218" spans="1:7" s="2782" customFormat="1" ht="14.25" customHeight="1">
      <c r="A218" s="2948" t="s">
        <v>304</v>
      </c>
      <c r="B218" s="2948" t="s">
        <v>3095</v>
      </c>
      <c r="C218" s="2948"/>
      <c r="D218" s="2948"/>
      <c r="E218" s="2948"/>
      <c r="F218" s="2948">
        <v>2040</v>
      </c>
      <c r="G218" s="2961"/>
    </row>
    <row r="219" spans="1:7" s="2782" customFormat="1" ht="14.25" customHeight="1">
      <c r="A219" s="2948" t="s">
        <v>304</v>
      </c>
      <c r="B219" s="2948" t="s">
        <v>3096</v>
      </c>
      <c r="C219" s="2948"/>
      <c r="D219" s="2948"/>
      <c r="E219" s="2948"/>
      <c r="F219" s="2948">
        <v>2040</v>
      </c>
      <c r="G219" s="2961"/>
    </row>
    <row r="220" spans="1:7" s="2782" customFormat="1" ht="14.25" customHeight="1">
      <c r="A220" s="2948" t="s">
        <v>304</v>
      </c>
      <c r="B220" s="2948" t="s">
        <v>3097</v>
      </c>
      <c r="C220" s="2948"/>
      <c r="D220" s="2948"/>
      <c r="E220" s="2948"/>
      <c r="F220" s="2948">
        <v>2040</v>
      </c>
      <c r="G220" s="2961"/>
    </row>
    <row r="221" spans="1:7" s="2782" customFormat="1" ht="14.25" customHeight="1">
      <c r="A221" s="2948" t="s">
        <v>304</v>
      </c>
      <c r="B221" s="2948" t="s">
        <v>3098</v>
      </c>
      <c r="C221" s="2948"/>
      <c r="D221" s="2948"/>
      <c r="E221" s="2948"/>
      <c r="F221" s="2948">
        <v>2040</v>
      </c>
      <c r="G221" s="2961"/>
    </row>
    <row r="222" spans="1:7" s="2782" customFormat="1" ht="14.25" customHeight="1">
      <c r="A222" s="2948" t="s">
        <v>304</v>
      </c>
      <c r="B222" s="2948" t="s">
        <v>3099</v>
      </c>
      <c r="C222" s="2948"/>
      <c r="D222" s="2948"/>
      <c r="E222" s="2948"/>
      <c r="F222" s="2948">
        <v>2040</v>
      </c>
      <c r="G222" s="2961"/>
    </row>
    <row r="223" spans="1:7" s="2782" customFormat="1" ht="14.25" customHeight="1">
      <c r="A223" s="2948" t="s">
        <v>304</v>
      </c>
      <c r="B223" s="2948" t="s">
        <v>3100</v>
      </c>
      <c r="C223" s="2948"/>
      <c r="D223" s="2948"/>
      <c r="E223" s="2948"/>
      <c r="F223" s="2948">
        <v>1930</v>
      </c>
      <c r="G223" s="2961"/>
    </row>
    <row r="224" spans="1:7" s="2782" customFormat="1" ht="14.25" customHeight="1">
      <c r="A224" s="2948" t="s">
        <v>304</v>
      </c>
      <c r="B224" s="2948" t="s">
        <v>3101</v>
      </c>
      <c r="C224" s="2948"/>
      <c r="D224" s="2948"/>
      <c r="E224" s="2948"/>
      <c r="F224" s="2948">
        <v>1930</v>
      </c>
      <c r="G224" s="2961"/>
    </row>
    <row r="225" spans="1:7" s="2782" customFormat="1" ht="14.25" customHeight="1">
      <c r="A225" s="2948" t="s">
        <v>304</v>
      </c>
      <c r="B225" s="2948" t="s">
        <v>3102</v>
      </c>
      <c r="C225" s="2948"/>
      <c r="D225" s="2948"/>
      <c r="E225" s="2948"/>
      <c r="F225" s="2948">
        <v>1930</v>
      </c>
      <c r="G225" s="2961"/>
    </row>
    <row r="226" spans="1:7" s="2782" customFormat="1" ht="14.25" customHeight="1">
      <c r="A226" s="2948" t="s">
        <v>304</v>
      </c>
      <c r="B226" s="2948" t="s">
        <v>3103</v>
      </c>
      <c r="C226" s="2948"/>
      <c r="D226" s="2948"/>
      <c r="E226" s="2948"/>
      <c r="F226" s="2948">
        <v>1700</v>
      </c>
      <c r="G226" s="2961"/>
    </row>
    <row r="227" spans="1:7" s="2782" customFormat="1" ht="14.25" customHeight="1">
      <c r="A227" s="2948" t="s">
        <v>304</v>
      </c>
      <c r="B227" s="2948" t="s">
        <v>3104</v>
      </c>
      <c r="C227" s="2948"/>
      <c r="D227" s="2948"/>
      <c r="E227" s="2948"/>
      <c r="F227" s="2948">
        <v>1520</v>
      </c>
      <c r="G227" s="2961"/>
    </row>
    <row r="228" spans="1:7" s="2782" customFormat="1" ht="14.25" customHeight="1">
      <c r="A228" s="2948" t="s">
        <v>304</v>
      </c>
      <c r="B228" s="2948" t="s">
        <v>3105</v>
      </c>
      <c r="C228" s="2948"/>
      <c r="D228" s="2948"/>
      <c r="E228" s="2948"/>
      <c r="F228" s="2948">
        <v>1520</v>
      </c>
      <c r="G228" s="2961"/>
    </row>
    <row r="229" spans="1:7" s="2782" customFormat="1" ht="14.25" customHeight="1">
      <c r="A229" s="2948" t="s">
        <v>304</v>
      </c>
      <c r="B229" s="2948" t="s">
        <v>3022</v>
      </c>
      <c r="C229" s="2948"/>
      <c r="D229" s="2948"/>
      <c r="E229" s="2948"/>
      <c r="F229" s="2948">
        <v>1520</v>
      </c>
      <c r="G229" s="2961"/>
    </row>
    <row r="230" spans="1:7" s="2782" customFormat="1" ht="14.25" customHeight="1">
      <c r="A230" s="2948" t="s">
        <v>304</v>
      </c>
      <c r="B230" s="2948" t="s">
        <v>3106</v>
      </c>
      <c r="C230" s="2948"/>
      <c r="D230" s="2948"/>
      <c r="E230" s="2948"/>
      <c r="F230" s="2948">
        <v>1820</v>
      </c>
      <c r="G230" s="2961"/>
    </row>
    <row r="231" spans="1:7" s="2782" customFormat="1" ht="14.25" customHeight="1">
      <c r="A231" s="2948" t="s">
        <v>304</v>
      </c>
      <c r="B231" s="2948" t="s">
        <v>3107</v>
      </c>
      <c r="C231" s="2948"/>
      <c r="D231" s="2948"/>
      <c r="E231" s="2948"/>
      <c r="F231" s="2948">
        <v>1760</v>
      </c>
      <c r="G231" s="2961"/>
    </row>
    <row r="232" spans="1:7" s="2782" customFormat="1" ht="14.25" customHeight="1">
      <c r="A232" s="2948" t="s">
        <v>304</v>
      </c>
      <c r="B232" s="2948" t="s">
        <v>3108</v>
      </c>
      <c r="C232" s="2948"/>
      <c r="D232" s="2948"/>
      <c r="E232" s="2948"/>
      <c r="F232" s="2948">
        <v>1840</v>
      </c>
      <c r="G232" s="2961"/>
    </row>
    <row r="233" spans="1:7" s="2782" customFormat="1" ht="14.25" customHeight="1" thickBot="1">
      <c r="A233" s="2962" t="s">
        <v>304</v>
      </c>
      <c r="B233" s="2955" t="s">
        <v>3039</v>
      </c>
      <c r="C233" s="2955"/>
      <c r="D233" s="2955"/>
      <c r="E233" s="2955"/>
      <c r="F233" s="2955">
        <v>1770</v>
      </c>
      <c r="G233" s="2963"/>
    </row>
    <row r="234" spans="1:7" s="2782" customFormat="1" ht="14.25" customHeight="1">
      <c r="A234" s="2953" t="s">
        <v>305</v>
      </c>
      <c r="B234" s="2944" t="s">
        <v>3109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2880</v>
      </c>
      <c r="C238" s="2948">
        <v>6920</v>
      </c>
      <c r="D238" s="2948">
        <v>6890</v>
      </c>
      <c r="E238" s="2948">
        <v>8640</v>
      </c>
      <c r="F238" s="2948">
        <v>1310</v>
      </c>
      <c r="G238" s="2948">
        <v>4230</v>
      </c>
    </row>
    <row r="239" spans="1:7" s="2782" customFormat="1" ht="14.25" customHeight="1">
      <c r="A239" s="2948" t="s">
        <v>305</v>
      </c>
      <c r="B239" s="2948" t="s">
        <v>3110</v>
      </c>
      <c r="C239" s="2948">
        <v>6780</v>
      </c>
      <c r="D239" s="2948">
        <v>6750</v>
      </c>
      <c r="E239" s="2948">
        <v>8440</v>
      </c>
      <c r="F239" s="2948">
        <v>1160</v>
      </c>
      <c r="G239" s="2948">
        <v>4140</v>
      </c>
    </row>
    <row r="240" spans="1:7" s="2782" customFormat="1" ht="14.25" customHeight="1">
      <c r="A240" s="2948" t="s">
        <v>305</v>
      </c>
      <c r="B240" s="2948" t="s">
        <v>3111</v>
      </c>
      <c r="C240" s="2948">
        <v>5420</v>
      </c>
      <c r="D240" s="2948">
        <v>5380</v>
      </c>
      <c r="E240" s="2948">
        <v>6640</v>
      </c>
      <c r="F240" s="2948">
        <v>1020</v>
      </c>
      <c r="G240" s="2948">
        <v>3300</v>
      </c>
    </row>
    <row r="241" spans="1:7" s="2782" customFormat="1" ht="14.25" customHeight="1">
      <c r="A241" s="2948" t="s">
        <v>305</v>
      </c>
      <c r="B241" s="2948" t="s">
        <v>3112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2942</v>
      </c>
      <c r="C258" s="2948">
        <v>6190</v>
      </c>
      <c r="D258" s="2948">
        <v>6160</v>
      </c>
      <c r="E258" s="2948">
        <v>7680</v>
      </c>
      <c r="F258" s="2948">
        <v>1170</v>
      </c>
      <c r="G258" s="2948">
        <v>3780</v>
      </c>
    </row>
    <row r="259" spans="1:7" s="2782" customFormat="1" ht="14.25" customHeight="1">
      <c r="A259" s="2948" t="s">
        <v>305</v>
      </c>
      <c r="B259" s="2948" t="s">
        <v>3118</v>
      </c>
      <c r="C259" s="2948">
        <v>7610</v>
      </c>
      <c r="D259" s="2948">
        <v>7570</v>
      </c>
      <c r="E259" s="2948">
        <v>9350</v>
      </c>
      <c r="F259" s="2948">
        <v>1350</v>
      </c>
      <c r="G259" s="2948">
        <v>4650</v>
      </c>
    </row>
    <row r="260" spans="1:7" s="2782" customFormat="1" ht="14.25" customHeight="1">
      <c r="A260" s="2948" t="s">
        <v>305</v>
      </c>
      <c r="B260" s="2948" t="s">
        <v>3119</v>
      </c>
      <c r="C260" s="2948">
        <v>6920</v>
      </c>
      <c r="D260" s="2948">
        <v>6880</v>
      </c>
      <c r="E260" s="2948">
        <v>8380</v>
      </c>
      <c r="F260" s="2948">
        <v>1160</v>
      </c>
      <c r="G260" s="2948">
        <v>4220</v>
      </c>
    </row>
    <row r="261" spans="1:7" s="2782" customFormat="1" ht="14.25" customHeight="1">
      <c r="A261" s="2948" t="s">
        <v>305</v>
      </c>
      <c r="B261" s="2948" t="s">
        <v>3120</v>
      </c>
      <c r="C261" s="2948">
        <v>6850</v>
      </c>
      <c r="D261" s="2948">
        <v>6810</v>
      </c>
      <c r="E261" s="2948">
        <v>8290</v>
      </c>
      <c r="F261" s="2948">
        <v>1130</v>
      </c>
      <c r="G261" s="2948">
        <v>4180</v>
      </c>
    </row>
    <row r="262" spans="1:7" s="2782" customFormat="1" ht="14.25" customHeight="1">
      <c r="A262" s="2948" t="s">
        <v>305</v>
      </c>
      <c r="B262" s="2948" t="s">
        <v>3121</v>
      </c>
      <c r="C262" s="2948">
        <v>5860</v>
      </c>
      <c r="D262" s="2948">
        <v>5820</v>
      </c>
      <c r="E262" s="2948">
        <v>7640</v>
      </c>
      <c r="F262" s="2948">
        <v>1070</v>
      </c>
      <c r="G262" s="2948">
        <v>3570</v>
      </c>
    </row>
    <row r="263" spans="1:7" s="2782" customFormat="1" ht="14.25" customHeight="1">
      <c r="A263" s="2948" t="s">
        <v>305</v>
      </c>
      <c r="B263" s="2948" t="s">
        <v>3122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3123</v>
      </c>
      <c r="C265" s="2948"/>
      <c r="D265" s="2948"/>
      <c r="E265" s="2948"/>
      <c r="F265" s="2948">
        <v>1500</v>
      </c>
      <c r="G265" s="2948"/>
    </row>
    <row r="266" spans="1:7" s="2782" customFormat="1" ht="14.25" customHeight="1">
      <c r="A266" s="2948" t="s">
        <v>305</v>
      </c>
      <c r="B266" s="2948" t="s">
        <v>3124</v>
      </c>
      <c r="C266" s="2948"/>
      <c r="D266" s="2948"/>
      <c r="E266" s="2948"/>
      <c r="F266" s="2948">
        <v>1500</v>
      </c>
      <c r="G266" s="2948"/>
    </row>
    <row r="267" spans="1:7" s="2782" customFormat="1" ht="14.25" customHeight="1">
      <c r="A267" s="2948" t="s">
        <v>305</v>
      </c>
      <c r="B267" s="2948" t="s">
        <v>3125</v>
      </c>
      <c r="C267" s="2948"/>
      <c r="D267" s="2948"/>
      <c r="E267" s="2948"/>
      <c r="F267" s="2948">
        <v>1500</v>
      </c>
      <c r="G267" s="2948"/>
    </row>
    <row r="268" spans="1:7" s="2782" customFormat="1" ht="14.25" customHeight="1">
      <c r="A268" s="2948" t="s">
        <v>305</v>
      </c>
      <c r="B268" s="2948" t="s">
        <v>3126</v>
      </c>
      <c r="C268" s="2948"/>
      <c r="D268" s="2948"/>
      <c r="E268" s="2948"/>
      <c r="F268" s="2948">
        <v>1290</v>
      </c>
      <c r="G268" s="2948"/>
    </row>
    <row r="269" spans="1:7" s="2782" customFormat="1" ht="14.25" customHeight="1">
      <c r="A269" s="2948" t="s">
        <v>305</v>
      </c>
      <c r="B269" s="2948" t="s">
        <v>3127</v>
      </c>
      <c r="C269" s="2948"/>
      <c r="D269" s="2948"/>
      <c r="E269" s="2948"/>
      <c r="F269" s="2948">
        <v>1150</v>
      </c>
      <c r="G269" s="2948"/>
    </row>
    <row r="270" spans="1:7" s="2782" customFormat="1" ht="14.25" customHeight="1">
      <c r="A270" s="2948" t="s">
        <v>305</v>
      </c>
      <c r="B270" s="2948" t="s">
        <v>3128</v>
      </c>
      <c r="C270" s="2948"/>
      <c r="D270" s="2948"/>
      <c r="E270" s="2948"/>
      <c r="F270" s="2948">
        <v>1380</v>
      </c>
      <c r="G270" s="2948"/>
    </row>
    <row r="271" spans="1:7" s="2782" customFormat="1" ht="14.25" customHeight="1">
      <c r="A271" s="2948" t="s">
        <v>305</v>
      </c>
      <c r="B271" s="2948" t="s">
        <v>3129</v>
      </c>
      <c r="C271" s="2948"/>
      <c r="D271" s="2948"/>
      <c r="E271" s="2948"/>
      <c r="F271" s="2948">
        <v>1460</v>
      </c>
      <c r="G271" s="2948"/>
    </row>
    <row r="272" spans="1:7" s="2782" customFormat="1" ht="14.25" customHeight="1">
      <c r="A272" s="2948" t="s">
        <v>305</v>
      </c>
      <c r="B272" s="2948" t="s">
        <v>3130</v>
      </c>
      <c r="C272" s="2948"/>
      <c r="D272" s="2948"/>
      <c r="E272" s="2948"/>
      <c r="F272" s="2948">
        <v>1460</v>
      </c>
      <c r="G272" s="2948"/>
    </row>
    <row r="273" spans="1:7" s="2782" customFormat="1" ht="14.25" customHeight="1">
      <c r="A273" s="2948" t="s">
        <v>305</v>
      </c>
      <c r="B273" s="2948" t="s">
        <v>3023</v>
      </c>
      <c r="C273" s="2948"/>
      <c r="D273" s="2948"/>
      <c r="E273" s="2948"/>
      <c r="F273" s="2948">
        <v>1490</v>
      </c>
      <c r="G273" s="2948"/>
    </row>
    <row r="274" spans="1:7" s="2782" customFormat="1" ht="14.25" customHeight="1">
      <c r="A274" s="2948" t="s">
        <v>305</v>
      </c>
      <c r="B274" s="2948" t="s">
        <v>3131</v>
      </c>
      <c r="C274" s="2948"/>
      <c r="D274" s="2948"/>
      <c r="E274" s="2948"/>
      <c r="F274" s="2948">
        <v>1490</v>
      </c>
      <c r="G274" s="2948"/>
    </row>
    <row r="275" spans="1:7" s="2782" customFormat="1" ht="14.25" customHeight="1">
      <c r="A275" s="2948" t="s">
        <v>305</v>
      </c>
      <c r="B275" s="2948" t="s">
        <v>3132</v>
      </c>
      <c r="C275" s="2948"/>
      <c r="D275" s="2948"/>
      <c r="E275" s="2948"/>
      <c r="F275" s="2948">
        <v>1220</v>
      </c>
      <c r="G275" s="2948"/>
    </row>
    <row r="276" spans="1:7" s="2782" customFormat="1" ht="14.25" customHeight="1" thickBot="1">
      <c r="A276" s="2956" t="s">
        <v>305</v>
      </c>
      <c r="B276" s="2958" t="s">
        <v>3133</v>
      </c>
      <c r="C276" s="2959"/>
      <c r="D276" s="2959"/>
      <c r="E276" s="2959"/>
      <c r="F276" s="2959">
        <v>1380</v>
      </c>
      <c r="G276" s="2959"/>
    </row>
    <row r="277" spans="1:7" s="2782" customFormat="1" ht="14.25" customHeight="1">
      <c r="A277" s="2953" t="s">
        <v>306</v>
      </c>
      <c r="B277" s="2944" t="s">
        <v>3134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3135</v>
      </c>
      <c r="C279" s="2948">
        <v>4760</v>
      </c>
      <c r="D279" s="2948">
        <v>4720</v>
      </c>
      <c r="E279" s="2948">
        <v>5540</v>
      </c>
      <c r="F279" s="2948">
        <v>810</v>
      </c>
      <c r="G279" s="2961">
        <v>2850</v>
      </c>
    </row>
    <row r="280" spans="1:7" s="2782" customFormat="1" ht="14.25" customHeight="1">
      <c r="A280" s="2948" t="s">
        <v>306</v>
      </c>
      <c r="B280" s="2948" t="s">
        <v>3136</v>
      </c>
      <c r="C280" s="2948">
        <v>4010</v>
      </c>
      <c r="D280" s="2948">
        <v>3950</v>
      </c>
      <c r="E280" s="2948">
        <v>4710</v>
      </c>
      <c r="F280" s="2948">
        <v>800</v>
      </c>
      <c r="G280" s="2961">
        <v>2390</v>
      </c>
    </row>
    <row r="281" spans="1:7" s="2782" customFormat="1" ht="14.25" customHeight="1">
      <c r="A281" s="2948" t="s">
        <v>306</v>
      </c>
      <c r="B281" s="2948" t="s">
        <v>3137</v>
      </c>
      <c r="C281" s="2948">
        <v>4480</v>
      </c>
      <c r="D281" s="2948">
        <v>4420</v>
      </c>
      <c r="E281" s="2948">
        <v>5230</v>
      </c>
      <c r="F281" s="2948">
        <v>870</v>
      </c>
      <c r="G281" s="2961">
        <v>2660</v>
      </c>
    </row>
    <row r="282" spans="1:7" s="2782" customFormat="1" ht="14.25" customHeight="1">
      <c r="A282" s="2948" t="s">
        <v>306</v>
      </c>
      <c r="B282" s="2948" t="s">
        <v>3138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2915</v>
      </c>
      <c r="C293" s="2948">
        <v>5320</v>
      </c>
      <c r="D293" s="2948">
        <v>5270</v>
      </c>
      <c r="E293" s="2948">
        <v>6160</v>
      </c>
      <c r="F293" s="2948">
        <v>990</v>
      </c>
      <c r="G293" s="2961">
        <v>3170</v>
      </c>
    </row>
    <row r="294" spans="1:7" s="2782" customFormat="1" ht="14.25" customHeight="1">
      <c r="A294" s="2948" t="s">
        <v>306</v>
      </c>
      <c r="B294" s="2948" t="s">
        <v>3141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3142</v>
      </c>
      <c r="C302" s="2948">
        <v>5520</v>
      </c>
      <c r="D302" s="2948">
        <v>5470</v>
      </c>
      <c r="E302" s="2948">
        <v>6410</v>
      </c>
      <c r="F302" s="2948">
        <v>950</v>
      </c>
      <c r="G302" s="2961">
        <v>3300</v>
      </c>
    </row>
    <row r="303" spans="1:7" s="2782" customFormat="1" ht="14.25" customHeight="1">
      <c r="A303" s="2948" t="s">
        <v>306</v>
      </c>
      <c r="B303" s="2948" t="s">
        <v>2954</v>
      </c>
      <c r="C303" s="2948">
        <v>5630</v>
      </c>
      <c r="D303" s="2948">
        <v>5590</v>
      </c>
      <c r="E303" s="2948">
        <v>6550</v>
      </c>
      <c r="F303" s="2948">
        <v>1010</v>
      </c>
      <c r="G303" s="2961">
        <v>3370</v>
      </c>
    </row>
    <row r="304" spans="1:7" s="2782" customFormat="1" ht="14.25" customHeight="1">
      <c r="A304" s="2948" t="s">
        <v>306</v>
      </c>
      <c r="B304" s="2948" t="s">
        <v>2961</v>
      </c>
      <c r="C304" s="2948">
        <v>5680</v>
      </c>
      <c r="D304" s="2948">
        <v>5620</v>
      </c>
      <c r="E304" s="2948">
        <v>6620</v>
      </c>
      <c r="F304" s="2948">
        <v>1050</v>
      </c>
      <c r="G304" s="2961">
        <v>3390</v>
      </c>
    </row>
    <row r="305" spans="1:7" s="2782" customFormat="1" ht="14.25" customHeight="1">
      <c r="A305" s="2948" t="s">
        <v>306</v>
      </c>
      <c r="B305" s="2948" t="s">
        <v>2967</v>
      </c>
      <c r="C305" s="2948">
        <v>5590</v>
      </c>
      <c r="D305" s="2948">
        <v>5530</v>
      </c>
      <c r="E305" s="2948">
        <v>6460</v>
      </c>
      <c r="F305" s="2948">
        <v>900</v>
      </c>
      <c r="G305" s="2961">
        <v>3340</v>
      </c>
    </row>
    <row r="306" spans="1:7" s="2782" customFormat="1" ht="14.25" customHeight="1">
      <c r="A306" s="2948" t="s">
        <v>306</v>
      </c>
      <c r="B306" s="2948" t="s">
        <v>3143</v>
      </c>
      <c r="C306" s="2948">
        <v>5560</v>
      </c>
      <c r="D306" s="2948">
        <v>5510</v>
      </c>
      <c r="E306" s="2948">
        <v>6440</v>
      </c>
      <c r="F306" s="2948">
        <v>900</v>
      </c>
      <c r="G306" s="2961">
        <v>3320</v>
      </c>
    </row>
    <row r="307" spans="1:7" s="2782" customFormat="1" ht="14.25" customHeight="1">
      <c r="A307" s="2948" t="s">
        <v>306</v>
      </c>
      <c r="B307" s="2948" t="s">
        <v>2979</v>
      </c>
      <c r="C307" s="2948">
        <v>5650</v>
      </c>
      <c r="D307" s="2948">
        <v>5600</v>
      </c>
      <c r="E307" s="2948">
        <v>6590</v>
      </c>
      <c r="F307" s="2948">
        <v>930</v>
      </c>
      <c r="G307" s="2961">
        <v>3380</v>
      </c>
    </row>
    <row r="308" spans="1:7" s="2782" customFormat="1" ht="14.25" customHeight="1">
      <c r="A308" s="2948" t="s">
        <v>306</v>
      </c>
      <c r="B308" s="2948" t="s">
        <v>3144</v>
      </c>
      <c r="C308" s="2948">
        <v>5620</v>
      </c>
      <c r="D308" s="2948">
        <v>5580</v>
      </c>
      <c r="E308" s="2948">
        <v>6540</v>
      </c>
      <c r="F308" s="2948">
        <v>910</v>
      </c>
      <c r="G308" s="2961">
        <v>3370</v>
      </c>
    </row>
    <row r="309" spans="1:7" s="2782" customFormat="1" ht="14.25" customHeight="1">
      <c r="A309" s="2948" t="s">
        <v>306</v>
      </c>
      <c r="B309" s="2948" t="s">
        <v>3145</v>
      </c>
      <c r="C309" s="2948">
        <v>5060</v>
      </c>
      <c r="D309" s="2948">
        <v>5020</v>
      </c>
      <c r="E309" s="2948">
        <v>6370</v>
      </c>
      <c r="F309" s="2948">
        <v>800</v>
      </c>
      <c r="G309" s="2961">
        <v>3020</v>
      </c>
    </row>
    <row r="310" spans="1:7" s="2782" customFormat="1" ht="14.25" customHeight="1">
      <c r="A310" s="2948" t="s">
        <v>306</v>
      </c>
      <c r="B310" s="2948" t="s">
        <v>2994</v>
      </c>
      <c r="C310" s="2948">
        <v>5150</v>
      </c>
      <c r="D310" s="2948">
        <v>5110</v>
      </c>
      <c r="E310" s="2948">
        <v>6500</v>
      </c>
      <c r="F310" s="2948">
        <v>880</v>
      </c>
      <c r="G310" s="2961">
        <v>3080</v>
      </c>
    </row>
    <row r="311" spans="1:7" s="2782" customFormat="1" ht="14.25" customHeight="1">
      <c r="A311" s="2948" t="s">
        <v>306</v>
      </c>
      <c r="B311" s="2948" t="s">
        <v>3146</v>
      </c>
      <c r="C311" s="2948">
        <v>4750</v>
      </c>
      <c r="D311" s="2948">
        <v>4710</v>
      </c>
      <c r="E311" s="2948">
        <v>5510</v>
      </c>
      <c r="F311" s="2948">
        <v>880</v>
      </c>
      <c r="G311" s="2961">
        <v>2840</v>
      </c>
    </row>
    <row r="312" spans="1:7" s="2782" customFormat="1" ht="14.25" customHeight="1">
      <c r="A312" s="2948" t="s">
        <v>306</v>
      </c>
      <c r="B312" s="2948" t="s">
        <v>3004</v>
      </c>
      <c r="C312" s="2948">
        <v>4690</v>
      </c>
      <c r="D312" s="2948">
        <v>4640</v>
      </c>
      <c r="E312" s="2948">
        <v>5420</v>
      </c>
      <c r="F312" s="2948">
        <v>800</v>
      </c>
      <c r="G312" s="2961">
        <v>2800</v>
      </c>
    </row>
    <row r="313" spans="1:7" s="2782" customFormat="1" ht="14.25" customHeight="1">
      <c r="A313" s="2948" t="s">
        <v>306</v>
      </c>
      <c r="B313" s="2948" t="s">
        <v>3009</v>
      </c>
      <c r="C313" s="2948">
        <v>4810</v>
      </c>
      <c r="D313" s="2948">
        <v>4760</v>
      </c>
      <c r="E313" s="2948">
        <v>5550</v>
      </c>
      <c r="F313" s="2948">
        <v>920</v>
      </c>
      <c r="G313" s="2961">
        <v>2870</v>
      </c>
    </row>
    <row r="314" spans="1:7" s="2782" customFormat="1" ht="14.25" customHeight="1">
      <c r="A314" s="2948" t="s">
        <v>306</v>
      </c>
      <c r="B314" s="2948" t="s">
        <v>3147</v>
      </c>
      <c r="C314" s="2948"/>
      <c r="D314" s="2948"/>
      <c r="E314" s="2948"/>
      <c r="F314" s="2948">
        <v>1020</v>
      </c>
      <c r="G314" s="2961"/>
    </row>
    <row r="315" spans="1:7" s="2782" customFormat="1" ht="14.25" customHeight="1">
      <c r="A315" s="2948" t="s">
        <v>306</v>
      </c>
      <c r="B315" s="2948" t="s">
        <v>3148</v>
      </c>
      <c r="C315" s="2948"/>
      <c r="D315" s="2948"/>
      <c r="E315" s="2948"/>
      <c r="F315" s="2948">
        <v>1050</v>
      </c>
      <c r="G315" s="2961"/>
    </row>
    <row r="316" spans="1:7" s="2782" customFormat="1" ht="14.25" customHeight="1">
      <c r="A316" s="2948" t="s">
        <v>306</v>
      </c>
      <c r="B316" s="2948" t="s">
        <v>3024</v>
      </c>
      <c r="C316" s="2948"/>
      <c r="D316" s="2948"/>
      <c r="E316" s="2948"/>
      <c r="F316" s="2948">
        <v>900</v>
      </c>
      <c r="G316" s="2961"/>
    </row>
    <row r="317" spans="1:7" s="2782" customFormat="1" ht="14.25" customHeight="1">
      <c r="A317" s="2948" t="s">
        <v>306</v>
      </c>
      <c r="B317" s="2948" t="s">
        <v>3149</v>
      </c>
      <c r="C317" s="2948"/>
      <c r="D317" s="2948"/>
      <c r="E317" s="2948"/>
      <c r="F317" s="2948">
        <v>920</v>
      </c>
      <c r="G317" s="2961"/>
    </row>
    <row r="318" spans="1:7" s="2782" customFormat="1" ht="14.25" customHeight="1">
      <c r="A318" s="2948" t="s">
        <v>306</v>
      </c>
      <c r="B318" s="2948" t="s">
        <v>3150</v>
      </c>
      <c r="C318" s="2948"/>
      <c r="D318" s="2948"/>
      <c r="E318" s="2948"/>
      <c r="F318" s="2948">
        <v>1080</v>
      </c>
      <c r="G318" s="2961"/>
    </row>
    <row r="319" spans="1:7" s="2782" customFormat="1" ht="14.25" customHeight="1">
      <c r="A319" s="2948" t="s">
        <v>306</v>
      </c>
      <c r="B319" s="2948" t="s">
        <v>3037</v>
      </c>
      <c r="C319" s="2948"/>
      <c r="D319" s="2948"/>
      <c r="E319" s="2948"/>
      <c r="F319" s="2948">
        <v>1020</v>
      </c>
      <c r="G319" s="2961"/>
    </row>
    <row r="320" spans="1:7" s="2782" customFormat="1" ht="14.25" customHeight="1">
      <c r="A320" s="2948" t="s">
        <v>306</v>
      </c>
      <c r="B320" s="2948" t="s">
        <v>3040</v>
      </c>
      <c r="C320" s="2948"/>
      <c r="D320" s="2948"/>
      <c r="E320" s="2948"/>
      <c r="F320" s="2948">
        <v>1050</v>
      </c>
      <c r="G320" s="2961"/>
    </row>
    <row r="321" spans="1:7" s="2782" customFormat="1" ht="14.25" customHeight="1">
      <c r="A321" s="2948" t="s">
        <v>306</v>
      </c>
      <c r="B321" s="2948" t="s">
        <v>3042</v>
      </c>
      <c r="C321" s="2948"/>
      <c r="D321" s="2948"/>
      <c r="E321" s="2948"/>
      <c r="F321" s="2948">
        <v>960</v>
      </c>
      <c r="G321" s="2961"/>
    </row>
    <row r="322" spans="1:7" s="2782" customFormat="1" ht="14.25" customHeight="1">
      <c r="A322" s="2948" t="s">
        <v>306</v>
      </c>
      <c r="B322" s="2948" t="s">
        <v>3044</v>
      </c>
      <c r="C322" s="2948"/>
      <c r="D322" s="2948"/>
      <c r="E322" s="2948"/>
      <c r="F322" s="2948">
        <v>960</v>
      </c>
      <c r="G322" s="2961"/>
    </row>
    <row r="323" spans="1:7" s="2782" customFormat="1" ht="14.25" customHeight="1">
      <c r="A323" s="2948" t="s">
        <v>306</v>
      </c>
      <c r="B323" s="2948" t="s">
        <v>3046</v>
      </c>
      <c r="C323" s="2948"/>
      <c r="D323" s="2948"/>
      <c r="E323" s="2948"/>
      <c r="F323" s="2948">
        <v>880</v>
      </c>
      <c r="G323" s="2961"/>
    </row>
    <row r="324" spans="1:7" s="2782" customFormat="1" ht="14.25" customHeight="1">
      <c r="A324" s="2948" t="s">
        <v>306</v>
      </c>
      <c r="B324" s="2948" t="s">
        <v>3048</v>
      </c>
      <c r="C324" s="2948"/>
      <c r="D324" s="2948"/>
      <c r="E324" s="2948"/>
      <c r="F324" s="2948">
        <v>930</v>
      </c>
      <c r="G324" s="2961"/>
    </row>
    <row r="325" spans="1:7" s="2782" customFormat="1" ht="14.25" customHeight="1">
      <c r="A325" s="2948" t="s">
        <v>306</v>
      </c>
      <c r="B325" s="2949" t="s">
        <v>3050</v>
      </c>
      <c r="C325" s="2948"/>
      <c r="D325" s="2948"/>
      <c r="E325" s="2948"/>
      <c r="F325" s="2948">
        <v>900</v>
      </c>
      <c r="G325" s="2961"/>
    </row>
    <row r="326" spans="1:7" s="2782" customFormat="1" ht="14.25" customHeight="1" thickBot="1">
      <c r="A326" s="2962" t="s">
        <v>306</v>
      </c>
      <c r="B326" s="2955" t="s">
        <v>3052</v>
      </c>
      <c r="C326" s="2955"/>
      <c r="D326" s="2955"/>
      <c r="E326" s="2955"/>
      <c r="F326" s="2955">
        <v>790</v>
      </c>
      <c r="G326" s="2963"/>
    </row>
    <row r="327" spans="1:7" s="2782" customFormat="1" ht="14.25" customHeight="1">
      <c r="A327" s="2953" t="s">
        <v>307</v>
      </c>
      <c r="B327" s="2944" t="s">
        <v>3151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3152</v>
      </c>
      <c r="C329" s="2948">
        <v>2730</v>
      </c>
      <c r="D329" s="2948">
        <v>2690</v>
      </c>
      <c r="E329" s="2948">
        <v>3100</v>
      </c>
      <c r="F329" s="2948">
        <v>660</v>
      </c>
      <c r="G329" s="2948">
        <v>1610</v>
      </c>
    </row>
    <row r="330" spans="1:7" s="2782" customFormat="1" ht="14.25" customHeight="1">
      <c r="A330" s="2948" t="s">
        <v>307</v>
      </c>
      <c r="B330" s="2948" t="s">
        <v>3153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2886</v>
      </c>
      <c r="C332" s="2948">
        <v>3520</v>
      </c>
      <c r="D332" s="2948">
        <v>3480</v>
      </c>
      <c r="E332" s="2948">
        <v>3830</v>
      </c>
      <c r="F332" s="2948">
        <v>720</v>
      </c>
      <c r="G332" s="2948">
        <v>2090</v>
      </c>
    </row>
    <row r="333" spans="1:7" s="2782" customFormat="1" ht="14.25" customHeight="1">
      <c r="A333" s="2948" t="s">
        <v>307</v>
      </c>
      <c r="B333" s="2948" t="s">
        <v>3154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2896</v>
      </c>
      <c r="C336" s="2948">
        <v>3570</v>
      </c>
      <c r="D336" s="2948">
        <v>3530</v>
      </c>
      <c r="E336" s="2948">
        <v>3880</v>
      </c>
      <c r="F336" s="2948">
        <v>770</v>
      </c>
      <c r="G336" s="2948">
        <v>2110</v>
      </c>
    </row>
    <row r="337" spans="1:10" s="2782" customFormat="1" ht="14.25" customHeight="1">
      <c r="A337" s="2948" t="s">
        <v>307</v>
      </c>
      <c r="B337" s="2948" t="s">
        <v>3155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2921</v>
      </c>
      <c r="C345" s="2948">
        <v>3190</v>
      </c>
      <c r="D345" s="2948">
        <v>3140</v>
      </c>
      <c r="E345" s="2948">
        <v>3450</v>
      </c>
      <c r="F345" s="2948">
        <v>720</v>
      </c>
      <c r="G345" s="2948">
        <v>1880</v>
      </c>
      <c r="J345" s="2782"/>
    </row>
    <row r="346" spans="1:10">
      <c r="A346" s="2948" t="s">
        <v>307</v>
      </c>
      <c r="B346" s="2948" t="s">
        <v>3158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2930</v>
      </c>
      <c r="C348" s="2948">
        <v>4000</v>
      </c>
      <c r="D348" s="2948">
        <v>3950</v>
      </c>
      <c r="E348" s="2948">
        <v>4430</v>
      </c>
      <c r="F348" s="2948">
        <v>760</v>
      </c>
      <c r="G348" s="2948">
        <v>2360</v>
      </c>
      <c r="J348" s="2782"/>
    </row>
    <row r="349" spans="1:10">
      <c r="A349" s="2948" t="s">
        <v>307</v>
      </c>
      <c r="B349" s="2948" t="s">
        <v>2935</v>
      </c>
      <c r="C349" s="2948">
        <v>3820</v>
      </c>
      <c r="D349" s="2948">
        <v>3780</v>
      </c>
      <c r="E349" s="2948">
        <v>4170</v>
      </c>
      <c r="F349" s="2948">
        <v>710</v>
      </c>
      <c r="G349" s="2948">
        <v>2260</v>
      </c>
      <c r="J349" s="2782"/>
    </row>
    <row r="350" spans="1:10">
      <c r="A350" s="2948" t="s">
        <v>307</v>
      </c>
      <c r="B350" s="2948" t="s">
        <v>3159</v>
      </c>
      <c r="C350" s="2948">
        <v>3760</v>
      </c>
      <c r="D350" s="2948">
        <v>3730</v>
      </c>
      <c r="E350" s="2948">
        <v>4100</v>
      </c>
      <c r="F350" s="2948">
        <v>800</v>
      </c>
      <c r="G350" s="2948">
        <v>2230</v>
      </c>
      <c r="J350" s="2782"/>
    </row>
    <row r="351" spans="1:10">
      <c r="A351" s="2948" t="s">
        <v>307</v>
      </c>
      <c r="B351" s="2948" t="s">
        <v>2943</v>
      </c>
      <c r="C351" s="2948">
        <v>3610</v>
      </c>
      <c r="D351" s="2948">
        <v>3580</v>
      </c>
      <c r="E351" s="2948">
        <v>3930</v>
      </c>
      <c r="F351" s="2948">
        <v>700</v>
      </c>
      <c r="G351" s="2948">
        <v>2140</v>
      </c>
      <c r="J351" s="2782"/>
    </row>
    <row r="352" spans="1:10">
      <c r="A352" s="2948" t="s">
        <v>307</v>
      </c>
      <c r="B352" s="2948" t="s">
        <v>2948</v>
      </c>
      <c r="C352" s="2948">
        <v>3670</v>
      </c>
      <c r="D352" s="2948">
        <v>3630</v>
      </c>
      <c r="E352" s="2948">
        <v>4000</v>
      </c>
      <c r="F352" s="2948">
        <v>750</v>
      </c>
      <c r="G352" s="2948">
        <v>2180</v>
      </c>
    </row>
    <row r="353" spans="1:7" s="2783" customFormat="1">
      <c r="A353" s="2948" t="s">
        <v>307</v>
      </c>
      <c r="B353" s="2948" t="s">
        <v>3160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2968</v>
      </c>
      <c r="C355" s="2948">
        <v>3650</v>
      </c>
      <c r="D355" s="2948">
        <v>3610</v>
      </c>
      <c r="E355" s="2948">
        <v>4200</v>
      </c>
      <c r="F355" s="2948">
        <v>640</v>
      </c>
      <c r="G355" s="2948">
        <v>2160</v>
      </c>
    </row>
    <row r="356" spans="1:7" s="2783" customFormat="1">
      <c r="A356" s="2948" t="s">
        <v>307</v>
      </c>
      <c r="B356" s="2948" t="s">
        <v>2975</v>
      </c>
      <c r="C356" s="2948">
        <v>3260</v>
      </c>
      <c r="D356" s="2948">
        <v>3230</v>
      </c>
      <c r="E356" s="2948">
        <v>3740</v>
      </c>
      <c r="F356" s="2948">
        <v>600</v>
      </c>
      <c r="G356" s="2948">
        <v>1930</v>
      </c>
    </row>
    <row r="357" spans="1:7" s="2783" customFormat="1" ht="12" thickBot="1">
      <c r="A357" s="2956" t="s">
        <v>307</v>
      </c>
      <c r="B357" s="2959" t="s">
        <v>3161</v>
      </c>
      <c r="C357" s="2959">
        <v>3690</v>
      </c>
      <c r="D357" s="2959">
        <v>3650</v>
      </c>
      <c r="E357" s="2959">
        <v>4020</v>
      </c>
      <c r="F357" s="2959">
        <v>700</v>
      </c>
      <c r="G357" s="2959">
        <v>2190</v>
      </c>
    </row>
    <row r="358" spans="1:7" s="2783" customFormat="1">
      <c r="A358" s="2953" t="s">
        <v>3162</v>
      </c>
      <c r="B358" s="2944" t="s">
        <v>3163</v>
      </c>
      <c r="C358" s="2944">
        <v>2080</v>
      </c>
      <c r="D358" s="2944">
        <v>2040</v>
      </c>
      <c r="E358" s="2944">
        <v>2010</v>
      </c>
      <c r="F358" s="2944">
        <v>530</v>
      </c>
      <c r="G358" s="2960">
        <v>1230</v>
      </c>
    </row>
    <row r="359" spans="1:7" s="2783" customFormat="1">
      <c r="A359" s="2948" t="s">
        <v>3162</v>
      </c>
      <c r="B359" s="2948" t="s">
        <v>3164</v>
      </c>
      <c r="C359" s="2948">
        <v>1850</v>
      </c>
      <c r="D359" s="2948">
        <v>1820</v>
      </c>
      <c r="E359" s="2948">
        <v>1780</v>
      </c>
      <c r="F359" s="2948">
        <v>520</v>
      </c>
      <c r="G359" s="2961">
        <v>1100</v>
      </c>
    </row>
    <row r="360" spans="1:7" s="2783" customFormat="1">
      <c r="A360" s="2948" t="s">
        <v>3162</v>
      </c>
      <c r="B360" s="2948" t="s">
        <v>3165</v>
      </c>
      <c r="C360" s="2948">
        <v>2020</v>
      </c>
      <c r="D360" s="2948">
        <v>1990</v>
      </c>
      <c r="E360" s="2948">
        <v>1950</v>
      </c>
      <c r="F360" s="2948">
        <v>500</v>
      </c>
      <c r="G360" s="2961">
        <v>1200</v>
      </c>
    </row>
    <row r="361" spans="1:7" s="2783" customFormat="1">
      <c r="A361" s="2948" t="s">
        <v>3162</v>
      </c>
      <c r="B361" s="2948" t="s">
        <v>153</v>
      </c>
      <c r="C361" s="2948">
        <v>2260</v>
      </c>
      <c r="D361" s="2948">
        <v>2220</v>
      </c>
      <c r="E361" s="2948">
        <v>2180</v>
      </c>
      <c r="F361" s="2948">
        <v>580</v>
      </c>
      <c r="G361" s="2961">
        <v>1340</v>
      </c>
    </row>
    <row r="362" spans="1:7" s="2783" customFormat="1">
      <c r="A362" s="2948" t="s">
        <v>3162</v>
      </c>
      <c r="B362" s="2948" t="s">
        <v>3166</v>
      </c>
      <c r="C362" s="2948">
        <v>2650</v>
      </c>
      <c r="D362" s="2948">
        <v>2610</v>
      </c>
      <c r="E362" s="2948">
        <v>2570</v>
      </c>
      <c r="F362" s="2948">
        <v>630</v>
      </c>
      <c r="G362" s="2961">
        <v>1570</v>
      </c>
    </row>
    <row r="363" spans="1:7" s="2783" customFormat="1">
      <c r="A363" s="2948" t="s">
        <v>3162</v>
      </c>
      <c r="B363" s="2948" t="s">
        <v>2887</v>
      </c>
      <c r="C363" s="2948">
        <v>2390</v>
      </c>
      <c r="D363" s="2948">
        <v>2360</v>
      </c>
      <c r="E363" s="2948">
        <v>2320</v>
      </c>
      <c r="F363" s="2948">
        <v>600</v>
      </c>
      <c r="G363" s="2961">
        <v>1420</v>
      </c>
    </row>
    <row r="364" spans="1:7" s="2783" customFormat="1">
      <c r="A364" s="2948" t="s">
        <v>3162</v>
      </c>
      <c r="B364" s="2948" t="s">
        <v>3167</v>
      </c>
      <c r="C364" s="2948">
        <v>2050</v>
      </c>
      <c r="D364" s="2948">
        <v>2030</v>
      </c>
      <c r="E364" s="2948">
        <v>1990</v>
      </c>
      <c r="F364" s="2948">
        <v>550</v>
      </c>
      <c r="G364" s="2961">
        <v>1220</v>
      </c>
    </row>
    <row r="365" spans="1:7" s="2783" customFormat="1">
      <c r="A365" s="2948" t="s">
        <v>3162</v>
      </c>
      <c r="B365" s="2948" t="s">
        <v>200</v>
      </c>
      <c r="C365" s="2948">
        <v>2140</v>
      </c>
      <c r="D365" s="2948">
        <v>2100</v>
      </c>
      <c r="E365" s="2948">
        <v>2060</v>
      </c>
      <c r="F365" s="2948">
        <v>540</v>
      </c>
      <c r="G365" s="2961">
        <v>1270</v>
      </c>
    </row>
    <row r="366" spans="1:7" s="2783" customFormat="1">
      <c r="A366" s="2948" t="s">
        <v>3162</v>
      </c>
      <c r="B366" s="2948" t="s">
        <v>2894</v>
      </c>
      <c r="C366" s="2948">
        <v>2410</v>
      </c>
      <c r="D366" s="2948">
        <v>2370</v>
      </c>
      <c r="E366" s="2948">
        <v>2330</v>
      </c>
      <c r="F366" s="2948">
        <v>570</v>
      </c>
      <c r="G366" s="2961">
        <v>1440</v>
      </c>
    </row>
    <row r="367" spans="1:7" s="2783" customFormat="1">
      <c r="A367" s="2948" t="s">
        <v>3162</v>
      </c>
      <c r="B367" s="2948" t="s">
        <v>3168</v>
      </c>
      <c r="C367" s="2948">
        <v>2300</v>
      </c>
      <c r="D367" s="2948">
        <v>2260</v>
      </c>
      <c r="E367" s="2948">
        <v>2220</v>
      </c>
      <c r="F367" s="2948">
        <v>560</v>
      </c>
      <c r="G367" s="2961">
        <v>1370</v>
      </c>
    </row>
    <row r="368" spans="1:7" s="2783" customFormat="1">
      <c r="A368" s="2948" t="s">
        <v>3162</v>
      </c>
      <c r="B368" s="2948" t="s">
        <v>3169</v>
      </c>
      <c r="C368" s="2948">
        <v>2430</v>
      </c>
      <c r="D368" s="2948">
        <v>2390</v>
      </c>
      <c r="E368" s="2948">
        <v>2350</v>
      </c>
      <c r="F368" s="2948">
        <v>570</v>
      </c>
      <c r="G368" s="2961">
        <v>1450</v>
      </c>
    </row>
    <row r="369" spans="1:7" s="2783" customFormat="1">
      <c r="A369" s="2948" t="s">
        <v>3162</v>
      </c>
      <c r="B369" s="2948" t="s">
        <v>214</v>
      </c>
      <c r="C369" s="2948">
        <v>2320</v>
      </c>
      <c r="D369" s="2948">
        <v>2290</v>
      </c>
      <c r="E369" s="2948">
        <v>2250</v>
      </c>
      <c r="F369" s="2948">
        <v>550</v>
      </c>
      <c r="G369" s="2961">
        <v>1380</v>
      </c>
    </row>
    <row r="370" spans="1:7" s="2783" customFormat="1">
      <c r="A370" s="2948" t="s">
        <v>3162</v>
      </c>
      <c r="B370" s="2948" t="s">
        <v>221</v>
      </c>
      <c r="C370" s="2948">
        <v>2190</v>
      </c>
      <c r="D370" s="2948">
        <v>2170</v>
      </c>
      <c r="E370" s="2948">
        <v>2130</v>
      </c>
      <c r="F370" s="2948">
        <v>530</v>
      </c>
      <c r="G370" s="2961">
        <v>1310</v>
      </c>
    </row>
    <row r="371" spans="1:7" s="2783" customFormat="1">
      <c r="A371" s="2948" t="s">
        <v>3162</v>
      </c>
      <c r="B371" s="2948" t="s">
        <v>229</v>
      </c>
      <c r="C371" s="2948">
        <v>2460</v>
      </c>
      <c r="D371" s="2948">
        <v>2420</v>
      </c>
      <c r="E371" s="2948">
        <v>2370</v>
      </c>
      <c r="F371" s="2948">
        <v>560</v>
      </c>
      <c r="G371" s="2961">
        <v>1470</v>
      </c>
    </row>
    <row r="372" spans="1:7" s="2783" customFormat="1">
      <c r="A372" s="2948" t="s">
        <v>3162</v>
      </c>
      <c r="B372" s="2948" t="s">
        <v>3170</v>
      </c>
      <c r="C372" s="2948">
        <v>2250</v>
      </c>
      <c r="D372" s="2948">
        <v>2210</v>
      </c>
      <c r="E372" s="2948">
        <v>2180</v>
      </c>
      <c r="F372" s="2948">
        <v>550</v>
      </c>
      <c r="G372" s="2961">
        <v>1340</v>
      </c>
    </row>
    <row r="373" spans="1:7" s="2783" customFormat="1">
      <c r="A373" s="2948" t="s">
        <v>3162</v>
      </c>
      <c r="B373" s="2948" t="s">
        <v>258</v>
      </c>
      <c r="C373" s="2948">
        <v>2210</v>
      </c>
      <c r="D373" s="2948">
        <v>2190</v>
      </c>
      <c r="E373" s="2948">
        <v>2150</v>
      </c>
      <c r="F373" s="2948">
        <v>530</v>
      </c>
      <c r="G373" s="2961">
        <v>1320</v>
      </c>
    </row>
    <row r="374" spans="1:7" s="2783" customFormat="1">
      <c r="A374" s="2948" t="s">
        <v>3162</v>
      </c>
      <c r="B374" s="2948" t="s">
        <v>266</v>
      </c>
      <c r="C374" s="2948">
        <v>2320</v>
      </c>
      <c r="D374" s="2948">
        <v>2280</v>
      </c>
      <c r="E374" s="2948">
        <v>2230</v>
      </c>
      <c r="F374" s="2948">
        <v>580</v>
      </c>
      <c r="G374" s="2961">
        <v>1380</v>
      </c>
    </row>
    <row r="375" spans="1:7" s="2783" customFormat="1">
      <c r="A375" s="2948" t="s">
        <v>3162</v>
      </c>
      <c r="B375" s="2948" t="s">
        <v>3171</v>
      </c>
      <c r="C375" s="2948">
        <v>2090</v>
      </c>
      <c r="D375" s="2948">
        <v>2050</v>
      </c>
      <c r="E375" s="2948">
        <v>2020</v>
      </c>
      <c r="F375" s="2948">
        <v>520</v>
      </c>
      <c r="G375" s="2961">
        <v>1240</v>
      </c>
    </row>
    <row r="376" spans="1:7" s="2783" customFormat="1">
      <c r="A376" s="2948" t="s">
        <v>3162</v>
      </c>
      <c r="B376" s="2948" t="s">
        <v>277</v>
      </c>
      <c r="C376" s="2948">
        <v>2010</v>
      </c>
      <c r="D376" s="2948">
        <v>1980</v>
      </c>
      <c r="E376" s="2948">
        <v>1940</v>
      </c>
      <c r="F376" s="2948">
        <v>540</v>
      </c>
      <c r="G376" s="2961">
        <v>1190</v>
      </c>
    </row>
    <row r="377" spans="1:7" s="2783" customFormat="1" ht="12" thickBot="1">
      <c r="A377" s="2956" t="s">
        <v>3162</v>
      </c>
      <c r="B377" s="2959" t="s">
        <v>2924</v>
      </c>
      <c r="C377" s="2959">
        <v>1930</v>
      </c>
      <c r="D377" s="2959">
        <v>1890</v>
      </c>
      <c r="E377" s="2959">
        <v>1860</v>
      </c>
      <c r="F377" s="2959">
        <v>530</v>
      </c>
      <c r="G377" s="2964">
        <v>1150</v>
      </c>
    </row>
    <row r="378" spans="1:7" s="2783" customFormat="1">
      <c r="A378" s="2965" t="s">
        <v>3172</v>
      </c>
      <c r="B378" s="2944" t="s">
        <v>3173</v>
      </c>
      <c r="C378" s="2944">
        <v>1520</v>
      </c>
      <c r="D378" s="2944">
        <v>1490</v>
      </c>
      <c r="E378" s="2944">
        <v>1460</v>
      </c>
      <c r="F378" s="2944">
        <v>460</v>
      </c>
      <c r="G378" s="2960">
        <v>940</v>
      </c>
    </row>
    <row r="379" spans="1:7" s="2783" customFormat="1">
      <c r="A379" s="2966" t="s">
        <v>3172</v>
      </c>
      <c r="B379" s="2948" t="s">
        <v>3174</v>
      </c>
      <c r="C379" s="2948">
        <v>1500</v>
      </c>
      <c r="D379" s="2948">
        <v>1470</v>
      </c>
      <c r="E379" s="2948">
        <v>1430</v>
      </c>
      <c r="F379" s="2948">
        <v>460</v>
      </c>
      <c r="G379" s="2961">
        <v>920</v>
      </c>
    </row>
    <row r="380" spans="1:7" s="2783" customFormat="1">
      <c r="A380" s="2966" t="s">
        <v>3172</v>
      </c>
      <c r="B380" s="2948" t="s">
        <v>3175</v>
      </c>
      <c r="C380" s="2948">
        <v>1620</v>
      </c>
      <c r="D380" s="2948">
        <v>1590</v>
      </c>
      <c r="E380" s="2948">
        <v>1560</v>
      </c>
      <c r="F380" s="2948">
        <v>480</v>
      </c>
      <c r="G380" s="2961">
        <v>1000</v>
      </c>
    </row>
    <row r="381" spans="1:7" s="2783" customFormat="1">
      <c r="A381" s="2966" t="s">
        <v>3172</v>
      </c>
      <c r="B381" s="2948" t="s">
        <v>3176</v>
      </c>
      <c r="C381" s="2948">
        <v>1460</v>
      </c>
      <c r="D381" s="2948">
        <v>1430</v>
      </c>
      <c r="E381" s="2948">
        <v>1390</v>
      </c>
      <c r="F381" s="2948">
        <v>450</v>
      </c>
      <c r="G381" s="2961">
        <v>900</v>
      </c>
    </row>
    <row r="382" spans="1:7" s="2783" customFormat="1">
      <c r="A382" s="2966" t="s">
        <v>3172</v>
      </c>
      <c r="B382" s="2948" t="s">
        <v>3177</v>
      </c>
      <c r="C382" s="2948">
        <v>1310</v>
      </c>
      <c r="D382" s="2948">
        <v>1280</v>
      </c>
      <c r="E382" s="2948">
        <v>1250</v>
      </c>
      <c r="F382" s="2948">
        <v>440</v>
      </c>
      <c r="G382" s="2961">
        <v>800</v>
      </c>
    </row>
    <row r="383" spans="1:7" s="2783" customFormat="1">
      <c r="A383" s="2966" t="s">
        <v>3172</v>
      </c>
      <c r="B383" s="2948" t="s">
        <v>3178</v>
      </c>
      <c r="C383" s="2948">
        <v>1260</v>
      </c>
      <c r="D383" s="2948">
        <v>1230</v>
      </c>
      <c r="E383" s="2948">
        <v>1200</v>
      </c>
      <c r="F383" s="2948">
        <v>420</v>
      </c>
      <c r="G383" s="2961">
        <v>770</v>
      </c>
    </row>
    <row r="384" spans="1:7" s="2783" customFormat="1" ht="12" thickBot="1">
      <c r="A384" s="2967" t="s">
        <v>3172</v>
      </c>
      <c r="B384" s="2955" t="s">
        <v>3179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3" sqref="H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45828</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2308</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4" t="str">
        <f>IF(项目基本情况!B9="房地产市场价值","估价结果一览表","结果表-2")</f>
        <v>结果表-2</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
      <c r="A3" s="3176"/>
      <c r="B3" s="3176"/>
      <c r="C3" s="3176"/>
      <c r="D3" s="801" t="s">
        <v>925</v>
      </c>
      <c r="E3" s="801" t="s">
        <v>931</v>
      </c>
      <c r="F3" s="801" t="s">
        <v>925</v>
      </c>
      <c r="G3" s="801" t="s">
        <v>926</v>
      </c>
      <c r="H3" s="801" t="s">
        <v>925</v>
      </c>
      <c r="I3" s="801" t="s">
        <v>926</v>
      </c>
    </row>
    <row r="4" spans="1:9" ht="15">
      <c r="A4" s="1403" t="str">
        <f>项目基本情况!S2</f>
        <v>北京市房地产</v>
      </c>
      <c r="B4" s="801">
        <f>项目基本情况!C17</f>
        <v>174.9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6" t="s">
        <v>927</v>
      </c>
      <c r="B5" s="3176"/>
      <c r="C5" s="3176"/>
      <c r="D5" s="3176" t="e">
        <f ca="1">结果表!D119</f>
        <v>#REF!</v>
      </c>
      <c r="E5" s="3176"/>
      <c r="F5" s="3176" t="e">
        <f ca="1">结果表!F119</f>
        <v>#REF!</v>
      </c>
      <c r="G5" s="3176"/>
      <c r="H5" s="3176" t="e">
        <f ca="1">结果表!H119</f>
        <v>#REF!</v>
      </c>
      <c r="I5" s="3176"/>
    </row>
    <row r="6" spans="1:9" ht="15.75">
      <c r="A6" s="3177" t="str">
        <f>结果表!A120</f>
        <v>估价师知悉的法定优先受偿款</v>
      </c>
      <c r="B6" s="3177"/>
      <c r="C6" s="3177"/>
      <c r="D6" s="3177">
        <f>结果表!D120</f>
        <v>0</v>
      </c>
      <c r="E6" s="3177"/>
      <c r="F6" s="3177"/>
      <c r="G6" s="3177"/>
      <c r="H6" s="3177"/>
      <c r="I6" s="3177"/>
    </row>
    <row r="7" spans="1:9" ht="15">
      <c r="A7" s="3176" t="s">
        <v>927</v>
      </c>
      <c r="B7" s="3176"/>
      <c r="C7" s="3176"/>
      <c r="D7" s="3178" t="str">
        <f>结果表!D121</f>
        <v>零元整</v>
      </c>
      <c r="E7" s="3179"/>
      <c r="F7" s="3179"/>
      <c r="G7" s="3179"/>
      <c r="H7" s="3179"/>
      <c r="I7" s="3180"/>
    </row>
    <row r="8" spans="1:9" ht="15.75">
      <c r="A8" s="3177" t="str">
        <f>结果表!A122</f>
        <v>房地产抵押价值</v>
      </c>
      <c r="B8" s="3177"/>
      <c r="C8" s="3177"/>
      <c r="D8" s="3177" t="e">
        <f ca="1">结果表!D122</f>
        <v>#REF!</v>
      </c>
      <c r="E8" s="3177"/>
      <c r="F8" s="3177"/>
      <c r="G8" s="3177"/>
      <c r="H8" s="3177"/>
      <c r="I8" s="3177"/>
    </row>
    <row r="9" spans="1:9" ht="15">
      <c r="A9" s="3176" t="s">
        <v>927</v>
      </c>
      <c r="B9" s="3176"/>
      <c r="C9" s="3176"/>
      <c r="D9" s="3176" t="e">
        <f ca="1">结果表!D123</f>
        <v>#REF!</v>
      </c>
      <c r="E9" s="3176"/>
      <c r="F9" s="3176"/>
      <c r="G9" s="3176"/>
      <c r="H9" s="3176"/>
      <c r="I9" s="3176"/>
    </row>
    <row r="10" spans="1:9" ht="15.75">
      <c r="A10" s="3177" t="str">
        <f>结果表!A124</f>
        <v/>
      </c>
      <c r="B10" s="3177"/>
      <c r="C10" s="3177"/>
      <c r="D10" s="3177" t="str">
        <f>结果表!D124</f>
        <v>——</v>
      </c>
      <c r="E10" s="3177"/>
      <c r="F10" s="3177"/>
      <c r="G10" s="3177"/>
      <c r="H10" s="3177"/>
      <c r="I10" s="3177"/>
    </row>
    <row r="11" spans="1:9" ht="15">
      <c r="A11" s="3176" t="s">
        <v>927</v>
      </c>
      <c r="B11" s="3176"/>
      <c r="C11" s="3176"/>
      <c r="D11" s="3176" t="e">
        <f>结果表!D125</f>
        <v>#VALUE!</v>
      </c>
      <c r="E11" s="3176"/>
      <c r="F11" s="3176"/>
      <c r="G11" s="3176"/>
      <c r="H11" s="3176"/>
      <c r="I11" s="3176"/>
    </row>
    <row r="12" spans="1:9" ht="15.75">
      <c r="A12" s="3177" t="str">
        <f>结果表!A126</f>
        <v/>
      </c>
      <c r="B12" s="3177"/>
      <c r="C12" s="3177"/>
      <c r="D12" s="3177" t="str">
        <f>结果表!D126</f>
        <v>——</v>
      </c>
      <c r="E12" s="3177"/>
      <c r="F12" s="3177"/>
      <c r="G12" s="3177"/>
      <c r="H12" s="3177"/>
      <c r="I12" s="3177"/>
    </row>
    <row r="13" spans="1:9" ht="15.75" thickBot="1">
      <c r="A13" s="3181" t="s">
        <v>927</v>
      </c>
      <c r="B13" s="3181"/>
      <c r="C13" s="3181"/>
      <c r="D13" s="3181" t="e">
        <f>结果表!D127</f>
        <v>#VALUE!</v>
      </c>
      <c r="E13" s="3181"/>
      <c r="F13" s="3181"/>
      <c r="G13" s="3181"/>
      <c r="H13" s="3181"/>
      <c r="I13" s="3181"/>
    </row>
    <row r="14" spans="1:9" ht="15" thickTop="1">
      <c r="A14" s="3182" t="s">
        <v>932</v>
      </c>
      <c r="B14" s="3182"/>
      <c r="C14" s="3182"/>
      <c r="D14" s="3182"/>
      <c r="E14" s="3182"/>
      <c r="F14" s="3182"/>
      <c r="G14" s="3182"/>
      <c r="H14" s="3182"/>
      <c r="I14" s="318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3" t="s">
        <v>949</v>
      </c>
      <c r="B1" s="3183"/>
      <c r="C1" s="3183"/>
      <c r="D1" s="3183"/>
    </row>
    <row r="2" spans="1:4" ht="18">
      <c r="A2" s="3184" t="s">
        <v>933</v>
      </c>
      <c r="B2" s="3184"/>
      <c r="C2" s="3184"/>
      <c r="D2" s="318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4" t="s">
        <v>939</v>
      </c>
      <c r="B6" s="3184"/>
      <c r="C6" s="3184"/>
      <c r="D6" s="318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5" t="s">
        <v>942</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6" t="str">
        <f>IF(项目基本情况!B8="抵押","4.本次评估估价师所知悉的法定优先受偿款情况说明如下：","——")</f>
        <v>4.本次评估估价师所知悉的法定优先受偿款情况说明如下：</v>
      </c>
      <c r="B14" s="3187"/>
      <c r="C14" s="3187"/>
      <c r="D14" s="3187"/>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9" t="s">
        <v>943</v>
      </c>
      <c r="B16" s="3189"/>
      <c r="C16" s="3189"/>
      <c r="D16" s="3189"/>
    </row>
    <row r="17" spans="1:4" ht="144" customHeight="1">
      <c r="A17" s="3189" t="s">
        <v>944</v>
      </c>
      <c r="B17" s="3189"/>
      <c r="C17" s="3189"/>
      <c r="D17" s="3189"/>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6"/>
      <c r="C20" s="3186"/>
      <c r="D20" s="3186"/>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8">
        <v>42551</v>
      </c>
      <c r="D31" s="31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7" t="s">
        <v>956</v>
      </c>
      <c r="B15" s="3192" t="s">
        <v>109</v>
      </c>
      <c r="C15" s="3193"/>
    </row>
    <row r="16" spans="1:7" ht="13.5">
      <c r="A16" s="3198"/>
      <c r="B16" s="3192" t="s">
        <v>42</v>
      </c>
      <c r="C16" s="3193"/>
    </row>
    <row r="17" spans="1:3" ht="13.5">
      <c r="A17" s="3198"/>
      <c r="B17" s="3195" t="s">
        <v>957</v>
      </c>
      <c r="C17" s="1429" t="s">
        <v>956</v>
      </c>
    </row>
    <row r="18" spans="1:3" ht="13.5">
      <c r="A18" s="3198"/>
      <c r="B18" s="3195"/>
      <c r="C18" s="1429" t="s">
        <v>958</v>
      </c>
    </row>
    <row r="19" spans="1:3" ht="13.5">
      <c r="A19" s="3198"/>
      <c r="B19" s="3195"/>
      <c r="C19" s="1429" t="s">
        <v>959</v>
      </c>
    </row>
    <row r="20" spans="1:3" ht="13.5">
      <c r="A20" s="3199"/>
      <c r="B20" s="3194" t="s">
        <v>960</v>
      </c>
      <c r="C20" s="3193"/>
    </row>
    <row r="21" spans="1:3" ht="13.5">
      <c r="A21" s="1430" t="s">
        <v>961</v>
      </c>
      <c r="B21" s="1431"/>
      <c r="C21" s="1432"/>
    </row>
    <row r="22" spans="1:3" ht="13.5">
      <c r="A22" s="3196" t="s">
        <v>962</v>
      </c>
      <c r="B22" s="3194" t="s">
        <v>963</v>
      </c>
      <c r="C22" s="3193"/>
    </row>
    <row r="23" spans="1:3" ht="13.5">
      <c r="A23" s="3196"/>
      <c r="B23" s="3194" t="s">
        <v>964</v>
      </c>
      <c r="C23" s="3193"/>
    </row>
    <row r="24" spans="1:3" ht="13.5">
      <c r="A24" s="3196"/>
      <c r="B24" s="3194" t="s">
        <v>965</v>
      </c>
      <c r="C24" s="3193"/>
    </row>
    <row r="25" spans="1:3" ht="13.5">
      <c r="A25" s="3196"/>
      <c r="B25" s="3195" t="s">
        <v>966</v>
      </c>
      <c r="C25" s="1429" t="s">
        <v>967</v>
      </c>
    </row>
    <row r="26" spans="1:3" ht="13.5">
      <c r="A26" s="3196"/>
      <c r="B26" s="3195"/>
      <c r="C26" s="1429" t="s">
        <v>968</v>
      </c>
    </row>
    <row r="27" spans="1:3" ht="13.5">
      <c r="A27" s="3196"/>
      <c r="B27" s="3195"/>
      <c r="C27" s="1429" t="s">
        <v>969</v>
      </c>
    </row>
    <row r="28" spans="1:3" ht="13.5">
      <c r="A28" s="3196"/>
      <c r="B28" s="3195"/>
      <c r="C28" s="1429" t="s">
        <v>970</v>
      </c>
    </row>
    <row r="29" spans="1:3" ht="13.5">
      <c r="A29" s="3196"/>
      <c r="B29" s="3195"/>
      <c r="C29" s="1429" t="s">
        <v>971</v>
      </c>
    </row>
    <row r="30" spans="1:3" ht="13.5">
      <c r="A30" s="3196"/>
      <c r="B30" s="3195"/>
      <c r="C30" s="1429" t="s">
        <v>972</v>
      </c>
    </row>
    <row r="31" spans="1:3" ht="13.5">
      <c r="A31" s="3196"/>
      <c r="B31" s="3195"/>
      <c r="C31" s="1429" t="s">
        <v>973</v>
      </c>
    </row>
    <row r="32" spans="1:3" ht="13.5">
      <c r="A32" s="3196"/>
      <c r="B32" s="3195"/>
      <c r="C32" s="1429" t="s">
        <v>974</v>
      </c>
    </row>
    <row r="33" spans="1:3" ht="13.5">
      <c r="A33" s="3196"/>
      <c r="B33" s="319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45828</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2159</v>
      </c>
      <c r="B17" s="3200"/>
      <c r="C17" s="3200"/>
      <c r="D17" s="3200"/>
      <c r="E17" s="3200"/>
      <c r="F17" s="3200"/>
      <c r="G17" s="3200"/>
      <c r="H17" s="3200"/>
    </row>
    <row r="18" spans="1:8" ht="24" customHeight="1">
      <c r="A18" s="3201" t="s">
        <v>2160</v>
      </c>
      <c r="B18" s="3201"/>
      <c r="C18" s="3201"/>
      <c r="D18" s="2160"/>
      <c r="E18" s="3202" t="s">
        <v>2161</v>
      </c>
      <c r="F18" s="3201"/>
      <c r="G18" s="3201"/>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2025-06-20T05:52:08Z</dcterms:modified>
</cp:coreProperties>
</file>