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85" firstSheet="12" activeTab="15"/>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2901）" sheetId="9" r:id="rId17"/>
    <sheet name="结果表 (2902)" sheetId="64" r:id="rId18"/>
    <sheet name="结果表 (2903)" sheetId="65" r:id="rId19"/>
    <sheet name="结果表 (2905)" sheetId="66" r:id="rId20"/>
    <sheet name="结果表 (2906)" sheetId="67" r:id="rId21"/>
    <sheet name="结果表 (2907)" sheetId="68" r:id="rId22"/>
    <sheet name="成本法" sheetId="11" state="hidden" r:id="rId23"/>
    <sheet name="假设开发法" sheetId="12" state="hidden" r:id="rId24"/>
    <sheet name="收益法" sheetId="15" r:id="rId25"/>
    <sheet name="酒店收入计算" sheetId="58"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r:id="rId41"/>
    <sheet name="Sheet1" sheetId="63" r:id="rId42"/>
    <sheet name="存贷款利率" sheetId="61" state="hidden" r:id="rId4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4">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6" i="68" l="1"/>
  <c r="C66" i="64"/>
  <c r="C75" i="64"/>
  <c r="C76" i="64"/>
  <c r="C77" i="64"/>
  <c r="C74" i="64"/>
  <c r="C75" i="68"/>
  <c r="C76" i="68"/>
  <c r="C77" i="68"/>
  <c r="C74" i="68" s="1"/>
  <c r="B32" i="68"/>
  <c r="A132" i="68"/>
  <c r="H19" i="68"/>
  <c r="A131" i="68"/>
  <c r="D130" i="68"/>
  <c r="F114" i="68"/>
  <c r="I114" i="68"/>
  <c r="D129" i="68" s="1"/>
  <c r="A129" i="68"/>
  <c r="A114" i="68"/>
  <c r="D115" i="68"/>
  <c r="I113" i="68" s="1"/>
  <c r="D128" i="68" s="1"/>
  <c r="F112" i="68"/>
  <c r="I112" i="68"/>
  <c r="D127" i="68" s="1"/>
  <c r="A127" i="68"/>
  <c r="A112" i="68"/>
  <c r="C17" i="68"/>
  <c r="C18" i="68" s="1"/>
  <c r="D18" i="68" s="1"/>
  <c r="D17" i="68"/>
  <c r="C25" i="68"/>
  <c r="B121" i="68"/>
  <c r="I107" i="68"/>
  <c r="D108" i="68" s="1"/>
  <c r="I108" i="68"/>
  <c r="F110" i="68"/>
  <c r="I106" i="68"/>
  <c r="A125" i="68"/>
  <c r="D124" i="68"/>
  <c r="A123" i="68"/>
  <c r="C121" i="68"/>
  <c r="A121" i="68"/>
  <c r="F117" i="68"/>
  <c r="A116" i="68"/>
  <c r="D116" i="68"/>
  <c r="B101" i="68"/>
  <c r="C116" i="68" s="1"/>
  <c r="H114" i="68" s="1"/>
  <c r="D114" i="68"/>
  <c r="D111" i="68"/>
  <c r="C108" i="68"/>
  <c r="C111" i="68" s="1"/>
  <c r="H108" i="68" s="1"/>
  <c r="D110" i="68"/>
  <c r="C110" i="68"/>
  <c r="H107" i="68" s="1"/>
  <c r="D109" i="68"/>
  <c r="C109" i="68"/>
  <c r="H106" i="68" s="1"/>
  <c r="H105" i="68"/>
  <c r="H101" i="68"/>
  <c r="F101" i="68"/>
  <c r="D100" i="68"/>
  <c r="C100" i="68"/>
  <c r="D89" i="68"/>
  <c r="C89" i="68"/>
  <c r="C87" i="68"/>
  <c r="C92" i="68" s="1"/>
  <c r="C91" i="68"/>
  <c r="D93" i="68"/>
  <c r="C94" i="68"/>
  <c r="E90" i="68"/>
  <c r="D77" i="68"/>
  <c r="D78" i="68"/>
  <c r="H77" i="68"/>
  <c r="D68" i="68"/>
  <c r="I55" i="68"/>
  <c r="D59" i="68"/>
  <c r="M55" i="68"/>
  <c r="M56" i="68"/>
  <c r="J55" i="68"/>
  <c r="J56" i="68"/>
  <c r="J57" i="68"/>
  <c r="J59" i="68" s="1"/>
  <c r="J61" i="68" s="1"/>
  <c r="F59" i="68"/>
  <c r="E59" i="68"/>
  <c r="N55" i="68" s="1"/>
  <c r="N56" i="68"/>
  <c r="K56" i="68"/>
  <c r="F56" i="68"/>
  <c r="O55" i="68"/>
  <c r="K55" i="68"/>
  <c r="F55" i="68"/>
  <c r="O54" i="68"/>
  <c r="N54" i="68"/>
  <c r="F54" i="68"/>
  <c r="O53" i="68"/>
  <c r="N53" i="68"/>
  <c r="F53" i="68"/>
  <c r="F48" i="68"/>
  <c r="O52" i="68"/>
  <c r="E48" i="68"/>
  <c r="N52" i="68" s="1"/>
  <c r="F52" i="68"/>
  <c r="K49" i="68"/>
  <c r="M47" i="68"/>
  <c r="M46" i="68"/>
  <c r="F33" i="68"/>
  <c r="D32" i="68"/>
  <c r="D29" i="68"/>
  <c r="D28" i="68"/>
  <c r="D27" i="68"/>
  <c r="C24" i="68"/>
  <c r="L4" i="68"/>
  <c r="K4" i="68"/>
  <c r="A2" i="68"/>
  <c r="C66" i="67"/>
  <c r="C75" i="67"/>
  <c r="C76" i="67"/>
  <c r="C77" i="67"/>
  <c r="C74" i="67"/>
  <c r="B32" i="67"/>
  <c r="A132" i="67"/>
  <c r="H19" i="67"/>
  <c r="A131" i="67"/>
  <c r="D130" i="67"/>
  <c r="F114" i="67"/>
  <c r="I114" i="67"/>
  <c r="D129" i="67" s="1"/>
  <c r="A129" i="67"/>
  <c r="A114" i="67"/>
  <c r="D115" i="67"/>
  <c r="I113" i="67" s="1"/>
  <c r="D128" i="67" s="1"/>
  <c r="F112" i="67"/>
  <c r="I112" i="67"/>
  <c r="D127" i="67" s="1"/>
  <c r="A127" i="67"/>
  <c r="A112" i="67"/>
  <c r="C17" i="67"/>
  <c r="C18" i="67" s="1"/>
  <c r="D18" i="67" s="1"/>
  <c r="D17" i="67"/>
  <c r="C25" i="67"/>
  <c r="B121" i="67"/>
  <c r="I107" i="67"/>
  <c r="I108" i="67"/>
  <c r="D108" i="67"/>
  <c r="F110" i="67"/>
  <c r="I106" i="67"/>
  <c r="I105" i="67"/>
  <c r="D123" i="67" s="1"/>
  <c r="K106" i="67" s="1"/>
  <c r="A125" i="67"/>
  <c r="D124" i="67"/>
  <c r="A123" i="67"/>
  <c r="C121" i="67"/>
  <c r="A121" i="67"/>
  <c r="F117" i="67"/>
  <c r="A116" i="67"/>
  <c r="D116" i="67"/>
  <c r="B101" i="67"/>
  <c r="C116" i="67" s="1"/>
  <c r="H114" i="67" s="1"/>
  <c r="D114" i="67"/>
  <c r="C114" i="67"/>
  <c r="H112" i="67" s="1"/>
  <c r="C112" i="67"/>
  <c r="H110" i="67" s="1"/>
  <c r="D111" i="67"/>
  <c r="C108" i="67"/>
  <c r="C111" i="67" s="1"/>
  <c r="H108" i="67" s="1"/>
  <c r="D110" i="67"/>
  <c r="C110" i="67"/>
  <c r="D109" i="67"/>
  <c r="C109" i="67"/>
  <c r="H107" i="67"/>
  <c r="H106" i="67"/>
  <c r="C106" i="67"/>
  <c r="H102" i="67" s="1"/>
  <c r="H105" i="67"/>
  <c r="H101" i="67"/>
  <c r="F101" i="67"/>
  <c r="D100" i="67"/>
  <c r="C100" i="67"/>
  <c r="D89" i="67"/>
  <c r="C89" i="67"/>
  <c r="C87" i="67"/>
  <c r="C91" i="67"/>
  <c r="C92" i="67" s="1"/>
  <c r="D93" i="67"/>
  <c r="E90" i="67"/>
  <c r="D77" i="67"/>
  <c r="D78" i="67"/>
  <c r="H77" i="67"/>
  <c r="D68" i="67"/>
  <c r="I55" i="67"/>
  <c r="D59" i="67"/>
  <c r="M55" i="67"/>
  <c r="M56" i="67"/>
  <c r="J55" i="67"/>
  <c r="J56" i="67"/>
  <c r="J57" i="67"/>
  <c r="J59" i="67"/>
  <c r="J61" i="67"/>
  <c r="F59" i="67"/>
  <c r="E59" i="67"/>
  <c r="N56" i="67"/>
  <c r="K56" i="67"/>
  <c r="F56" i="67"/>
  <c r="O55" i="67"/>
  <c r="N55" i="67"/>
  <c r="K55" i="67"/>
  <c r="F55" i="67"/>
  <c r="O54" i="67"/>
  <c r="N54" i="67"/>
  <c r="F54" i="67"/>
  <c r="O53" i="67"/>
  <c r="N53" i="67"/>
  <c r="F53" i="67"/>
  <c r="F48" i="67"/>
  <c r="O52" i="67"/>
  <c r="E48" i="67"/>
  <c r="N52" i="67"/>
  <c r="F52" i="67"/>
  <c r="K49" i="67"/>
  <c r="M47" i="67"/>
  <c r="M46" i="67"/>
  <c r="F33" i="67"/>
  <c r="D32" i="67"/>
  <c r="D29" i="67"/>
  <c r="D28" i="67"/>
  <c r="D27" i="67"/>
  <c r="C24" i="67"/>
  <c r="L4" i="67"/>
  <c r="K4" i="67"/>
  <c r="A2" i="67"/>
  <c r="C66" i="66"/>
  <c r="B32" i="66"/>
  <c r="A132" i="66"/>
  <c r="H19" i="66"/>
  <c r="A131" i="66"/>
  <c r="D130" i="66"/>
  <c r="F114" i="66"/>
  <c r="I114" i="66"/>
  <c r="D129" i="66" s="1"/>
  <c r="A129" i="66"/>
  <c r="A114" i="66"/>
  <c r="D115" i="66"/>
  <c r="I113" i="66" s="1"/>
  <c r="D128" i="66" s="1"/>
  <c r="F112" i="66"/>
  <c r="I112" i="66"/>
  <c r="D127" i="66" s="1"/>
  <c r="A127" i="66"/>
  <c r="A112" i="66"/>
  <c r="C17" i="66"/>
  <c r="D17" i="66"/>
  <c r="C18" i="66"/>
  <c r="D18" i="66" s="1"/>
  <c r="C25" i="66"/>
  <c r="B121" i="66"/>
  <c r="I107" i="66"/>
  <c r="D108" i="66" s="1"/>
  <c r="I108" i="66"/>
  <c r="F110" i="66"/>
  <c r="I106" i="66"/>
  <c r="I105" i="66" s="1"/>
  <c r="D123" i="66" s="1"/>
  <c r="A125" i="66"/>
  <c r="D124" i="66"/>
  <c r="A123" i="66"/>
  <c r="C121" i="66"/>
  <c r="A121" i="66"/>
  <c r="F117" i="66"/>
  <c r="A116" i="66"/>
  <c r="D116" i="66"/>
  <c r="B101" i="66"/>
  <c r="C116" i="66"/>
  <c r="H114" i="66" s="1"/>
  <c r="D114" i="66"/>
  <c r="C114" i="66"/>
  <c r="H112" i="66" s="1"/>
  <c r="C112" i="66"/>
  <c r="D111" i="66"/>
  <c r="C108" i="66"/>
  <c r="C111" i="66"/>
  <c r="H108" i="66" s="1"/>
  <c r="H110" i="66"/>
  <c r="D110" i="66"/>
  <c r="C110" i="66"/>
  <c r="D109" i="66"/>
  <c r="C109" i="66"/>
  <c r="H107" i="66"/>
  <c r="H106" i="66"/>
  <c r="C106" i="66"/>
  <c r="H105" i="66"/>
  <c r="B103" i="66"/>
  <c r="H102" i="66"/>
  <c r="H101" i="66"/>
  <c r="F101" i="66"/>
  <c r="D100" i="66"/>
  <c r="C100" i="66"/>
  <c r="D89" i="66"/>
  <c r="C89" i="66"/>
  <c r="C87" i="66"/>
  <c r="C91" i="66"/>
  <c r="C92" i="66" s="1"/>
  <c r="D93" i="66"/>
  <c r="E90" i="66"/>
  <c r="C75" i="66"/>
  <c r="C76" i="66"/>
  <c r="D77" i="66"/>
  <c r="C77" i="66"/>
  <c r="C74" i="66"/>
  <c r="D78" i="66"/>
  <c r="H77" i="66"/>
  <c r="D68" i="66"/>
  <c r="I55" i="66"/>
  <c r="D59" i="66"/>
  <c r="M55" i="66"/>
  <c r="M56" i="66"/>
  <c r="J55" i="66"/>
  <c r="J56" i="66"/>
  <c r="J57" i="66"/>
  <c r="J59" i="66"/>
  <c r="J61" i="66"/>
  <c r="F59" i="66"/>
  <c r="E59" i="66"/>
  <c r="N56" i="66"/>
  <c r="K56" i="66"/>
  <c r="F56" i="66"/>
  <c r="O55" i="66"/>
  <c r="N55" i="66"/>
  <c r="K55" i="66"/>
  <c r="F55" i="66"/>
  <c r="O54" i="66"/>
  <c r="N54" i="66"/>
  <c r="F54" i="66"/>
  <c r="O53" i="66"/>
  <c r="N53" i="66"/>
  <c r="F53" i="66"/>
  <c r="F48" i="66"/>
  <c r="O52" i="66"/>
  <c r="E48" i="66"/>
  <c r="N52" i="66"/>
  <c r="F52" i="66"/>
  <c r="K49" i="66"/>
  <c r="M47" i="66"/>
  <c r="M46" i="66"/>
  <c r="F33" i="66"/>
  <c r="D32" i="66"/>
  <c r="D29" i="66"/>
  <c r="D28" i="66"/>
  <c r="D27" i="66"/>
  <c r="C24" i="66"/>
  <c r="L4" i="66"/>
  <c r="K4" i="66"/>
  <c r="A2" i="66"/>
  <c r="B32" i="65"/>
  <c r="A132" i="65"/>
  <c r="H19" i="65"/>
  <c r="A131" i="65"/>
  <c r="D130" i="65"/>
  <c r="F114" i="65"/>
  <c r="I114" i="65"/>
  <c r="D129" i="65" s="1"/>
  <c r="A129" i="65"/>
  <c r="A114" i="65"/>
  <c r="D115" i="65"/>
  <c r="I113" i="65" s="1"/>
  <c r="D128" i="65" s="1"/>
  <c r="F112" i="65"/>
  <c r="I112" i="65"/>
  <c r="D127" i="65" s="1"/>
  <c r="A127" i="65"/>
  <c r="A112" i="65"/>
  <c r="C17" i="65"/>
  <c r="C18" i="65" s="1"/>
  <c r="D18" i="65" s="1"/>
  <c r="D17" i="65"/>
  <c r="C25" i="65"/>
  <c r="B121" i="65"/>
  <c r="I107" i="65"/>
  <c r="I108" i="65"/>
  <c r="D108" i="65" s="1"/>
  <c r="F110" i="65"/>
  <c r="I106" i="65"/>
  <c r="I105" i="65"/>
  <c r="D123" i="65" s="1"/>
  <c r="K106" i="65" s="1"/>
  <c r="A125" i="65"/>
  <c r="D124" i="65"/>
  <c r="A123" i="65"/>
  <c r="C121" i="65"/>
  <c r="A121" i="65"/>
  <c r="F117" i="65"/>
  <c r="A116" i="65"/>
  <c r="D116" i="65"/>
  <c r="B101" i="65"/>
  <c r="C116" i="65" s="1"/>
  <c r="H114" i="65" s="1"/>
  <c r="D114" i="65"/>
  <c r="C114" i="65"/>
  <c r="H112" i="65" s="1"/>
  <c r="C112" i="65"/>
  <c r="H110" i="65" s="1"/>
  <c r="D111" i="65"/>
  <c r="C108" i="65"/>
  <c r="C111" i="65" s="1"/>
  <c r="H108" i="65" s="1"/>
  <c r="D110" i="65"/>
  <c r="C110" i="65"/>
  <c r="H107" i="65" s="1"/>
  <c r="D109" i="65"/>
  <c r="C109" i="65"/>
  <c r="H106" i="65"/>
  <c r="C106" i="65"/>
  <c r="H105" i="65"/>
  <c r="H102" i="65"/>
  <c r="H101" i="65"/>
  <c r="F101" i="65"/>
  <c r="D100" i="65"/>
  <c r="C100" i="65"/>
  <c r="D89" i="65"/>
  <c r="C89" i="65"/>
  <c r="C87" i="65"/>
  <c r="C91" i="65"/>
  <c r="C94" i="65" s="1"/>
  <c r="D93" i="65"/>
  <c r="E90" i="65"/>
  <c r="C66" i="65"/>
  <c r="C75" i="65"/>
  <c r="C76" i="65"/>
  <c r="D77" i="65"/>
  <c r="C77" i="65"/>
  <c r="C74" i="65"/>
  <c r="D78" i="65"/>
  <c r="H77" i="65"/>
  <c r="D68" i="65"/>
  <c r="I55" i="65"/>
  <c r="D59" i="65"/>
  <c r="M55" i="65"/>
  <c r="M56" i="65"/>
  <c r="J55" i="65"/>
  <c r="J56" i="65"/>
  <c r="J57" i="65"/>
  <c r="J59" i="65"/>
  <c r="J61" i="65"/>
  <c r="F59" i="65"/>
  <c r="E59" i="65"/>
  <c r="N56" i="65"/>
  <c r="K56" i="65"/>
  <c r="F56" i="65"/>
  <c r="O55" i="65"/>
  <c r="N55" i="65"/>
  <c r="K55" i="65"/>
  <c r="F55" i="65"/>
  <c r="O54" i="65"/>
  <c r="N54" i="65"/>
  <c r="F54" i="65"/>
  <c r="O53" i="65"/>
  <c r="N53" i="65"/>
  <c r="F53" i="65"/>
  <c r="F48" i="65"/>
  <c r="O52" i="65"/>
  <c r="E48" i="65"/>
  <c r="N52" i="65"/>
  <c r="F52" i="65"/>
  <c r="K49" i="65"/>
  <c r="M47" i="65"/>
  <c r="M46" i="65"/>
  <c r="F33" i="65"/>
  <c r="D32" i="65"/>
  <c r="D29" i="65"/>
  <c r="D28" i="65"/>
  <c r="D27" i="65"/>
  <c r="C24" i="65"/>
  <c r="L4" i="65"/>
  <c r="K4" i="65"/>
  <c r="A2" i="65"/>
  <c r="B32" i="64"/>
  <c r="A132" i="64"/>
  <c r="H19" i="64"/>
  <c r="A131" i="64"/>
  <c r="D130" i="64"/>
  <c r="F114" i="64"/>
  <c r="I114" i="64"/>
  <c r="D129" i="64" s="1"/>
  <c r="A129" i="64"/>
  <c r="A114" i="64"/>
  <c r="D115" i="64"/>
  <c r="I113" i="64" s="1"/>
  <c r="D128" i="64" s="1"/>
  <c r="F112" i="64"/>
  <c r="I112" i="64"/>
  <c r="D127" i="64" s="1"/>
  <c r="A127" i="64"/>
  <c r="A112" i="64"/>
  <c r="C17" i="64"/>
  <c r="C18" i="64" s="1"/>
  <c r="D18" i="64" s="1"/>
  <c r="D17" i="64"/>
  <c r="C25" i="64"/>
  <c r="B121" i="64"/>
  <c r="I107" i="64"/>
  <c r="I108" i="64"/>
  <c r="D108" i="64"/>
  <c r="F110" i="64"/>
  <c r="I106" i="64"/>
  <c r="I105" i="64"/>
  <c r="D123" i="64" s="1"/>
  <c r="K106" i="64" s="1"/>
  <c r="A125" i="64"/>
  <c r="D124" i="64"/>
  <c r="A123" i="64"/>
  <c r="C121" i="64"/>
  <c r="A121" i="64"/>
  <c r="F117" i="64"/>
  <c r="A116" i="64"/>
  <c r="D116" i="64"/>
  <c r="B101" i="64"/>
  <c r="C116" i="64" s="1"/>
  <c r="H114" i="64" s="1"/>
  <c r="D114" i="64"/>
  <c r="C114" i="64"/>
  <c r="H112" i="64" s="1"/>
  <c r="C112" i="64"/>
  <c r="H110" i="64" s="1"/>
  <c r="D111" i="64"/>
  <c r="C108" i="64"/>
  <c r="C111" i="64" s="1"/>
  <c r="H108" i="64" s="1"/>
  <c r="D110" i="64"/>
  <c r="C110" i="64"/>
  <c r="D109" i="64"/>
  <c r="C109" i="64"/>
  <c r="H107" i="64"/>
  <c r="H106" i="64"/>
  <c r="C106" i="64"/>
  <c r="H102" i="64" s="1"/>
  <c r="H105" i="64"/>
  <c r="H101" i="64"/>
  <c r="F101" i="64"/>
  <c r="D100" i="64"/>
  <c r="C100" i="64"/>
  <c r="D89" i="64"/>
  <c r="C89" i="64"/>
  <c r="C87" i="64"/>
  <c r="C91" i="64"/>
  <c r="C94" i="64" s="1"/>
  <c r="D93" i="64"/>
  <c r="E90" i="64"/>
  <c r="D77" i="64"/>
  <c r="D78" i="64"/>
  <c r="H77" i="64"/>
  <c r="D68" i="64"/>
  <c r="I55" i="64"/>
  <c r="D59" i="64"/>
  <c r="M55" i="64"/>
  <c r="M56" i="64"/>
  <c r="J55" i="64"/>
  <c r="J56" i="64"/>
  <c r="J57" i="64"/>
  <c r="J59" i="64"/>
  <c r="J61" i="64"/>
  <c r="F59" i="64"/>
  <c r="E59" i="64"/>
  <c r="N56" i="64"/>
  <c r="K56" i="64"/>
  <c r="F56" i="64"/>
  <c r="O55" i="64"/>
  <c r="N55" i="64"/>
  <c r="K55" i="64"/>
  <c r="F55" i="64"/>
  <c r="O54" i="64"/>
  <c r="N54" i="64"/>
  <c r="F54" i="64"/>
  <c r="O53" i="64"/>
  <c r="N53" i="64"/>
  <c r="F53" i="64"/>
  <c r="F48" i="64"/>
  <c r="O52" i="64"/>
  <c r="E48" i="64"/>
  <c r="N52" i="64"/>
  <c r="F52" i="64"/>
  <c r="K49" i="64"/>
  <c r="M47" i="64"/>
  <c r="M46" i="64"/>
  <c r="F33" i="64"/>
  <c r="D32" i="64"/>
  <c r="D29" i="64"/>
  <c r="D28" i="64"/>
  <c r="D27" i="64"/>
  <c r="C24" i="64"/>
  <c r="L4" i="64"/>
  <c r="K4" i="64"/>
  <c r="A2" i="64"/>
  <c r="F42" i="63"/>
  <c r="F41" i="63"/>
  <c r="C66" i="9"/>
  <c r="C75" i="9"/>
  <c r="C14" i="15"/>
  <c r="C15" i="15" s="1"/>
  <c r="C17" i="15"/>
  <c r="C18" i="15"/>
  <c r="E48" i="34"/>
  <c r="R48" i="34"/>
  <c r="F47" i="34"/>
  <c r="AA47" i="34"/>
  <c r="R49" i="34"/>
  <c r="G48" i="34"/>
  <c r="T48" i="34"/>
  <c r="H47" i="34"/>
  <c r="AB47" i="34"/>
  <c r="T49" i="34"/>
  <c r="I48" i="34"/>
  <c r="V48" i="34"/>
  <c r="J47" i="34"/>
  <c r="AC47" i="34"/>
  <c r="V49" i="34"/>
  <c r="R50" i="34"/>
  <c r="C50" i="34"/>
  <c r="B3" i="34"/>
  <c r="F7" i="15"/>
  <c r="C6" i="15" s="1"/>
  <c r="F36" i="15"/>
  <c r="F37" i="15"/>
  <c r="F38" i="15"/>
  <c r="F43" i="15"/>
  <c r="E21" i="31"/>
  <c r="D21" i="31"/>
  <c r="G5" i="34"/>
  <c r="I37" i="34"/>
  <c r="G37" i="34"/>
  <c r="E37" i="34"/>
  <c r="C37" i="34"/>
  <c r="C34" i="34"/>
  <c r="E20" i="1"/>
  <c r="D7" i="4"/>
  <c r="O6" i="59"/>
  <c r="O5" i="59"/>
  <c r="O7" i="59"/>
  <c r="O8" i="59"/>
  <c r="O9" i="59"/>
  <c r="O10" i="59"/>
  <c r="O11" i="59"/>
  <c r="O12" i="59"/>
  <c r="O13" i="59"/>
  <c r="O14" i="59"/>
  <c r="O15" i="59"/>
  <c r="O16" i="59"/>
  <c r="O17" i="59"/>
  <c r="O18" i="59"/>
  <c r="O19" i="59"/>
  <c r="O20" i="59"/>
  <c r="O21" i="59"/>
  <c r="O22" i="59"/>
  <c r="O23" i="59"/>
  <c r="O24" i="59"/>
  <c r="O25" i="59"/>
  <c r="O26" i="59"/>
  <c r="O27" i="59"/>
  <c r="O28" i="59"/>
  <c r="Y5" i="59"/>
  <c r="N6" i="59"/>
  <c r="N5" i="59"/>
  <c r="N7" i="59"/>
  <c r="N8" i="59"/>
  <c r="N9" i="59"/>
  <c r="N10" i="59"/>
  <c r="N11" i="59"/>
  <c r="N12" i="59"/>
  <c r="N13" i="59"/>
  <c r="N14" i="59"/>
  <c r="N15" i="59"/>
  <c r="N16" i="59"/>
  <c r="N17" i="59"/>
  <c r="N18" i="59"/>
  <c r="N19" i="59"/>
  <c r="N20" i="59"/>
  <c r="N21" i="59"/>
  <c r="N22" i="59"/>
  <c r="N23" i="59"/>
  <c r="N24" i="59"/>
  <c r="N25" i="59"/>
  <c r="N26" i="59"/>
  <c r="N27" i="59"/>
  <c r="N28"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B11" i="48" s="1"/>
  <c r="E3" i="4" s="1"/>
  <c r="B5" i="55" s="1"/>
  <c r="H17" i="48"/>
  <c r="D18" i="48"/>
  <c r="Y7" i="59"/>
  <c r="Y8" i="59"/>
  <c r="Y6" i="59"/>
  <c r="X6" i="59"/>
  <c r="AH6" i="59"/>
  <c r="AG6" i="59"/>
  <c r="AE6" i="59"/>
  <c r="AF6" i="59"/>
  <c r="AD6" i="59"/>
  <c r="AB6" i="59"/>
  <c r="AA6" i="59"/>
  <c r="Z6" i="59"/>
  <c r="D6" i="59"/>
  <c r="M48" i="15"/>
  <c r="B2" i="1"/>
  <c r="B23" i="1"/>
  <c r="B13" i="1"/>
  <c r="L49" i="15"/>
  <c r="B25" i="1"/>
  <c r="J50" i="15"/>
  <c r="J51" i="15"/>
  <c r="J52" i="15"/>
  <c r="J54" i="15"/>
  <c r="M6" i="15"/>
  <c r="M8" i="15"/>
  <c r="B5" i="1"/>
  <c r="M7" i="15"/>
  <c r="J6" i="15" s="1"/>
  <c r="J18" i="15" s="1"/>
  <c r="M9" i="15"/>
  <c r="E31" i="1"/>
  <c r="E29" i="1"/>
  <c r="M18" i="15"/>
  <c r="F30" i="1"/>
  <c r="F6" i="15"/>
  <c r="F8" i="15"/>
  <c r="F9" i="15"/>
  <c r="F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J58" i="57" s="1"/>
  <c r="J60" i="57" s="1"/>
  <c r="J62" i="57" s="1"/>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s="1"/>
  <c r="C23" i="31"/>
  <c r="B27" i="31"/>
  <c r="C28" i="31"/>
  <c r="Q28" i="31"/>
  <c r="E28" i="31"/>
  <c r="G28" i="31"/>
  <c r="I28" i="31"/>
  <c r="C29" i="31"/>
  <c r="Q29" i="31"/>
  <c r="E29" i="31"/>
  <c r="G29" i="31"/>
  <c r="I29" i="31"/>
  <c r="C30" i="31"/>
  <c r="Q30" i="31"/>
  <c r="E30" i="31"/>
  <c r="G30" i="31"/>
  <c r="I30" i="31"/>
  <c r="C31" i="31"/>
  <c r="Q31" i="31"/>
  <c r="E31" i="31"/>
  <c r="G31" i="31"/>
  <c r="I31" i="31"/>
  <c r="C32" i="31"/>
  <c r="Q32" i="31"/>
  <c r="E32" i="31"/>
  <c r="G32" i="31"/>
  <c r="I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c r="A119" i="57"/>
  <c r="A116" i="9"/>
  <c r="F113" i="57"/>
  <c r="A117" i="57"/>
  <c r="A130" i="57"/>
  <c r="A114" i="9"/>
  <c r="A127" i="9"/>
  <c r="A10" i="52"/>
  <c r="B66" i="60" s="1"/>
  <c r="F114" i="9"/>
  <c r="A129" i="9"/>
  <c r="A12" i="52"/>
  <c r="B67" i="60" s="1"/>
  <c r="F112" i="9"/>
  <c r="B45" i="50"/>
  <c r="B59" i="60"/>
  <c r="D2" i="52"/>
  <c r="B60" i="60" s="1"/>
  <c r="B18" i="50"/>
  <c r="B39" i="50" s="1"/>
  <c r="B15" i="50"/>
  <c r="B36" i="50" s="1"/>
  <c r="B10" i="50"/>
  <c r="B31" i="50" s="1"/>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G58" i="40"/>
  <c r="C58" i="40"/>
  <c r="M19" i="15"/>
  <c r="M24" i="15"/>
  <c r="M22" i="15"/>
  <c r="J15" i="15"/>
  <c r="M23" i="15"/>
  <c r="C2" i="11"/>
  <c r="F2" i="11"/>
  <c r="C7" i="12"/>
  <c r="C8" i="12" s="1"/>
  <c r="C4" i="12" s="1"/>
  <c r="F23" i="12"/>
  <c r="F11"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s="1"/>
  <c r="H78" i="57"/>
  <c r="D78" i="57"/>
  <c r="F60" i="57"/>
  <c r="O56" i="57"/>
  <c r="E60" i="57"/>
  <c r="N56" i="57" s="1"/>
  <c r="D60" i="57"/>
  <c r="M56" i="57"/>
  <c r="F57" i="57"/>
  <c r="O55" i="57" s="1"/>
  <c r="K56" i="57"/>
  <c r="I56" i="57"/>
  <c r="F56" i="57"/>
  <c r="O54" i="57"/>
  <c r="N55" i="57"/>
  <c r="N54" i="57"/>
  <c r="E49" i="57"/>
  <c r="N53" i="57" s="1"/>
  <c r="D27" i="57"/>
  <c r="C24" i="57"/>
  <c r="H19" i="57"/>
  <c r="D17" i="57"/>
  <c r="C17" i="57"/>
  <c r="L4" i="57"/>
  <c r="K4" i="57"/>
  <c r="B32" i="9"/>
  <c r="C2" i="36"/>
  <c r="F2" i="36"/>
  <c r="C2" i="35"/>
  <c r="C2" i="37"/>
  <c r="F2" i="37"/>
  <c r="C2" i="34"/>
  <c r="C2" i="33"/>
  <c r="C2" i="21"/>
  <c r="C2" i="15"/>
  <c r="P73" i="15"/>
  <c r="H19" i="9"/>
  <c r="C108" i="9"/>
  <c r="C109" i="9" s="1"/>
  <c r="H106" i="9" s="1"/>
  <c r="C91" i="9"/>
  <c r="C145" i="21"/>
  <c r="K139" i="21"/>
  <c r="J142" i="21"/>
  <c r="J140" i="21"/>
  <c r="E87" i="21"/>
  <c r="F87" i="21"/>
  <c r="G87" i="21"/>
  <c r="H87" i="21"/>
  <c r="I87" i="21"/>
  <c r="J87" i="21"/>
  <c r="K87" i="21"/>
  <c r="L87" i="21"/>
  <c r="M87" i="21"/>
  <c r="D87" i="2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s="1"/>
  <c r="B121" i="9"/>
  <c r="B4" i="52"/>
  <c r="A40" i="1"/>
  <c r="A39" i="1"/>
  <c r="A38" i="1"/>
  <c r="A37" i="1"/>
  <c r="A36" i="1"/>
  <c r="A29" i="1"/>
  <c r="A34" i="1"/>
  <c r="D111" i="9"/>
  <c r="I108" i="9"/>
  <c r="D110" i="9"/>
  <c r="I107" i="9"/>
  <c r="D108" i="9" s="1"/>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s="1"/>
  <c r="D89" i="9"/>
  <c r="C89" i="9"/>
  <c r="C87" i="9"/>
  <c r="E15" i="1"/>
  <c r="E19" i="11"/>
  <c r="E40" i="1"/>
  <c r="F34" i="15"/>
  <c r="F63" i="15"/>
  <c r="E59" i="9"/>
  <c r="N55" i="9" s="1"/>
  <c r="F59" i="9"/>
  <c r="O55" i="9" s="1"/>
  <c r="N54" i="9"/>
  <c r="N53" i="9"/>
  <c r="E48" i="9"/>
  <c r="N52" i="9" s="1"/>
  <c r="F56" i="9"/>
  <c r="O54" i="9" s="1"/>
  <c r="D100" i="9"/>
  <c r="C100" i="9"/>
  <c r="C30" i="40"/>
  <c r="C28" i="40"/>
  <c r="C23" i="39"/>
  <c r="C19" i="40"/>
  <c r="D27" i="9"/>
  <c r="C24" i="9"/>
  <c r="C25" i="9"/>
  <c r="D77" i="9"/>
  <c r="E90" i="9"/>
  <c r="H77" i="9"/>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W43" i="21"/>
  <c r="K29" i="31"/>
  <c r="K30"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F22" i="43"/>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3"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s="1"/>
  <c r="M29" i="15"/>
  <c r="P51" i="15"/>
  <c r="D10" i="11"/>
  <c r="C10" i="11" s="1"/>
  <c r="C2" i="31"/>
  <c r="I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s="1"/>
  <c r="D34" i="50"/>
  <c r="D13" i="50"/>
  <c r="B27" i="60" s="1"/>
  <c r="D31" i="50"/>
  <c r="D32" i="50"/>
  <c r="D10" i="50"/>
  <c r="D11" i="50" s="1"/>
  <c r="B25" i="60" s="1"/>
  <c r="D111" i="57"/>
  <c r="D35" i="50"/>
  <c r="D14" i="50"/>
  <c r="B28" i="60" s="1"/>
  <c r="C18" i="9"/>
  <c r="D18" i="9" s="1"/>
  <c r="D22" i="15"/>
  <c r="A14" i="52"/>
  <c r="B61" i="60" s="1"/>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s="1"/>
  <c r="C51" i="10"/>
  <c r="A8" i="54"/>
  <c r="B8" i="60"/>
  <c r="F2" i="21"/>
  <c r="F2" i="34"/>
  <c r="F2" i="35"/>
  <c r="F2" i="33"/>
  <c r="C111" i="9"/>
  <c r="H108" i="9" s="1"/>
  <c r="D35" i="57"/>
  <c r="C117" i="57"/>
  <c r="H113" i="57"/>
  <c r="C114" i="9"/>
  <c r="H112" i="9" s="1"/>
  <c r="B104" i="57"/>
  <c r="C119" i="57"/>
  <c r="H115"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c r="C20" i="11" s="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C18" i="12"/>
  <c r="F34" i="11"/>
  <c r="E19" i="1"/>
  <c r="D20" i="1"/>
  <c r="D18" i="1"/>
  <c r="F50" i="11"/>
  <c r="F19" i="1"/>
  <c r="F18" i="1"/>
  <c r="D19" i="1"/>
  <c r="K87" i="43"/>
  <c r="J87" i="43"/>
  <c r="D87" i="43"/>
  <c r="B55" i="60"/>
  <c r="C7" i="43"/>
  <c r="O19" i="43"/>
  <c r="B14" i="1"/>
  <c r="H10" i="39"/>
  <c r="C115" i="43"/>
  <c r="D113" i="43"/>
  <c r="J22" i="43"/>
  <c r="M84" i="43"/>
  <c r="N84" i="43"/>
  <c r="K84" i="43"/>
  <c r="J84" i="43"/>
  <c r="D84" i="43"/>
  <c r="M81" i="43"/>
  <c r="N81" i="43"/>
  <c r="K81" i="43"/>
  <c r="J81" i="43"/>
  <c r="D81" i="43"/>
  <c r="M88" i="43"/>
  <c r="N88" i="43"/>
  <c r="K88" i="43"/>
  <c r="J88" i="43"/>
  <c r="D88" i="43"/>
  <c r="I113" i="57"/>
  <c r="B40" i="1"/>
  <c r="M27" i="15"/>
  <c r="C11" i="12"/>
  <c r="C15" i="12" s="1"/>
  <c r="E81" i="43"/>
  <c r="J10" i="39"/>
  <c r="W10" i="39"/>
  <c r="F10" i="40"/>
  <c r="S10" i="40"/>
  <c r="J10" i="40"/>
  <c r="W10" i="40"/>
  <c r="B79" i="43"/>
  <c r="C24" i="43"/>
  <c r="B33" i="1"/>
  <c r="F41" i="15"/>
  <c r="F70" i="15"/>
  <c r="Q50" i="15"/>
  <c r="C13" i="12"/>
  <c r="C12" i="12"/>
  <c r="C36" i="11"/>
  <c r="AA10" i="40"/>
  <c r="D117" i="57"/>
  <c r="D118" i="57"/>
  <c r="I114" i="57"/>
  <c r="D131" i="57"/>
  <c r="D133" i="57"/>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M57" i="57"/>
  <c r="J56" i="9"/>
  <c r="J57" i="9"/>
  <c r="J59" i="9" s="1"/>
  <c r="J61" i="9" s="1"/>
  <c r="K57" i="57"/>
  <c r="F51" i="15"/>
  <c r="C50" i="15"/>
  <c r="D130" i="57"/>
  <c r="B7" i="62"/>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24" i="12"/>
  <c r="C29" i="12"/>
  <c r="D28" i="12"/>
  <c r="C77" i="9"/>
  <c r="F60" i="15"/>
  <c r="C30" i="11"/>
  <c r="C74" i="9"/>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H16" i="48"/>
  <c r="D15" i="48"/>
  <c r="H76" i="43"/>
  <c r="H75" i="43"/>
  <c r="H78" i="43"/>
  <c r="H73" i="43"/>
  <c r="D5" i="48"/>
  <c r="H5"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9" i="59"/>
  <c r="G20" i="43"/>
  <c r="H51" i="43"/>
  <c r="H50" i="43"/>
  <c r="H56" i="43"/>
  <c r="H55" i="43"/>
  <c r="H53" i="43"/>
  <c r="H49" i="43"/>
  <c r="H52" i="43"/>
  <c r="H48" i="43"/>
  <c r="H54" i="43"/>
  <c r="Q72" i="15"/>
  <c r="Q59" i="15"/>
  <c r="D8" i="59"/>
  <c r="I115" i="57"/>
  <c r="D132" i="57"/>
  <c r="D12" i="52" s="1"/>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3" i="37"/>
  <c r="E42" i="37"/>
  <c r="I47" i="37"/>
  <c r="J47" i="37"/>
  <c r="U7" i="33"/>
  <c r="AB7" i="33"/>
  <c r="T48" i="33"/>
  <c r="G48" i="33"/>
  <c r="R49" i="33"/>
  <c r="E48" i="33"/>
  <c r="I42" i="35"/>
  <c r="J42" i="35"/>
  <c r="F68" i="39"/>
  <c r="E70" i="39"/>
  <c r="AC7" i="34"/>
  <c r="I49" i="34"/>
  <c r="W7" i="34"/>
  <c r="G46" i="37"/>
  <c r="H46" i="37"/>
  <c r="G47" i="37"/>
  <c r="H47" i="37"/>
  <c r="I52" i="21"/>
  <c r="J52" i="21"/>
  <c r="AB7" i="34"/>
  <c r="G49" i="34"/>
  <c r="U7" i="34"/>
  <c r="R39" i="35"/>
  <c r="E38" i="35"/>
  <c r="E48" i="21"/>
  <c r="R49" i="21"/>
  <c r="I46" i="37"/>
  <c r="J46" i="37"/>
  <c r="E41" i="43"/>
  <c r="C41" i="43"/>
  <c r="C20" i="43"/>
  <c r="D7" i="59"/>
  <c r="M20" i="43"/>
  <c r="C19" i="43"/>
  <c r="C37" i="43"/>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s="1"/>
  <c r="D116" i="9"/>
  <c r="D21" i="50"/>
  <c r="B33" i="60" s="1"/>
  <c r="D42" i="50"/>
  <c r="D43" i="50" s="1"/>
  <c r="B2" i="34"/>
  <c r="H15" i="48"/>
  <c r="D16" i="48"/>
  <c r="K1" i="61"/>
  <c r="L58" i="15"/>
  <c r="L61" i="15"/>
  <c r="Q64" i="15"/>
  <c r="Q55" i="15"/>
  <c r="I112" i="9"/>
  <c r="D127" i="9" s="1"/>
  <c r="D18" i="50"/>
  <c r="D19" i="50" s="1"/>
  <c r="B32" i="60" s="1"/>
  <c r="D115" i="9"/>
  <c r="I113" i="9" s="1"/>
  <c r="D128" i="9" s="1"/>
  <c r="D11" i="52"/>
  <c r="D20" i="50"/>
  <c r="D41" i="50"/>
  <c r="B63" i="60" s="1"/>
  <c r="D114" i="9"/>
  <c r="D39" i="50"/>
  <c r="D40" i="50"/>
  <c r="D59" i="9"/>
  <c r="M55" i="9" s="1"/>
  <c r="D5" i="52"/>
  <c r="B39" i="60"/>
  <c r="D4" i="52"/>
  <c r="B37" i="60" s="1"/>
  <c r="E4" i="52"/>
  <c r="B38" i="60"/>
  <c r="F4" i="52"/>
  <c r="B40" i="60" s="1"/>
  <c r="F5" i="52"/>
  <c r="B42" i="60"/>
  <c r="G4" i="52"/>
  <c r="B41" i="60" s="1"/>
  <c r="D5" i="61"/>
  <c r="C20" i="9"/>
  <c r="G1" i="61"/>
  <c r="F4" i="61"/>
  <c r="C19" i="68"/>
  <c r="C20" i="67"/>
  <c r="C19" i="67"/>
  <c r="C20" i="66"/>
  <c r="C20" i="68"/>
  <c r="C20" i="65"/>
  <c r="C19" i="65"/>
  <c r="C19" i="66"/>
  <c r="E2" i="11"/>
  <c r="E2" i="21"/>
  <c r="E2" i="36"/>
  <c r="H23" i="31"/>
  <c r="C20" i="64"/>
  <c r="C19" i="64"/>
  <c r="E2" i="35"/>
  <c r="E2" i="34"/>
  <c r="C19" i="9"/>
  <c r="D3" i="61"/>
  <c r="F5" i="61"/>
  <c r="F3" i="61"/>
  <c r="D6" i="61"/>
  <c r="F6" i="61"/>
  <c r="D7" i="61"/>
  <c r="E2" i="33"/>
  <c r="E2" i="37"/>
  <c r="F7" i="61"/>
  <c r="D4" i="61"/>
  <c r="C112" i="68" l="1"/>
  <c r="H110" i="68" s="1"/>
  <c r="I105" i="68"/>
  <c r="D123" i="68" s="1"/>
  <c r="K106" i="68" s="1"/>
  <c r="C114" i="68"/>
  <c r="H112" i="68" s="1"/>
  <c r="B103" i="68"/>
  <c r="D22" i="50"/>
  <c r="B35" i="60" s="1"/>
  <c r="C35" i="11"/>
  <c r="C33" i="11" s="1"/>
  <c r="C38" i="11"/>
  <c r="C31" i="12"/>
  <c r="C23" i="12"/>
  <c r="C33" i="15"/>
  <c r="C32" i="15"/>
  <c r="C92" i="64"/>
  <c r="C92" i="65"/>
  <c r="C94" i="66"/>
  <c r="C94" i="67"/>
  <c r="C16" i="12"/>
  <c r="C21" i="12" s="1"/>
  <c r="C16" i="15"/>
  <c r="C19" i="15" s="1"/>
  <c r="C7" i="62"/>
  <c r="C28" i="11"/>
  <c r="C27" i="11" s="1"/>
  <c r="B56" i="60"/>
  <c r="C110" i="9"/>
  <c r="H107" i="9" s="1"/>
  <c r="I105" i="9"/>
  <c r="D123" i="9" s="1"/>
  <c r="K106" i="9" s="1"/>
  <c r="A18" i="55" s="1"/>
  <c r="B48" i="60" s="1"/>
  <c r="C116" i="9"/>
  <c r="H114" i="9" s="1"/>
  <c r="H105" i="9"/>
  <c r="B103" i="9"/>
  <c r="B31" i="60"/>
  <c r="D7" i="62"/>
  <c r="C106" i="9"/>
  <c r="H102" i="9" s="1"/>
  <c r="F7" i="48"/>
  <c r="H7" i="48" s="1"/>
  <c r="B9" i="48"/>
  <c r="D9" i="48" s="1"/>
  <c r="F10" i="48"/>
  <c r="H10" i="48" s="1"/>
  <c r="F11" i="48"/>
  <c r="H11" i="48" s="1"/>
  <c r="B103" i="64"/>
  <c r="B103" i="65"/>
  <c r="K106" i="66"/>
  <c r="C106" i="68"/>
  <c r="H102" i="68" s="1"/>
  <c r="B103" i="67"/>
  <c r="B10" i="48"/>
  <c r="D10" i="48" s="1"/>
  <c r="B8" i="48"/>
  <c r="D8" i="48" s="1"/>
  <c r="F13" i="48"/>
  <c r="H13" i="48" s="1"/>
  <c r="B14" i="48"/>
  <c r="D14" i="48" s="1"/>
  <c r="F22" i="48"/>
  <c r="H22" i="48" s="1"/>
  <c r="F21" i="48"/>
  <c r="H21" i="48" s="1"/>
  <c r="F8" i="48"/>
  <c r="H8" i="48" s="1"/>
  <c r="F4" i="48"/>
  <c r="H4" i="48" s="1"/>
  <c r="B22" i="48"/>
  <c r="D22" i="48" s="1"/>
  <c r="B13" i="48"/>
  <c r="D11" i="48"/>
  <c r="B7" i="48"/>
  <c r="D7" i="48" s="1"/>
  <c r="E20" i="43"/>
  <c r="B2" i="37"/>
  <c r="B3" i="37" s="1"/>
  <c r="B2" i="33"/>
  <c r="B3" i="33" s="1"/>
  <c r="C101" i="9"/>
  <c r="B2" i="35"/>
  <c r="C101" i="64"/>
  <c r="C102" i="64"/>
  <c r="B2" i="36"/>
  <c r="B3" i="36" s="1"/>
  <c r="B2" i="21"/>
  <c r="B3" i="21" s="1"/>
  <c r="C101" i="66"/>
  <c r="C101" i="65"/>
  <c r="C102" i="65"/>
  <c r="C102" i="68"/>
  <c r="C102" i="66"/>
  <c r="C101" i="67"/>
  <c r="C102" i="67"/>
  <c r="C101" i="68"/>
  <c r="I1" i="61"/>
  <c r="B30" i="1" s="1"/>
  <c r="E27" i="1"/>
  <c r="C102" i="9"/>
  <c r="B6" i="48"/>
  <c r="D6" i="48" s="1"/>
  <c r="F14" i="48"/>
  <c r="H14" i="48" s="1"/>
  <c r="F9" i="48"/>
  <c r="H9" i="48" s="1"/>
  <c r="B4" i="48"/>
  <c r="D4" i="48" s="1"/>
  <c r="F6" i="48"/>
  <c r="H6" i="48" s="1"/>
  <c r="C39" i="11" l="1"/>
  <c r="C46" i="11" s="1"/>
  <c r="C45" i="11" s="1"/>
  <c r="C20" i="15"/>
  <c r="C26" i="15" s="1"/>
  <c r="C30" i="12"/>
  <c r="C28" i="12" s="1"/>
  <c r="C22" i="12"/>
  <c r="C31" i="15"/>
  <c r="C3" i="4"/>
  <c r="D13" i="48"/>
  <c r="F24" i="15"/>
  <c r="F22" i="11"/>
  <c r="F25" i="12"/>
  <c r="F11" i="15"/>
  <c r="M11" i="15"/>
  <c r="J10" i="15" s="1"/>
  <c r="J5" i="15" s="1"/>
  <c r="N28" i="43"/>
  <c r="M28" i="43"/>
  <c r="O28" i="43"/>
  <c r="P28" i="43"/>
  <c r="B18" i="49" l="1"/>
  <c r="B4" i="60" s="1"/>
  <c r="B4" i="55"/>
  <c r="B53" i="60" s="1"/>
  <c r="C27" i="12"/>
  <c r="C25" i="12" s="1"/>
  <c r="C26" i="12"/>
  <c r="D25" i="12" s="1"/>
  <c r="C43" i="11"/>
  <c r="C23" i="11"/>
  <c r="C44" i="11"/>
  <c r="D41" i="11" s="1"/>
  <c r="C25" i="11"/>
  <c r="C42" i="11"/>
  <c r="C41" i="11" s="1"/>
  <c r="C26" i="11"/>
  <c r="D22" i="11" s="1"/>
  <c r="C24" i="11"/>
  <c r="C10" i="15"/>
  <c r="C5" i="15" s="1"/>
  <c r="C54" i="15"/>
  <c r="C49" i="15" s="1"/>
  <c r="J24" i="15"/>
  <c r="J26" i="15"/>
  <c r="J29" i="15" s="1"/>
  <c r="C23" i="15"/>
  <c r="C24" i="15"/>
  <c r="C22" i="11" l="1"/>
  <c r="C31" i="11" s="1"/>
  <c r="C29" i="15"/>
  <c r="C67" i="15"/>
  <c r="C61" i="15"/>
  <c r="C49" i="11"/>
  <c r="C51" i="11" s="1"/>
  <c r="C38" i="15"/>
  <c r="C32" i="12"/>
  <c r="C52" i="11" l="1"/>
  <c r="C56" i="11" s="1"/>
  <c r="C57" i="11" s="1"/>
  <c r="C13" i="15"/>
  <c r="J60" i="15"/>
  <c r="J61" i="15" s="1"/>
  <c r="C36" i="15"/>
  <c r="J19" i="15"/>
  <c r="J17" i="15" s="1"/>
  <c r="Q47" i="15"/>
  <c r="C58" i="15"/>
  <c r="J14" i="15"/>
  <c r="B3" i="12"/>
  <c r="B2" i="12"/>
  <c r="B2" i="11" l="1"/>
  <c r="B3" i="11"/>
  <c r="C65" i="15"/>
  <c r="C62" i="15"/>
  <c r="C60" i="15" s="1"/>
  <c r="L47" i="15"/>
  <c r="Q46" i="15"/>
  <c r="C37" i="15"/>
  <c r="C30" i="15" s="1"/>
  <c r="C39" i="15" s="1"/>
  <c r="J34" i="15"/>
  <c r="Q68" i="15"/>
  <c r="C57" i="15"/>
  <c r="C66" i="15" s="1"/>
  <c r="J13" i="15"/>
  <c r="J23" i="15" s="1"/>
  <c r="J22" i="15"/>
  <c r="J16" i="15" l="1"/>
  <c r="J25" i="15" s="1"/>
  <c r="J38" i="15"/>
  <c r="J39" i="15" s="1"/>
  <c r="C59" i="15"/>
  <c r="C68" i="15" s="1"/>
  <c r="C69" i="15" s="1"/>
  <c r="C72" i="15" s="1"/>
  <c r="C40" i="15"/>
  <c r="Q67" i="15"/>
  <c r="Q66" i="15" s="1"/>
  <c r="C47" i="15" l="1"/>
  <c r="B3" i="15"/>
  <c r="B2" i="15"/>
  <c r="Q45" i="15"/>
  <c r="Q51" i="15" s="1"/>
  <c r="L52" i="15"/>
  <c r="Q65" i="15" s="1"/>
  <c r="Q54" i="15"/>
  <c r="Q60" i="15" s="1"/>
  <c r="C43" i="15"/>
  <c r="Q63" i="15"/>
  <c r="Q73" i="15" s="1"/>
  <c r="J41" i="15"/>
  <c r="D20" i="64"/>
  <c r="D20" i="65"/>
  <c r="D20" i="68"/>
  <c r="D20" i="66"/>
  <c r="D20" i="67"/>
  <c r="D20" i="9"/>
  <c r="D19" i="9"/>
  <c r="D19" i="64"/>
  <c r="D19" i="66"/>
  <c r="D19" i="68"/>
  <c r="D19" i="65"/>
  <c r="D19" i="67"/>
  <c r="D101" i="67" l="1"/>
  <c r="G19" i="67"/>
  <c r="D22" i="67"/>
  <c r="D101" i="65"/>
  <c r="G19" i="65"/>
  <c r="D22" i="65"/>
  <c r="D101" i="68"/>
  <c r="G19" i="68"/>
  <c r="D22" i="68"/>
  <c r="D101" i="66"/>
  <c r="D22" i="66"/>
  <c r="G19" i="66"/>
  <c r="D101" i="64"/>
  <c r="G19" i="64"/>
  <c r="D22" i="64"/>
  <c r="D101" i="9"/>
  <c r="G19" i="9"/>
  <c r="D22" i="9"/>
  <c r="D102" i="9"/>
  <c r="G20" i="9"/>
  <c r="C32" i="9" s="1"/>
  <c r="D102" i="67"/>
  <c r="G20" i="67"/>
  <c r="C32" i="67" s="1"/>
  <c r="D102" i="66"/>
  <c r="G20" i="66"/>
  <c r="C32" i="66" s="1"/>
  <c r="D102" i="68"/>
  <c r="G20" i="68"/>
  <c r="C32" i="68" s="1"/>
  <c r="D102" i="65"/>
  <c r="G20" i="65"/>
  <c r="C32" i="65" s="1"/>
  <c r="D102" i="64"/>
  <c r="G20" i="64"/>
  <c r="C32" i="64" s="1"/>
  <c r="D35" i="67"/>
  <c r="D34" i="67" s="1"/>
  <c r="D35" i="68"/>
  <c r="D34" i="68" s="1"/>
  <c r="D35" i="65"/>
  <c r="D34" i="65" s="1"/>
  <c r="D35" i="66"/>
  <c r="D34" i="66" s="1"/>
  <c r="D35" i="64"/>
  <c r="D34" i="64" s="1"/>
  <c r="J42" i="15"/>
  <c r="D35" i="9"/>
  <c r="D34" i="9" s="1"/>
  <c r="C35" i="65" l="1"/>
  <c r="G121" i="65" s="1"/>
  <c r="F121" i="65" s="1"/>
  <c r="F122" i="65" s="1"/>
  <c r="I121" i="65"/>
  <c r="I121" i="66"/>
  <c r="C35" i="66"/>
  <c r="G121" i="66" s="1"/>
  <c r="F121" i="66" s="1"/>
  <c r="F122" i="66" s="1"/>
  <c r="I121" i="9"/>
  <c r="C35" i="9"/>
  <c r="G121" i="9" s="1"/>
  <c r="F121" i="9" s="1"/>
  <c r="F122" i="9" s="1"/>
  <c r="I121" i="64"/>
  <c r="C35" i="64"/>
  <c r="G121" i="64" s="1"/>
  <c r="F121" i="64" s="1"/>
  <c r="F122" i="64" s="1"/>
  <c r="C35" i="68"/>
  <c r="G121" i="68" s="1"/>
  <c r="F121" i="68" s="1"/>
  <c r="F122" i="68" s="1"/>
  <c r="I121" i="68"/>
  <c r="I121" i="67"/>
  <c r="C35" i="67"/>
  <c r="G121" i="67" s="1"/>
  <c r="F121" i="67" s="1"/>
  <c r="F122" i="67" s="1"/>
  <c r="C34" i="67" l="1"/>
  <c r="E121" i="67" s="1"/>
  <c r="D121" i="67" s="1"/>
  <c r="D122" i="67" s="1"/>
  <c r="C34" i="9"/>
  <c r="E121" i="9" s="1"/>
  <c r="D121" i="9" s="1"/>
  <c r="D122" i="9" s="1"/>
  <c r="C34" i="64"/>
  <c r="E121" i="64" s="1"/>
  <c r="D121" i="64" s="1"/>
  <c r="D122" i="64" s="1"/>
  <c r="D107" i="66"/>
  <c r="C104" i="66"/>
  <c r="I103" i="66"/>
  <c r="H121" i="66"/>
  <c r="R27" i="31"/>
  <c r="H121" i="9"/>
  <c r="D107" i="9"/>
  <c r="I103" i="9"/>
  <c r="C104" i="9"/>
  <c r="C34" i="65"/>
  <c r="E121" i="65" s="1"/>
  <c r="D121" i="65" s="1"/>
  <c r="D122" i="65" s="1"/>
  <c r="C104" i="68"/>
  <c r="I103" i="68"/>
  <c r="D107" i="68"/>
  <c r="H121" i="68"/>
  <c r="C34" i="68"/>
  <c r="E121" i="68" s="1"/>
  <c r="D121" i="68" s="1"/>
  <c r="D122" i="68" s="1"/>
  <c r="I103" i="64"/>
  <c r="H121" i="64"/>
  <c r="D107" i="64"/>
  <c r="C104" i="64"/>
  <c r="C34" i="66"/>
  <c r="E121" i="66" s="1"/>
  <c r="D121" i="66" s="1"/>
  <c r="D122" i="66" s="1"/>
  <c r="I103" i="65"/>
  <c r="H121" i="65"/>
  <c r="D107" i="65"/>
  <c r="C104" i="65"/>
  <c r="I103" i="67"/>
  <c r="C104" i="67"/>
  <c r="H121" i="67"/>
  <c r="D107" i="67"/>
  <c r="I102" i="68" l="1"/>
  <c r="I110" i="68" s="1"/>
  <c r="D125" i="68" s="1"/>
  <c r="D106" i="68"/>
  <c r="D112" i="68" s="1"/>
  <c r="H122" i="68"/>
  <c r="C103" i="68"/>
  <c r="I102" i="66"/>
  <c r="I110" i="66" s="1"/>
  <c r="D125" i="66" s="1"/>
  <c r="H122" i="66"/>
  <c r="C103" i="66"/>
  <c r="D106" i="66"/>
  <c r="D112" i="66" s="1"/>
  <c r="I102" i="65"/>
  <c r="I110" i="65" s="1"/>
  <c r="D125" i="65" s="1"/>
  <c r="H122" i="65"/>
  <c r="D106" i="65"/>
  <c r="D112" i="65" s="1"/>
  <c r="C103" i="65"/>
  <c r="D106" i="67"/>
  <c r="D112" i="67" s="1"/>
  <c r="H122" i="67"/>
  <c r="C103" i="67"/>
  <c r="I102" i="67"/>
  <c r="I110" i="67" s="1"/>
  <c r="D125" i="67" s="1"/>
  <c r="I102" i="9"/>
  <c r="C103" i="9"/>
  <c r="D106" i="9"/>
  <c r="D112" i="9" s="1"/>
  <c r="H122" i="9"/>
  <c r="I102" i="64"/>
  <c r="I110" i="64" s="1"/>
  <c r="D125" i="64" s="1"/>
  <c r="H122" i="64"/>
  <c r="C103" i="64"/>
  <c r="D106" i="64"/>
  <c r="D112" i="64" s="1"/>
  <c r="R29" i="31"/>
  <c r="R31" i="31"/>
  <c r="R32" i="31"/>
  <c r="R28" i="31"/>
  <c r="R30" i="31"/>
  <c r="S27" i="31"/>
  <c r="D45" i="9" s="1"/>
  <c r="T27" i="31"/>
  <c r="C32" i="57"/>
  <c r="M48" i="9" l="1"/>
  <c r="M49" i="9" s="1"/>
  <c r="S30" i="31"/>
  <c r="T30" i="31"/>
  <c r="I110" i="9"/>
  <c r="S28" i="31"/>
  <c r="T28" i="31"/>
  <c r="D113" i="64"/>
  <c r="I111" i="64" s="1"/>
  <c r="D126" i="64" s="1"/>
  <c r="D117" i="64"/>
  <c r="I115" i="64" s="1"/>
  <c r="D113" i="66"/>
  <c r="I111" i="66" s="1"/>
  <c r="D126" i="66" s="1"/>
  <c r="D117" i="66"/>
  <c r="I115" i="66" s="1"/>
  <c r="S32" i="31"/>
  <c r="T32" i="31"/>
  <c r="D117" i="9"/>
  <c r="I115" i="9" s="1"/>
  <c r="D113" i="9"/>
  <c r="I111" i="9" s="1"/>
  <c r="D126" i="9" s="1"/>
  <c r="D113" i="65"/>
  <c r="I111" i="65" s="1"/>
  <c r="D126" i="65" s="1"/>
  <c r="D117" i="65"/>
  <c r="I115" i="65" s="1"/>
  <c r="S31" i="31"/>
  <c r="T31" i="31"/>
  <c r="D113" i="68"/>
  <c r="I111" i="68" s="1"/>
  <c r="D126" i="68" s="1"/>
  <c r="D117" i="68"/>
  <c r="I115" i="68" s="1"/>
  <c r="S29" i="31"/>
  <c r="T29" i="31"/>
  <c r="D113" i="67"/>
  <c r="I111" i="67" s="1"/>
  <c r="D126" i="67" s="1"/>
  <c r="D117" i="67"/>
  <c r="I115" i="67" s="1"/>
  <c r="T25" i="31" l="1"/>
  <c r="D45" i="65"/>
  <c r="M48" i="65"/>
  <c r="M49" i="65" s="1"/>
  <c r="D45" i="67"/>
  <c r="M48" i="67"/>
  <c r="M49" i="67" s="1"/>
  <c r="M48" i="64"/>
  <c r="M49" i="64" s="1"/>
  <c r="D45" i="64"/>
  <c r="M48" i="66"/>
  <c r="M49" i="66" s="1"/>
  <c r="D45" i="66"/>
  <c r="M48" i="68"/>
  <c r="M49" i="68" s="1"/>
  <c r="D45" i="68"/>
  <c r="C72" i="9"/>
  <c r="C78" i="9"/>
  <c r="C73" i="9" s="1"/>
  <c r="D55" i="9"/>
  <c r="M53" i="9" s="1"/>
  <c r="C64" i="9"/>
  <c r="C63" i="9" s="1"/>
  <c r="C67" i="9" s="1"/>
  <c r="C68" i="9" s="1"/>
  <c r="D54" i="9" s="1"/>
  <c r="D48" i="9" s="1"/>
  <c r="M52" i="9" s="1"/>
  <c r="C85" i="9"/>
  <c r="C93" i="9"/>
  <c r="C86" i="9" s="1"/>
  <c r="D52" i="9"/>
  <c r="D53" i="9"/>
  <c r="S25" i="31"/>
  <c r="D125" i="9"/>
  <c r="C95" i="9" l="1"/>
  <c r="C79" i="9"/>
  <c r="L65" i="9"/>
  <c r="M65" i="9" s="1"/>
  <c r="L64" i="9"/>
  <c r="M64" i="9" s="1"/>
  <c r="L67" i="9"/>
  <c r="M67" i="9" s="1"/>
  <c r="L66" i="9"/>
  <c r="M66" i="9" s="1"/>
  <c r="L63" i="9"/>
  <c r="M63" i="9" s="1"/>
  <c r="L68" i="9"/>
  <c r="M68" i="9" s="1"/>
  <c r="C72" i="66"/>
  <c r="C78" i="66"/>
  <c r="C73" i="66" s="1"/>
  <c r="D52" i="66"/>
  <c r="C64" i="66"/>
  <c r="C63" i="66" s="1"/>
  <c r="C67" i="66" s="1"/>
  <c r="C68" i="66" s="1"/>
  <c r="D54" i="66" s="1"/>
  <c r="D48" i="66" s="1"/>
  <c r="M52" i="66" s="1"/>
  <c r="D55" i="66"/>
  <c r="M53" i="66" s="1"/>
  <c r="C93" i="66"/>
  <c r="C86" i="66" s="1"/>
  <c r="D53" i="66"/>
  <c r="C85" i="66"/>
  <c r="L63" i="67"/>
  <c r="M63" i="67" s="1"/>
  <c r="L68" i="67"/>
  <c r="M68" i="67" s="1"/>
  <c r="L66" i="67"/>
  <c r="M66" i="67" s="1"/>
  <c r="L64" i="67"/>
  <c r="M64" i="67" s="1"/>
  <c r="L67" i="67"/>
  <c r="M67" i="67" s="1"/>
  <c r="L65" i="67"/>
  <c r="M65" i="67" s="1"/>
  <c r="B23" i="31"/>
  <c r="B2" i="31" s="1"/>
  <c r="R25" i="31"/>
  <c r="B24" i="31" s="1"/>
  <c r="B3" i="31" s="1"/>
  <c r="C96" i="9"/>
  <c r="E96" i="9" s="1"/>
  <c r="E97" i="9" s="1"/>
  <c r="C80" i="9"/>
  <c r="E80" i="9" s="1"/>
  <c r="E81" i="9" s="1"/>
  <c r="L63" i="66"/>
  <c r="M63" i="66" s="1"/>
  <c r="L65" i="66"/>
  <c r="M65" i="66" s="1"/>
  <c r="L67" i="66"/>
  <c r="M67" i="66" s="1"/>
  <c r="L64" i="66"/>
  <c r="M64" i="66" s="1"/>
  <c r="L66" i="66"/>
  <c r="M66" i="66" s="1"/>
  <c r="L68" i="66"/>
  <c r="M68" i="66" s="1"/>
  <c r="D55" i="67"/>
  <c r="M53" i="67" s="1"/>
  <c r="C85" i="67"/>
  <c r="C64" i="67"/>
  <c r="C63" i="67" s="1"/>
  <c r="C67" i="67" s="1"/>
  <c r="C68" i="67" s="1"/>
  <c r="D54" i="67" s="1"/>
  <c r="D48" i="67" s="1"/>
  <c r="M52" i="67" s="1"/>
  <c r="C78" i="67"/>
  <c r="C73" i="67" s="1"/>
  <c r="D52" i="67"/>
  <c r="D53" i="67"/>
  <c r="C72" i="67"/>
  <c r="C93" i="67"/>
  <c r="C86" i="67" s="1"/>
  <c r="C72" i="68"/>
  <c r="C85" i="68"/>
  <c r="C64" i="68"/>
  <c r="C63" i="68" s="1"/>
  <c r="C67" i="68" s="1"/>
  <c r="C68" i="68" s="1"/>
  <c r="D54" i="68" s="1"/>
  <c r="D48" i="68" s="1"/>
  <c r="M52" i="68" s="1"/>
  <c r="C93" i="68"/>
  <c r="C86" i="68" s="1"/>
  <c r="D55" i="68"/>
  <c r="M53" i="68" s="1"/>
  <c r="D52" i="68"/>
  <c r="C78" i="68"/>
  <c r="C73" i="68" s="1"/>
  <c r="D53" i="68"/>
  <c r="C78" i="64"/>
  <c r="C73" i="64" s="1"/>
  <c r="C64" i="64"/>
  <c r="C63" i="64" s="1"/>
  <c r="C67" i="64" s="1"/>
  <c r="C68" i="64" s="1"/>
  <c r="D54" i="64" s="1"/>
  <c r="D48" i="64" s="1"/>
  <c r="M52" i="64" s="1"/>
  <c r="C72" i="64"/>
  <c r="D55" i="64"/>
  <c r="M53" i="64" s="1"/>
  <c r="C93" i="64"/>
  <c r="C86" i="64" s="1"/>
  <c r="D53" i="64"/>
  <c r="C85" i="64"/>
  <c r="D52" i="64"/>
  <c r="L63" i="65"/>
  <c r="M63" i="65" s="1"/>
  <c r="L65" i="65"/>
  <c r="M65" i="65" s="1"/>
  <c r="L67" i="65"/>
  <c r="M67" i="65" s="1"/>
  <c r="L66" i="65"/>
  <c r="M66" i="65" s="1"/>
  <c r="L64" i="65"/>
  <c r="M64" i="65" s="1"/>
  <c r="L68" i="65"/>
  <c r="M68" i="65" s="1"/>
  <c r="L65" i="68"/>
  <c r="M65" i="68" s="1"/>
  <c r="L63" i="68"/>
  <c r="M63" i="68" s="1"/>
  <c r="L68" i="68"/>
  <c r="M68" i="68" s="1"/>
  <c r="L66" i="68"/>
  <c r="M66" i="68" s="1"/>
  <c r="L67" i="68"/>
  <c r="M67" i="68" s="1"/>
  <c r="L64" i="68"/>
  <c r="M64" i="68" s="1"/>
  <c r="L64" i="64"/>
  <c r="M64" i="64" s="1"/>
  <c r="L66" i="64"/>
  <c r="M66" i="64" s="1"/>
  <c r="L68" i="64"/>
  <c r="M68" i="64" s="1"/>
  <c r="L63" i="64"/>
  <c r="M63" i="64" s="1"/>
  <c r="L65" i="64"/>
  <c r="M65" i="64" s="1"/>
  <c r="L67" i="64"/>
  <c r="M67" i="64" s="1"/>
  <c r="C78" i="65"/>
  <c r="C73" i="65" s="1"/>
  <c r="D55" i="65"/>
  <c r="M53" i="65" s="1"/>
  <c r="C64" i="65"/>
  <c r="C63" i="65" s="1"/>
  <c r="C67" i="65" s="1"/>
  <c r="C68" i="65" s="1"/>
  <c r="D54" i="65" s="1"/>
  <c r="D48" i="65" s="1"/>
  <c r="M52" i="65" s="1"/>
  <c r="C72" i="65"/>
  <c r="C85" i="65"/>
  <c r="D52" i="65"/>
  <c r="D53" i="65"/>
  <c r="C93" i="65"/>
  <c r="C86" i="65" s="1"/>
  <c r="D19" i="57"/>
  <c r="C19" i="57"/>
  <c r="C20" i="57"/>
  <c r="D20" i="57"/>
  <c r="C95" i="66" l="1"/>
  <c r="C96" i="66" s="1"/>
  <c r="E96" i="66" s="1"/>
  <c r="E97" i="66" s="1"/>
  <c r="C95" i="65"/>
  <c r="C96" i="65" s="1"/>
  <c r="E96" i="65" s="1"/>
  <c r="E97" i="65" s="1"/>
  <c r="C95" i="64"/>
  <c r="C96" i="64" s="1"/>
  <c r="E96" i="64" s="1"/>
  <c r="E97" i="64" s="1"/>
  <c r="C79" i="64"/>
  <c r="C95" i="68"/>
  <c r="C96" i="68" s="1"/>
  <c r="E96" i="68" s="1"/>
  <c r="E97" i="68" s="1"/>
  <c r="D103" i="57"/>
  <c r="C103" i="57"/>
  <c r="G20" i="57"/>
  <c r="C102" i="57"/>
  <c r="G19" i="57"/>
  <c r="D22" i="57"/>
  <c r="D102" i="57"/>
  <c r="C81" i="9"/>
  <c r="D58" i="9" s="1"/>
  <c r="D56" i="9" s="1"/>
  <c r="M54" i="9" s="1"/>
  <c r="N57" i="9" s="1"/>
  <c r="C34" i="57"/>
  <c r="I124" i="57" s="1"/>
  <c r="C79" i="66"/>
  <c r="C80" i="64"/>
  <c r="E80" i="64" s="1"/>
  <c r="E81" i="64" s="1"/>
  <c r="C33" i="57"/>
  <c r="H124" i="57" s="1"/>
  <c r="M69" i="64"/>
  <c r="N69" i="64" s="1"/>
  <c r="M69" i="65"/>
  <c r="N69" i="65" s="1"/>
  <c r="C79" i="67"/>
  <c r="C97" i="9"/>
  <c r="M69" i="9"/>
  <c r="N69" i="9" s="1"/>
  <c r="C79" i="65"/>
  <c r="M69" i="68"/>
  <c r="N69" i="68" s="1"/>
  <c r="C79" i="68"/>
  <c r="C95" i="67"/>
  <c r="M69" i="66"/>
  <c r="N69" i="66" s="1"/>
  <c r="M69" i="67"/>
  <c r="N69" i="67" s="1"/>
  <c r="C97" i="66" l="1"/>
  <c r="C97" i="65"/>
  <c r="C97" i="64"/>
  <c r="C81" i="64"/>
  <c r="D58" i="64" s="1"/>
  <c r="D56" i="64" s="1"/>
  <c r="M54" i="64" s="1"/>
  <c r="N57" i="64" s="1"/>
  <c r="C80" i="67"/>
  <c r="E80" i="67" s="1"/>
  <c r="E81" i="67" s="1"/>
  <c r="C80" i="68"/>
  <c r="E80" i="68" s="1"/>
  <c r="E81" i="68" s="1"/>
  <c r="C80" i="65"/>
  <c r="E80" i="65" s="1"/>
  <c r="E81" i="65" s="1"/>
  <c r="C96" i="67"/>
  <c r="E96" i="67" s="1"/>
  <c r="E97" i="67" s="1"/>
  <c r="C97" i="68"/>
  <c r="C80" i="66"/>
  <c r="E80" i="66" s="1"/>
  <c r="E81" i="66" s="1"/>
  <c r="C105" i="57"/>
  <c r="C104" i="57"/>
  <c r="D110" i="57"/>
  <c r="C107" i="57"/>
  <c r="I104" i="57"/>
  <c r="I4" i="52"/>
  <c r="D109" i="57"/>
  <c r="I103" i="57"/>
  <c r="C106" i="57"/>
  <c r="D14" i="62"/>
  <c r="H125" i="57"/>
  <c r="H5" i="52" s="1"/>
  <c r="H4" i="52"/>
  <c r="AA27" i="31"/>
  <c r="N58" i="9"/>
  <c r="P57" i="9"/>
  <c r="N59" i="9"/>
  <c r="N58" i="64" l="1"/>
  <c r="C81" i="66"/>
  <c r="D58" i="66" s="1"/>
  <c r="D56" i="66" s="1"/>
  <c r="M54" i="66" s="1"/>
  <c r="N57" i="66" s="1"/>
  <c r="N59" i="64"/>
  <c r="AC28" i="31" s="1"/>
  <c r="C81" i="68"/>
  <c r="D58" i="68" s="1"/>
  <c r="D56" i="68" s="1"/>
  <c r="M54" i="68" s="1"/>
  <c r="N57" i="68" s="1"/>
  <c r="AA28" i="31"/>
  <c r="P57" i="64"/>
  <c r="C81" i="67"/>
  <c r="D58" i="67" s="1"/>
  <c r="D56" i="67" s="1"/>
  <c r="M54" i="67" s="1"/>
  <c r="N57" i="67" s="1"/>
  <c r="AC27" i="31"/>
  <c r="N61" i="9"/>
  <c r="AB27" i="31" s="1"/>
  <c r="N60" i="9"/>
  <c r="D46" i="57"/>
  <c r="M49" i="57"/>
  <c r="D7" i="50"/>
  <c r="D28" i="50"/>
  <c r="D29" i="50" s="1"/>
  <c r="I111" i="57"/>
  <c r="C97" i="67"/>
  <c r="D115" i="57"/>
  <c r="D116" i="57" s="1"/>
  <c r="D120" i="57"/>
  <c r="D9" i="50"/>
  <c r="B21" i="60" s="1"/>
  <c r="D30" i="50"/>
  <c r="B5" i="62"/>
  <c r="F14" i="62"/>
  <c r="E14" i="62"/>
  <c r="C81" i="65"/>
  <c r="D58" i="65" s="1"/>
  <c r="D56" i="65" s="1"/>
  <c r="M54" i="65" s="1"/>
  <c r="N57" i="65" s="1"/>
  <c r="N59" i="68" l="1"/>
  <c r="N61" i="68" s="1"/>
  <c r="AB32" i="31" s="1"/>
  <c r="AA31" i="31"/>
  <c r="AA30" i="31"/>
  <c r="P57" i="66"/>
  <c r="N59" i="66"/>
  <c r="N61" i="66" s="1"/>
  <c r="AB30" i="31" s="1"/>
  <c r="N58" i="67"/>
  <c r="N60" i="64"/>
  <c r="N61" i="64"/>
  <c r="AB28" i="31" s="1"/>
  <c r="AA32" i="31"/>
  <c r="N58" i="66"/>
  <c r="N59" i="67"/>
  <c r="N60" i="67" s="1"/>
  <c r="P57" i="67"/>
  <c r="P57" i="68"/>
  <c r="N58" i="68"/>
  <c r="M50" i="57"/>
  <c r="D128" i="57"/>
  <c r="D15" i="50"/>
  <c r="D36" i="50"/>
  <c r="D37" i="50" s="1"/>
  <c r="D54" i="57"/>
  <c r="D49" i="57" s="1"/>
  <c r="M53" i="57" s="1"/>
  <c r="C73" i="57"/>
  <c r="D56" i="57"/>
  <c r="M54" i="57" s="1"/>
  <c r="D53" i="57"/>
  <c r="C86" i="57"/>
  <c r="C79" i="57"/>
  <c r="C74" i="57" s="1"/>
  <c r="C94" i="57"/>
  <c r="C87" i="57" s="1"/>
  <c r="C65" i="57"/>
  <c r="C64" i="57" s="1"/>
  <c r="C68" i="57" s="1"/>
  <c r="C69" i="57" s="1"/>
  <c r="D55" i="57" s="1"/>
  <c r="C5" i="62"/>
  <c r="D5" i="62"/>
  <c r="D38" i="50"/>
  <c r="B62" i="60" s="1"/>
  <c r="I112" i="57"/>
  <c r="D8" i="50"/>
  <c r="B22" i="60" s="1"/>
  <c r="B19" i="60"/>
  <c r="D44" i="50"/>
  <c r="I116" i="57"/>
  <c r="D23" i="50" s="1"/>
  <c r="B34" i="60" s="1"/>
  <c r="P57" i="65"/>
  <c r="AA29" i="31"/>
  <c r="N58" i="65"/>
  <c r="N59" i="65"/>
  <c r="AC30" i="31"/>
  <c r="AC32" i="31"/>
  <c r="N60" i="68" l="1"/>
  <c r="N60" i="66"/>
  <c r="AA25" i="31"/>
  <c r="AC31" i="31"/>
  <c r="N61" i="67"/>
  <c r="AB31" i="31" s="1"/>
  <c r="C96" i="57"/>
  <c r="C97" i="57" s="1"/>
  <c r="E97" i="57" s="1"/>
  <c r="E98" i="57" s="1"/>
  <c r="AC29" i="31"/>
  <c r="N61" i="65"/>
  <c r="AB29" i="31" s="1"/>
  <c r="N60" i="65"/>
  <c r="D16" i="50"/>
  <c r="B30" i="60" s="1"/>
  <c r="B29" i="60"/>
  <c r="C80" i="57"/>
  <c r="G14" i="62"/>
  <c r="B6" i="62" s="1"/>
  <c r="D8" i="52"/>
  <c r="D129" i="57"/>
  <c r="D17" i="50"/>
  <c r="L66" i="57"/>
  <c r="M66" i="57" s="1"/>
  <c r="L68" i="57"/>
  <c r="M68" i="57" s="1"/>
  <c r="L65" i="57"/>
  <c r="M65" i="57" s="1"/>
  <c r="L67" i="57"/>
  <c r="M67" i="57" s="1"/>
  <c r="L69" i="57"/>
  <c r="M69" i="57" s="1"/>
  <c r="L64" i="57"/>
  <c r="M64" i="57" s="1"/>
  <c r="AC25" i="31" l="1"/>
  <c r="C98" i="57"/>
  <c r="D59" i="57" s="1"/>
  <c r="D57" i="57" s="1"/>
  <c r="M55" i="57" s="1"/>
  <c r="N58" i="57" s="1"/>
  <c r="N60" i="57" s="1"/>
  <c r="M70" i="57"/>
  <c r="N70" i="57" s="1"/>
  <c r="C81" i="57"/>
  <c r="E81" i="57" s="1"/>
  <c r="E82" i="57" s="1"/>
  <c r="D6" i="62"/>
  <c r="C6" i="62"/>
  <c r="D10" i="52"/>
  <c r="D9" i="52"/>
  <c r="I14" i="62" l="1"/>
  <c r="B8" i="62" s="1"/>
  <c r="P58" i="57"/>
  <c r="N59" i="57"/>
  <c r="C82" i="57"/>
  <c r="N61" i="57"/>
  <c r="N62" i="57"/>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<sst xmlns="http://schemas.openxmlformats.org/spreadsheetml/2006/main" count="8350" uniqueCount="2913">
  <si>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</si>
  <si>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</si>
  <si>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</si>
  <si>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</si>
  <si>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</si>
  <si>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</si>
  <si>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</si>
  <si>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</si>
  <si>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</si>
  <si>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</si>
  <si>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</si>
  <si>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</si>
  <si>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</si>
  <si>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</si>
  <si>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</si>
  <si>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</si>
  <si>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</si>
  <si>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</si>
  <si>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</si>
  <si>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</si>
  <si>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</si>
  <si>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</si>
  <si>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</si>
  <si>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</si>
  <si>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</si>
  <si>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</si>
  <si>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</si>
  <si>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</si>
  <si>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</si>
  <si>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</si>
  <si>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</si>
  <si>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</si>
  <si>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</si>
  <si>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</si>
  <si>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</si>
  <si>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</si>
  <si>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</si>
  <si>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</si>
  <si>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</si>
  <si>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</si>
  <si>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</si>
  <si>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</si>
  <si>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</si>
  <si>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</si>
  <si>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</si>
  <si>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</si>
  <si>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</si>
  <si>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</si>
  <si>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</si>
  <si>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</si>
  <si>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</si>
  <si>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</si>
  <si>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</si>
  <si>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</si>
  <si>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</si>
  <si>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</si>
  <si>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</si>
  <si>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</si>
  <si>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</si>
  <si>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</si>
  <si>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</si>
  <si>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</si>
  <si>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</si>
  <si>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</si>
  <si>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</si>
  <si>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</si>
  <si>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</si>
  <si>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</si>
  <si>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</si>
  <si>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</si>
  <si>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</si>
  <si>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</si>
  <si>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</si>
  <si>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</si>
  <si>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</si>
  <si>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</si>
  <si>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</si>
  <si>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</si>
  <si>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</si>
  <si>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</si>
  <si>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</si>
  <si>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</si>
  <si>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</si>
  <si>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</si>
  <si>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</si>
  <si>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</si>
  <si>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</si>
  <si>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</si>
  <si>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</si>
  <si>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</si>
  <si>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</si>
  <si>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</si>
  <si>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</si>
  <si>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</si>
  <si>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</si>
  <si>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</si>
  <si>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</si>
  <si>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</si>
  <si>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</si>
  <si>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</si>
  <si>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</si>
  <si>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</si>
  <si>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</si>
  <si>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</si>
  <si>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</si>
  <si>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</si>
  <si>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</si>
  <si>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</si>
  <si>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</si>
  <si>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</si>
  <si>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</si>
  <si>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</si>
  <si>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</si>
  <si>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</si>
  <si>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</si>
  <si>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</si>
  <si>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</si>
  <si>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</si>
  <si>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</si>
  <si>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</si>
  <si>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</si>
  <si>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</si>
  <si>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</si>
  <si>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</si>
  <si>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</si>
  <si>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</si>
  <si>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</si>
  <si>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</si>
  <si>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</si>
  <si>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</si>
  <si>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</si>
  <si>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</si>
  <si>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</si>
  <si>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</si>
  <si>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</si>
  <si>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</si>
  <si>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</si>
  <si>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</si>
  <si>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</si>
  <si>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</si>
  <si>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</si>
  <si>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</si>
  <si>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</si>
  <si>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</si>
  <si>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</si>
  <si>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</si>
  <si>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</si>
  <si>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</si>
  <si>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</si>
  <si>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</si>
  <si>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</si>
  <si>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</si>
  <si>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</si>
  <si>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</si>
  <si>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</si>
  <si>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</si>
  <si>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</si>
  <si>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</si>
  <si>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</si>
  <si>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</si>
  <si>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</si>
  <si>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</si>
  <si>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</si>
  <si>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</si>
  <si>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</si>
  <si>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</si>
  <si>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</si>
  <si>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</si>
  <si>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</si>
  <si>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</si>
  <si>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</si>
  <si>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</si>
  <si>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</si>
  <si>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</si>
  <si>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</si>
  <si>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</si>
  <si>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</si>
  <si>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</si>
  <si>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</si>
  <si>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</si>
  <si>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</si>
  <si>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</si>
  <si>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</si>
  <si>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</si>
  <si>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</si>
  <si>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</si>
  <si>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</si>
  <si>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</si>
  <si>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</si>
  <si>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</si>
  <si>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</si>
  <si>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</si>
  <si>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</si>
  <si>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</si>
  <si>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</si>
  <si>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</si>
  <si>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</si>
  <si>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</si>
  <si>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</si>
  <si>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</si>
  <si>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</si>
  <si>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</si>
  <si>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</si>
  <si>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</si>
  <si>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</si>
  <si>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</si>
  <si>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</si>
  <si>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</si>
  <si>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</si>
  <si>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</si>
  <si>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</si>
  <si>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</si>
  <si>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</si>
  <si>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</si>
  <si>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</si>
  <si>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</si>
  <si>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</si>
  <si>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</si>
  <si>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</si>
  <si>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</si>
  <si>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</si>
  <si>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</si>
  <si>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</si>
  <si>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</si>
  <si>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</si>
  <si>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</si>
  <si>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</si>
  <si>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</si>
  <si>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</si>
  <si>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</si>
  <si>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</si>
  <si>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</si>
  <si>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</si>
  <si>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</si>
  <si>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</si>
  <si>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</si>
  <si>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</si>
  <si>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</si>
  <si>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</si>
  <si>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</si>
  <si>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</si>
  <si>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</si>
  <si>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</si>
  <si>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</si>
  <si>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</si>
  <si>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</si>
  <si>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</si>
  <si>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</si>
  <si>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</si>
  <si>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</si>
  <si>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</si>
  <si>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</si>
  <si>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</si>
  <si>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</si>
  <si>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</si>
  <si>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</si>
  <si>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</si>
  <si>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</si>
  <si>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</si>
  <si>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</si>
  <si>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</si>
  <si>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</si>
  <si>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</si>
  <si>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</si>
  <si>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</si>
  <si>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</si>
  <si>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</si>
  <si>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</si>
  <si>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</si>
  <si>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</si>
  <si>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</si>
  <si>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</si>
  <si>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</si>
  <si>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</si>
  <si>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</si>
  <si>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</si>
  <si>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</si>
  <si>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</si>
  <si>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</si>
  <si>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</si>
  <si>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</si>
  <si>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</si>
  <si>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</si>
  <si>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</si>
  <si>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</si>
  <si>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</si>
  <si>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</si>
  <si>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</si>
  <si>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</si>
  <si>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</si>
  <si>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</si>
  <si>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</si>
  <si>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</si>
  <si>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</si>
  <si>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</si>
  <si>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</si>
  <si>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</si>
  <si>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</si>
  <si>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</si>
  <si>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</si>
  <si>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</si>
  <si>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</si>
  <si>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</si>
  <si>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</si>
  <si>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</si>
  <si>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</si>
  <si>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</si>
  <si>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</si>
  <si>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</si>
  <si>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</si>
  <si>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</si>
  <si>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</si>
  <si>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</si>
  <si>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</si>
  <si>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</si>
  <si>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</si>
  <si>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</si>
  <si>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</si>
  <si>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</si>
  <si>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</si>
  <si>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</si>
  <si>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</si>
  <si>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</si>
  <si>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</si>
  <si>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</si>
  <si>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</si>
  <si>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</si>
  <si>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</si>
  <si>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</si>
  <si>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</si>
  <si>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</si>
  <si>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</si>
  <si>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</si>
  <si>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</si>
  <si>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</si>
  <si>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</si>
  <si>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</si>
  <si>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</si>
  <si>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</si>
  <si>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</si>
  <si>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</si>
  <si>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</si>
  <si>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</si>
  <si>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</si>
  <si>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</si>
  <si>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</si>
  <si>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</si>
  <si>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</si>
  <si>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</si>
  <si>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</si>
  <si>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</si>
  <si>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</si>
  <si>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</si>
  <si>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</si>
  <si>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</si>
  <si>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</si>
  <si>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</si>
  <si>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</si>
  <si>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</si>
  <si>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</si>
  <si>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</si>
  <si>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</si>
  <si>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</si>
  <si>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</si>
  <si>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</si>
  <si>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</si>
  <si>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</si>
  <si>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</si>
  <si>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</si>
  <si>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</si>
  <si>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</si>
  <si>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</si>
  <si>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</si>
  <si>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</si>
  <si>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</si>
  <si>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</si>
  <si>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</si>
  <si>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</si>
  <si>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</si>
  <si>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</si>
  <si>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</si>
  <si>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</si>
  <si>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</si>
  <si>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</si>
  <si>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</si>
  <si>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</si>
  <si>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</si>
  <si>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</si>
  <si>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</si>
  <si>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</si>
  <si>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</si>
  <si>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</si>
  <si>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</si>
  <si>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</si>
  <si>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</si>
  <si>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</si>
  <si>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</si>
  <si>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</si>
  <si>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</si>
  <si>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</si>
  <si>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</si>
  <si>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</si>
  <si>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</si>
  <si>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</si>
  <si>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</si>
  <si>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</si>
  <si>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</si>
  <si>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</si>
  <si>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</si>
  <si>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</si>
  <si>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</si>
  <si>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</si>
  <si>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</si>
  <si>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</si>
  <si>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</si>
  <si>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</si>
  <si>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</si>
  <si>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</si>
  <si>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</si>
  <si>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</si>
  <si>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</si>
  <si>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</si>
  <si>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</si>
  <si>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</si>
  <si>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</si>
  <si>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</si>
  <si>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</si>
  <si>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</si>
  <si>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</si>
  <si>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</si>
  <si>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</si>
  <si>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</si>
  <si>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</si>
  <si>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</si>
  <si>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</si>
  <si>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</si>
  <si>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</si>
  <si>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</si>
  <si>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</si>
  <si>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</si>
  <si>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</si>
  <si>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</si>
  <si>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</si>
  <si>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</si>
  <si>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</si>
  <si>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</si>
  <si>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</si>
  <si>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</si>
  <si>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</si>
  <si>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</si>
  <si>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</si>
  <si>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</si>
  <si>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</si>
  <si>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</si>
  <si>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</si>
  <si>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</si>
  <si>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</si>
  <si>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</si>
  <si>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</si>
  <si>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</si>
  <si>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</si>
  <si>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</si>
  <si>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</si>
  <si>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</si>
  <si>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</si>
  <si>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</si>
  <si>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</si>
  <si>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</si>
  <si>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</si>
  <si>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</si>
  <si>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</si>
  <si>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</si>
  <si>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</si>
  <si>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</si>
  <si>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</si>
  <si>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</si>
  <si>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</si>
  <si>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</si>
  <si>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</si>
  <si>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</si>
  <si>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</si>
  <si>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</si>
  <si>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</si>
  <si>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</si>
  <si>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</si>
  <si>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</si>
  <si>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</si>
  <si>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</si>
  <si>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</si>
  <si>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</si>
  <si>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</si>
  <si>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</si>
  <si>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</si>
  <si>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</si>
  <si>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</si>
  <si>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</si>
  <si>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</si>
  <si>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</si>
  <si>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</si>
  <si>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</si>
  <si>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</si>
  <si>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</si>
  <si>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</si>
  <si>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</si>
  <si>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</si>
  <si>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</si>
  <si>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</si>
  <si>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</si>
  <si>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</si>
  <si>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</si>
  <si>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</si>
  <si>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</si>
  <si>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</si>
  <si>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</si>
  <si>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</si>
  <si>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</si>
  <si>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</si>
  <si>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</si>
  <si>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</si>
  <si>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</si>
  <si>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</si>
  <si>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</si>
  <si>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</si>
  <si>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</si>
  <si>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</si>
  <si>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</si>
  <si>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</si>
  <si>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</si>
  <si>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</si>
  <si>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</si>
  <si>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</si>
  <si>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</si>
  <si>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</si>
  <si>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</si>
  <si>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</si>
  <si>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</si>
  <si>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</si>
  <si>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</si>
  <si>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</si>
  <si>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</si>
  <si>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</si>
  <si>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</si>
  <si>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</si>
  <si>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</si>
  <si>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</si>
  <si>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</si>
  <si>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</si>
  <si>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</si>
  <si>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</si>
  <si>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</si>
  <si>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</si>
  <si>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</si>
  <si>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</si>
  <si>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</si>
  <si>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</si>
  <si>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</si>
  <si>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</si>
  <si>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</si>
  <si>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</si>
  <si>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</si>
  <si>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</si>
  <si>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</si>
  <si>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</si>
  <si>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</si>
  <si>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</si>
  <si>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</si>
  <si>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</si>
  <si>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</si>
  <si>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</si>
  <si>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</si>
  <si>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</si>
  <si>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</si>
  <si>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</si>
  <si>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</si>
  <si>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</si>
  <si>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</si>
  <si>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</si>
  <si>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</si>
  <si>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</si>
  <si>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</si>
  <si>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</si>
  <si>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</si>
  <si>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</si>
  <si>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</si>
  <si>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</si>
  <si>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</si>
  <si>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</si>
  <si>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</si>
  <si>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</si>
  <si>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</si>
  <si>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</si>
  <si>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</si>
  <si>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</si>
  <si>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</si>
  <si>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</si>
  <si>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</si>
  <si>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</si>
  <si>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</si>
  <si>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</si>
  <si>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</si>
  <si>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</si>
  <si>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</si>
  <si>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</si>
  <si>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</si>
  <si>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</si>
  <si>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</si>
  <si>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</si>
  <si>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</si>
  <si>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</si>
  <si>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</si>
  <si>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</si>
  <si>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</si>
  <si>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</si>
  <si>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</si>
  <si>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</si>
  <si>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</si>
  <si>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</si>
  <si>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</si>
  <si>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</si>
  <si>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</si>
  <si>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</si>
  <si>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</si>
  <si>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</si>
  <si>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</si>
  <si>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</si>
  <si>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</si>
  <si>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</si>
  <si>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</si>
  <si>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</si>
  <si>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</si>
  <si>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</si>
  <si>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</si>
  <si>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</si>
  <si>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</si>
  <si>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</si>
  <si>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</si>
  <si>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</si>
  <si>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</si>
  <si>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</si>
  <si>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</si>
  <si>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</si>
  <si>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</si>
  <si>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</si>
  <si>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</si>
  <si>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</si>
  <si>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</si>
  <si>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</si>
  <si>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</si>
  <si>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</si>
  <si>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</si>
  <si>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</si>
  <si>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</si>
  <si>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</si>
  <si>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</si>
  <si>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</si>
  <si>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</si>
  <si>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</si>
  <si>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</si>
  <si>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</si>
  <si>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</si>
  <si>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</si>
  <si>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</si>
  <si>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</si>
  <si>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</si>
  <si>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</si>
  <si>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</si>
  <si>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</si>
  <si>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</si>
  <si>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</si>
  <si>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</si>
  <si>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</si>
  <si>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</si>
  <si>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</si>
  <si>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</si>
  <si>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</si>
  <si>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</si>
  <si>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</si>
  <si>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</si>
  <si>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</si>
  <si>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</si>
  <si>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</si>
  <si>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</si>
  <si>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</si>
  <si>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</si>
  <si>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</si>
  <si>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</si>
  <si>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</si>
  <si>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</si>
  <si>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</si>
  <si>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</si>
  <si>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</si>
  <si>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</si>
  <si>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</si>
  <si>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</si>
  <si>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</si>
  <si>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</si>
  <si>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</si>
  <si>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</si>
  <si>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</si>
  <si>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</si>
  <si>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</si>
  <si>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</si>
  <si>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</si>
  <si>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</si>
  <si>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</si>
  <si>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</si>
  <si>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</si>
  <si>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</si>
  <si>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</si>
  <si>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</si>
  <si>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</si>
  <si>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</si>
  <si>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</si>
  <si>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</si>
  <si>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</si>
  <si>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</si>
  <si>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</si>
  <si>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</si>
  <si>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</si>
  <si>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</si>
  <si>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</si>
  <si>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</si>
  <si>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</si>
  <si>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</si>
  <si>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</si>
  <si>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</si>
  <si>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</si>
  <si>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</si>
  <si>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</si>
  <si>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</si>
  <si>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</si>
  <si>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</si>
  <si>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</si>
  <si>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</si>
  <si>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</si>
  <si>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</si>
  <si>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</si>
  <si>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</si>
  <si>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</si>
  <si>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</si>
  <si>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</si>
  <si>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</si>
  <si>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</si>
  <si>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</si>
  <si>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</si>
  <si>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</si>
  <si>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</si>
  <si>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</si>
  <si>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</si>
  <si>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</si>
  <si>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</si>
  <si>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</si>
  <si>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</si>
  <si>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</si>
  <si>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</si>
  <si>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</si>
  <si>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</si>
  <si>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</si>
  <si>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</si>
  <si>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</si>
  <si>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</si>
  <si>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</si>
  <si>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</si>
  <si>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</si>
  <si>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</si>
  <si>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</si>
  <si>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</si>
  <si>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</si>
  <si>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</si>
  <si>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</si>
  <si>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</si>
  <si>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</si>
  <si>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</si>
  <si>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</si>
  <si>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</si>
  <si>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</si>
  <si>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</si>
  <si>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</si>
  <si>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</si>
  <si>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</si>
  <si>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</si>
  <si>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</si>
  <si>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</si>
  <si>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</si>
  <si>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</si>
  <si>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</si>
  <si>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</si>
  <si>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</si>
  <si>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</si>
  <si>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</si>
  <si>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</si>
  <si>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</si>
  <si>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</si>
  <si>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</si>
  <si>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</si>
  <si>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</si>
  <si>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</si>
  <si>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</si>
  <si>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</si>
  <si>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</si>
  <si>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</si>
  <si>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</si>
  <si>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</si>
  <si>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</si>
  <si>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</si>
  <si>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</si>
  <si>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</si>
  <si>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</si>
  <si>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</si>
  <si>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</si>
  <si>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</si>
  <si>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</si>
  <si>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</si>
  <si>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</si>
  <si>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</si>
  <si>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</si>
  <si>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</si>
  <si>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</si>
  <si>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</si>
  <si>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</si>
  <si>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</si>
  <si>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</si>
  <si>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</si>
  <si>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</si>
  <si>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</si>
  <si>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</si>
  <si>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</si>
  <si>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</si>
  <si>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</si>
  <si>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</si>
  <si>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</si>
  <si>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</si>
  <si>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</si>
  <si>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</si>
  <si>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</si>
  <si>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</si>
  <si>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</si>
  <si>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</si>
  <si>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</si>
  <si>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</si>
  <si>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</si>
  <si>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</si>
  <si>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</si>
  <si>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</si>
  <si>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</si>
  <si>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</si>
  <si>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</si>
  <si>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</si>
  <si>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</si>
  <si>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</si>
  <si>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</si>
  <si>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</si>
  <si>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</si>
  <si>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</si>
  <si>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</si>
  <si>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</si>
  <si>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</si>
  <si>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</si>
  <si>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</si>
  <si>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</si>
  <si>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</si>
  <si>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</si>
  <si>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</si>
  <si>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</si>
  <si>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</si>
  <si>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</si>
  <si>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</si>
  <si>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</si>
  <si>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</si>
  <si>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</si>
  <si>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</si>
  <si>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</si>
  <si>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</si>
  <si>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</si>
  <si>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</si>
  <si>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</si>
  <si>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</si>
  <si>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</si>
  <si>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</si>
  <si>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</si>
  <si>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</si>
  <si>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</si>
  <si>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</si>
  <si>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</si>
  <si>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</si>
  <si>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</si>
  <si>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</si>
  <si>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</si>
  <si>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</si>
  <si>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</si>
  <si>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</si>
  <si>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</si>
  <si>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</si>
  <si>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</si>
  <si>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</si>
  <si>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</si>
  <si>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</si>
  <si>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</si>
  <si>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</si>
  <si>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</si>
  <si>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</si>
  <si>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</si>
  <si>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</si>
  <si>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</si>
  <si>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</si>
  <si>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</si>
  <si>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</si>
  <si>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</si>
  <si>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</si>
  <si>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</si>
  <si>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</si>
  <si>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</si>
  <si>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</si>
  <si>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</si>
  <si>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</si>
  <si>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</si>
  <si>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</si>
  <si>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</si>
  <si>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</si>
  <si>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</si>
  <si>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</si>
  <si>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</si>
  <si>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</si>
  <si>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</si>
  <si>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</si>
  <si>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</si>
  <si>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</si>
  <si>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</si>
  <si>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</si>
  <si>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</si>
  <si>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</si>
  <si>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</si>
  <si>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</si>
  <si>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</si>
  <si>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</si>
  <si>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</si>
  <si>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</si>
  <si>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</si>
  <si>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</si>
  <si>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</si>
  <si>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</si>
  <si>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</si>
  <si>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</si>
  <si>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</si>
  <si>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</si>
  <si>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</si>
  <si>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</si>
  <si>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</si>
  <si>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</si>
  <si>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</si>
  <si>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</si>
  <si>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</si>
  <si>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</si>
  <si>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</si>
  <si>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</si>
  <si>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</si>
  <si>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</si>
  <si>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</si>
  <si>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</si>
  <si>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</si>
  <si>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</si>
  <si>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</si>
  <si>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</si>
  <si>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</si>
  <si>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</si>
  <si>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</si>
  <si>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</si>
  <si>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</si>
  <si>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</si>
  <si>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</si>
  <si>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</si>
  <si>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</si>
  <si>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</si>
  <si>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</si>
  <si>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</si>
  <si>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</si>
  <si>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</si>
  <si>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</si>
  <si>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</si>
  <si>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</si>
  <si>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</si>
  <si>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</si>
  <si>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</si>
  <si>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</si>
  <si>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</si>
  <si>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</si>
  <si>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</si>
  <si>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</si>
  <si>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</si>
  <si>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</si>
  <si>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</si>
  <si>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</si>
  <si>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</si>
  <si>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</si>
  <si>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</si>
  <si>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</si>
  <si>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</si>
  <si>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</si>
  <si>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</si>
  <si>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</si>
  <si>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</si>
  <si>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</si>
  <si>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</si>
  <si>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</si>
  <si>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</si>
  <si>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</si>
  <si>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</si>
  <si>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</si>
  <si>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</si>
  <si>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</si>
  <si>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</si>
  <si>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</si>
  <si>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</si>
  <si>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</si>
  <si>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</si>
  <si>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</si>
  <si>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</si>
  <si>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</si>
  <si>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</si>
  <si>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</si>
  <si>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</si>
  <si>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</si>
  <si>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</si>
  <si>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</si>
  <si>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</si>
  <si>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</si>
  <si>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</si>
  <si>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</si>
  <si>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</si>
  <si>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</si>
  <si>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</si>
  <si>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</si>
  <si>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</si>
  <si>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</si>
  <si>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</si>
  <si>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</si>
  <si>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</si>
  <si>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</si>
  <si>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</si>
  <si>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</si>
  <si>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</si>
  <si>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</si>
  <si>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</si>
  <si>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</si>
  <si>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</si>
  <si>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</si>
  <si>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</si>
  <si>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</si>
  <si>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</si>
  <si>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</si>
  <si>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</si>
  <si>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</si>
  <si>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</si>
  <si>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</si>
  <si>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</si>
  <si>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</si>
  <si>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</si>
  <si>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</si>
  <si>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</si>
  <si>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</si>
  <si>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</si>
  <si>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</si>
  <si>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</si>
  <si>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</si>
  <si>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</si>
  <si>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</si>
  <si>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</si>
  <si>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</si>
  <si>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</si>
  <si>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</si>
  <si>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</si>
  <si>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</si>
  <si>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</si>
  <si>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</si>
  <si>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</si>
  <si>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</si>
  <si>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</si>
  <si>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</si>
  <si>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</si>
  <si>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</si>
  <si>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</si>
  <si>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</si>
  <si>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</si>
  <si>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</si>
  <si>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</si>
  <si>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</si>
  <si>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</si>
  <si>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</si>
  <si>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</si>
  <si>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</si>
  <si>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</si>
  <si>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</si>
  <si>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</si>
  <si>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</si>
  <si>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</si>
  <si>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</si>
  <si>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</si>
  <si>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</si>
  <si>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</si>
  <si>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</si>
  <si>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</si>
  <si>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</si>
  <si>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</si>
  <si>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</si>
  <si>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</si>
  <si>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</si>
  <si>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</si>
  <si>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</si>
  <si>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</si>
  <si>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</si>
  <si>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</si>
  <si>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</si>
  <si>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</si>
  <si>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</si>
  <si>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</si>
  <si>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</si>
  <si>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</si>
  <si>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</si>
  <si>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</si>
  <si>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</si>
  <si>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</si>
  <si>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</si>
  <si>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</si>
  <si>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</si>
  <si>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</si>
  <si>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</si>
  <si>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</si>
  <si>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</si>
  <si>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</si>
  <si>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</si>
  <si>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</si>
  <si>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</si>
  <si>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</si>
  <si>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</si>
  <si>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</si>
  <si>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</si>
  <si>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</si>
  <si>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</si>
  <si>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</si>
  <si>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</si>
  <si>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</si>
  <si>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</si>
  <si>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</si>
  <si>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</si>
  <si>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</si>
  <si>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</si>
  <si>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</si>
  <si>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</si>
  <si>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</si>
  <si>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</si>
  <si>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</si>
  <si>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</si>
  <si>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</si>
  <si>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</si>
  <si>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</si>
  <si>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</si>
  <si>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</si>
  <si>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</si>
  <si>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</si>
  <si>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</si>
  <si>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</si>
  <si>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</si>
  <si>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</si>
  <si>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</si>
  <si>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</si>
  <si>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</si>
  <si>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</si>
  <si>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</si>
  <si>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</si>
  <si>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</si>
  <si>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</si>
  <si>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</si>
  <si>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</si>
  <si>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</si>
  <si>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</si>
  <si>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</si>
  <si>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</si>
  <si>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</si>
  <si>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</si>
  <si>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</si>
  <si>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</si>
  <si>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</si>
  <si>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</si>
  <si>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</si>
  <si>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</si>
  <si>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</si>
  <si>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</si>
  <si>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</si>
  <si>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</si>
  <si>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</si>
  <si>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</si>
  <si>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</si>
  <si>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</si>
  <si>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</si>
  <si>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</si>
  <si>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</si>
  <si>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</si>
  <si>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</si>
  <si>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</si>
  <si>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</si>
  <si>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</si>
  <si>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</si>
  <si>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</si>
  <si>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</si>
  <si>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</si>
  <si>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</si>
  <si>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</si>
  <si>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</si>
  <si>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</si>
  <si>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</si>
  <si>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</si>
  <si>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</si>
  <si>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</si>
  <si>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</si>
  <si>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</si>
  <si>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</si>
  <si>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</si>
  <si>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</si>
  <si>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</si>
  <si>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</si>
  <si>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</si>
  <si>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</si>
  <si>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</si>
  <si>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</si>
  <si>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</si>
  <si>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</si>
  <si>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</si>
  <si>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</si>
  <si>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</si>
  <si>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</si>
  <si>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</si>
  <si>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</si>
  <si>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</si>
  <si>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</si>
  <si>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</si>
  <si>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</si>
  <si>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</si>
  <si>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</si>
  <si>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</si>
  <si>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</si>
  <si>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</si>
  <si>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</si>
  <si>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</si>
  <si>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</si>
  <si>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</si>
  <si>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</si>
  <si>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</si>
  <si>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</si>
  <si>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</si>
  <si>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</si>
  <si>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</si>
  <si>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</si>
  <si>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</si>
  <si>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</si>
  <si>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</si>
  <si>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</si>
  <si>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</si>
  <si>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</si>
  <si>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</si>
  <si>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</si>
  <si>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</si>
  <si>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</si>
  <si>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</si>
  <si>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</si>
  <si>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</si>
  <si>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</si>
  <si>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</si>
  <si>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</si>
  <si>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</si>
  <si>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</si>
  <si>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</si>
  <si>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</si>
  <si>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</si>
  <si>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</si>
  <si>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</si>
  <si>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</si>
  <si>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</si>
  <si>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</si>
  <si>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</si>
  <si>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</si>
  <si>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</si>
  <si>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</si>
  <si>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</si>
  <si>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</si>
  <si>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</si>
  <si>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</si>
  <si>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</si>
  <si>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</si>
  <si>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</si>
  <si>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</si>
  <si>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</si>
  <si>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</si>
  <si>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</si>
  <si>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</si>
  <si>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</si>
  <si>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</si>
  <si>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</si>
  <si>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</si>
  <si>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</si>
  <si>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</si>
  <si>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</si>
  <si>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</si>
  <si>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</si>
  <si>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</si>
  <si>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</si>
  <si>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</si>
  <si>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</si>
  <si>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</si>
  <si>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</si>
  <si>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</si>
  <si>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</si>
  <si>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</si>
  <si>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</si>
  <si>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</si>
  <si>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</si>
  <si>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</si>
  <si>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</si>
  <si>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</si>
  <si>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</si>
  <si>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</si>
  <si>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</si>
  <si>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</si>
  <si>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</si>
  <si>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</si>
  <si>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</si>
  <si>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</si>
  <si>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</si>
  <si>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</si>
  <si>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</si>
  <si>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</si>
  <si>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</si>
  <si>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</si>
  <si>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</si>
  <si>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</si>
  <si>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</si>
  <si>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</si>
  <si>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</si>
  <si>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</si>
  <si>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</si>
  <si>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</si>
  <si>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</si>
  <si>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</si>
  <si>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</si>
  <si>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</si>
  <si>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</si>
  <si>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</si>
  <si>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</si>
  <si>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</si>
  <si>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</si>
  <si>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</si>
  <si>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</si>
  <si>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</si>
  <si>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</si>
  <si>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</si>
  <si>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</si>
  <si>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</si>
  <si>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</si>
  <si>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</si>
  <si>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</si>
  <si>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</si>
  <si>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</si>
  <si>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</si>
  <si>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</si>
  <si>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</si>
  <si>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</si>
  <si>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</si>
  <si>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</si>
  <si>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</si>
  <si>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</si>
  <si>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</si>
  <si>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</si>
  <si>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</si>
  <si>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</si>
  <si>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</si>
  <si>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</si>
  <si>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</si>
  <si>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</si>
  <si>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</si>
  <si>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</si>
  <si>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</si>
  <si>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</si>
  <si>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</si>
  <si>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</si>
  <si>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</si>
  <si>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</si>
  <si>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</si>
  <si>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</si>
  <si>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</si>
  <si>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</si>
  <si>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</si>
  <si>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</si>
  <si>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</si>
  <si>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</si>
  <si>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</si>
  <si>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</si>
  <si>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</si>
  <si>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</si>
  <si>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</si>
  <si>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</si>
  <si>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</si>
  <si>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</si>
  <si>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</si>
  <si>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</si>
  <si>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</si>
  <si>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</si>
  <si>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</si>
  <si>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</si>
  <si>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</si>
  <si>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</si>
  <si>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</si>
  <si>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</si>
  <si>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</si>
  <si>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</si>
  <si>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</si>
  <si>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</si>
  <si>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</si>
  <si>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</si>
  <si>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</si>
  <si>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</si>
  <si>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</si>
  <si>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</si>
  <si>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</si>
  <si>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</si>
  <si>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</si>
  <si>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</si>
  <si>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</si>
  <si>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</si>
  <si>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</si>
  <si>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</si>
  <si>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</si>
  <si>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</si>
  <si>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</si>
  <si>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</si>
  <si>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</si>
  <si>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</si>
  <si>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</si>
  <si>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</si>
  <si>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</si>
  <si>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</si>
  <si>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</si>
  <si>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</si>
  <si>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</si>
  <si>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</si>
  <si>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</si>
  <si>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</si>
  <si>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</si>
  <si>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</si>
  <si>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</si>
  <si>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</si>
  <si>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</si>
  <si>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</si>
  <si>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</si>
  <si>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</si>
  <si>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</si>
  <si>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</si>
  <si>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</si>
  <si>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</si>
  <si>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</si>
  <si>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</si>
  <si>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</si>
  <si>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</si>
  <si>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</si>
  <si>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</si>
  <si>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</si>
  <si>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</si>
  <si>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</si>
  <si>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</si>
  <si>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</si>
  <si>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</si>
  <si>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</si>
  <si>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</si>
  <si>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</si>
  <si>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</si>
  <si>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</si>
  <si>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</si>
  <si>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</si>
  <si>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</si>
  <si>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</si>
  <si>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</si>
  <si>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</si>
  <si>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</si>
  <si>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</si>
  <si>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</si>
  <si>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</si>
  <si>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</si>
  <si>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</si>
  <si>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</si>
  <si>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</si>
  <si>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</si>
  <si>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</si>
  <si>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</si>
  <si>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</si>
  <si>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</si>
  <si>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</si>
  <si>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</si>
  <si>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</si>
  <si>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</si>
  <si>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</si>
  <si>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</si>
  <si>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</si>
  <si>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</si>
  <si>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</si>
  <si>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</si>
  <si>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</si>
  <si>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</si>
  <si>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</si>
  <si>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</si>
  <si>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</si>
  <si>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</si>
  <si>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</si>
  <si>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</si>
  <si>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</si>
  <si>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</si>
  <si>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</si>
  <si>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</si>
  <si>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</si>
  <si>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</si>
  <si>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</si>
  <si>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</si>
  <si>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</si>
  <si>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</si>
  <si>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</si>
  <si>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</si>
  <si>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</si>
  <si>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</si>
  <si>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</si>
  <si>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</si>
  <si>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</si>
  <si>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</si>
  <si>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</si>
  <si>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</si>
  <si>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</si>
  <si>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</si>
  <si>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</si>
  <si>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</si>
  <si>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</si>
  <si>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</si>
  <si>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</si>
  <si>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</si>
  <si>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</si>
  <si>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</si>
  <si>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</si>
  <si>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</si>
  <si>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</si>
  <si>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</si>
  <si>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</si>
  <si>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</si>
  <si>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</si>
  <si>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</si>
  <si>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</si>
  <si>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</si>
  <si>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</si>
  <si>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</si>
  <si>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</si>
  <si>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</si>
  <si>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</si>
  <si>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</si>
  <si>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</si>
  <si>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</si>
  <si>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</si>
  <si>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</si>
  <si>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</si>
  <si>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</si>
  <si>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</si>
  <si>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</si>
  <si>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</si>
  <si>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</si>
  <si>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</si>
  <si>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</si>
  <si>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</si>
  <si>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</si>
  <si>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</si>
  <si>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</si>
  <si>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</si>
  <si>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</si>
  <si>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</si>
  <si>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</si>
  <si>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</si>
  <si>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</si>
  <si>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</si>
  <si>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</si>
  <si>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</si>
  <si>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</si>
  <si>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</si>
  <si>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</si>
  <si>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</si>
  <si>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</si>
  <si>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</si>
  <si>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</si>
  <si>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</si>
  <si>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</si>
  <si>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</si>
  <si>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</si>
  <si>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</si>
  <si>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</si>
  <si>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</si>
  <si>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</si>
  <si>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</si>
  <si>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</si>
  <si>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</si>
  <si>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</si>
  <si>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</si>
  <si>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</si>
  <si>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</si>
  <si>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</si>
  <si>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</si>
  <si>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</si>
  <si>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</si>
  <si>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</si>
  <si>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</si>
  <si>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</si>
  <si>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</si>
  <si>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</si>
  <si>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</si>
  <si>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</si>
  <si>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</si>
  <si>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</si>
  <si>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</si>
  <si>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</si>
  <si>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</si>
  <si>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</si>
  <si>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</si>
  <si>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</si>
  <si>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</si>
  <si>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</si>
  <si>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</si>
  <si>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</si>
  <si>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</si>
  <si>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</si>
  <si>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</si>
  <si>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</si>
  <si>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</si>
  <si>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</si>
  <si>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</si>
  <si>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</si>
  <si>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</si>
  <si>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</si>
  <si>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</si>
  <si>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</si>
  <si>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</si>
  <si>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</si>
  <si>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</si>
  <si>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</si>
  <si>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</si>
  <si>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</si>
  <si>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</si>
  <si>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</si>
  <si>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</si>
  <si>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</si>
  <si>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</si>
  <si>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</si>
  <si>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</si>
  <si>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</si>
  <si>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</si>
  <si>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</si>
  <si>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</si>
  <si>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</si>
  <si>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</si>
  <si>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</si>
  <si>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</si>
  <si>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</si>
  <si>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</si>
  <si>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</si>
  <si>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</si>
  <si>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</si>
  <si>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</si>
  <si>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</si>
  <si>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</si>
  <si>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</si>
  <si>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</si>
  <si>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</si>
  <si>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</si>
  <si>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</si>
  <si>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</si>
  <si>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</si>
  <si>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</si>
  <si>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</si>
  <si>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</si>
  <si>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</si>
  <si>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</si>
  <si>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</si>
  <si>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</si>
  <si>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</si>
  <si>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</si>
  <si>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</si>
  <si>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</si>
  <si>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</si>
  <si>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</si>
  <si>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</si>
  <si>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</si>
  <si>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</si>
  <si>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</si>
  <si>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</si>
  <si>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</si>
  <si>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</si>
  <si>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</si>
  <si>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</si>
  <si>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</si>
  <si>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</si>
  <si>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</si>
  <si>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</si>
  <si>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</si>
  <si>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</si>
  <si>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</si>
  <si>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</si>
  <si>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</si>
  <si>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</si>
  <si>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</si>
  <si>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</si>
  <si>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</si>
  <si>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</si>
  <si>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</si>
  <si>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</si>
  <si>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</si>
  <si>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</si>
  <si>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</si>
  <si>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</si>
  <si>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</si>
  <si>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</si>
  <si>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</si>
  <si>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</si>
  <si>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</si>
  <si>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</si>
  <si>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</si>
  <si>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</si>
  <si>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</si>
  <si>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</si>
  <si>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</si>
  <si>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</si>
  <si>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</si>
  <si>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</si>
  <si>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</si>
  <si>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</si>
  <si>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</si>
  <si>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</si>
  <si>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</si>
  <si>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</si>
  <si>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</si>
  <si>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</si>
  <si>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</si>
  <si>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</si>
  <si>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</si>
  <si>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</si>
  <si>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</si>
  <si>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</si>
  <si>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</si>
  <si>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</si>
  <si>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</si>
  <si>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</si>
  <si>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</si>
  <si>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</si>
  <si>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</si>
  <si>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</si>
  <si>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</si>
  <si>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</si>
  <si>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</si>
  <si>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</si>
  <si>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</si>
  <si>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</si>
  <si>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</si>
  <si>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</si>
  <si>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</si>
  <si>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</si>
  <si>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</si>
  <si>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</si>
  <si>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</si>
  <si>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</si>
  <si>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</si>
  <si>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</si>
  <si>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</si>
  <si>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</si>
  <si>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</si>
  <si>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</si>
  <si>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</si>
  <si>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</si>
  <si>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</si>
  <si>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</si>
  <si>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</si>
  <si>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</si>
  <si>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</si>
  <si>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</si>
  <si>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</si>
  <si>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</si>
  <si>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</si>
  <si>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</si>
  <si>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</si>
  <si>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</si>
  <si>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</si>
  <si>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</si>
  <si>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</si>
  <si>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</si>
  <si>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</si>
  <si>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</si>
  <si>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</si>
  <si>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</si>
  <si>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</si>
  <si>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</si>
  <si>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</si>
  <si>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</si>
  <si>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</si>
  <si>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</si>
  <si>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</si>
  <si>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</si>
  <si>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</si>
  <si>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</si>
  <si>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</si>
  <si>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</si>
  <si>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</si>
  <si>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</si>
  <si>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</si>
  <si>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</si>
  <si>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</si>
  <si>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</si>
  <si>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</si>
  <si>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</si>
  <si>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</si>
  <si>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</si>
  <si>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</si>
  <si>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</si>
  <si>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</si>
  <si>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</si>
  <si>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</si>
  <si>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</si>
  <si>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</si>
  <si>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</si>
  <si>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</si>
  <si>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</si>
  <si>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</si>
  <si>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</si>
  <si>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</si>
  <si>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</si>
  <si>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</si>
  <si>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</si>
  <si>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</si>
  <si>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</si>
  <si>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</si>
  <si>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</si>
  <si>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</si>
  <si>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</si>
  <si>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</si>
  <si>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</si>
  <si>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</si>
  <si>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</si>
  <si>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</si>
  <si>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</si>
  <si>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</si>
  <si>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</si>
  <si>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</si>
  <si>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</si>
  <si>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</si>
  <si>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</si>
  <si>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</si>
  <si>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</si>
  <si>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</si>
  <si>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</si>
  <si>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</si>
  <si>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</si>
  <si>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</si>
  <si>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</si>
  <si>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</si>
  <si>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</si>
  <si>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</si>
  <si>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</si>
  <si>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</si>
  <si>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</si>
  <si>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</si>
  <si>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</si>
  <si>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</si>
  <si>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</si>
  <si>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</si>
  <si>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</si>
  <si>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</si>
  <si>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</si>
  <si>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</si>
  <si>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</si>
  <si>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</si>
  <si>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</si>
  <si>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</si>
  <si>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</si>
  <si>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</si>
  <si>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</si>
  <si>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</si>
  <si>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</si>
  <si>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</si>
  <si>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</si>
  <si>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</si>
  <si>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</si>
  <si>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</si>
  <si>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</si>
  <si>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</si>
  <si>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</si>
  <si>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</si>
  <si>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</si>
  <si>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</si>
  <si>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</si>
  <si>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</si>
  <si>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</si>
  <si>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</si>
  <si>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</si>
  <si>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</si>
  <si>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</si>
  <si>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</si>
  <si>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</si>
  <si>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</si>
  <si>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</si>
  <si>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</si>
  <si>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</si>
  <si>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</si>
  <si>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</si>
  <si>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</si>
  <si>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</si>
  <si>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</si>
  <si>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</si>
  <si>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</si>
  <si>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</si>
  <si>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</si>
  <si>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</si>
  <si>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</si>
  <si>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</si>
  <si>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</si>
  <si>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</si>
  <si>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</si>
  <si>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</si>
  <si>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</si>
  <si>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</si>
  <si>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</si>
  <si>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</si>
  <si>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</si>
  <si>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</si>
  <si>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</si>
  <si>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</si>
  <si>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</si>
  <si>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</si>
  <si>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</si>
  <si>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</si>
  <si>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</si>
  <si>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</si>
  <si>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</si>
  <si>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</si>
  <si>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</si>
  <si>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</si>
  <si>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</si>
  <si>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</si>
  <si>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</si>
  <si>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</si>
  <si>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</si>
  <si>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</si>
  <si>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</si>
  <si>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</si>
  <si>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</si>
  <si>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</si>
  <si>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</si>
  <si>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</si>
  <si>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</si>
  <si>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</si>
  <si>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</si>
  <si>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</si>
  <si>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</si>
  <si>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</si>
  <si>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</si>
  <si>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</si>
  <si>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</si>
  <si>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</si>
  <si>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</si>
  <si>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</si>
  <si>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</si>
  <si>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</si>
  <si>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</si>
  <si>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</si>
  <si>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</si>
  <si>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</si>
  <si>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</si>
  <si>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</si>
  <si>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</si>
  <si>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</si>
  <si>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</si>
  <si>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</si>
  <si>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</si>
  <si>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</si>
  <si>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</si>
  <si>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</si>
  <si>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</si>
  <si>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</si>
  <si>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</si>
  <si>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</si>
  <si>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</si>
  <si>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</si>
  <si>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</si>
  <si>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</si>
  <si>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</si>
  <si>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</si>
  <si>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</si>
  <si>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</si>
  <si>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</si>
  <si>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</si>
  <si>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</si>
  <si>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</si>
  <si>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</si>
  <si>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</si>
  <si>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</si>
  <si>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</si>
  <si>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</si>
  <si>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</si>
  <si>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</si>
  <si>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</si>
  <si>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</si>
  <si>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</si>
  <si>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</si>
  <si>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</si>
  <si>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</si>
  <si>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</si>
  <si>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</si>
  <si>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</si>
  <si>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</si>
  <si>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</si>
  <si>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</si>
  <si>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</si>
  <si>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</si>
  <si>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</si>
  <si>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</si>
  <si>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</si>
  <si>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</si>
  <si>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</si>
  <si>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</si>
  <si>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</si>
  <si>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</si>
  <si>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</si>
  <si>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</si>
  <si>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</si>
  <si>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</si>
  <si>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</si>
  <si>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</si>
  <si>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</si>
  <si>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</si>
  <si>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</si>
  <si>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</si>
  <si>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</si>
  <si>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</si>
  <si>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</si>
  <si>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</si>
  <si>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</si>
  <si>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</si>
  <si>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</si>
  <si>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</si>
  <si>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</si>
  <si>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</si>
  <si>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</si>
  <si>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</si>
  <si>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</si>
  <si>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</si>
  <si>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</si>
  <si>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</si>
  <si>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</si>
  <si>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</si>
  <si>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</si>
  <si>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</si>
  <si>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</si>
  <si>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</si>
  <si>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</si>
  <si>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</si>
  <si>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</si>
  <si>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</si>
  <si>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</si>
  <si>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</si>
  <si>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</si>
  <si>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</si>
  <si>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</si>
  <si>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</si>
  <si>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</si>
  <si>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</si>
  <si>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</si>
  <si>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</si>
  <si>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</si>
  <si>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</si>
  <si>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</si>
  <si>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</si>
  <si>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</si>
  <si>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</si>
  <si>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</si>
  <si>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</si>
  <si>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</si>
  <si>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</si>
  <si>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</si>
  <si>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</si>
  <si>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</si>
  <si>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</si>
  <si>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</si>
  <si>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</si>
  <si>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</si>
  <si>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</si>
  <si>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</si>
  <si>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</si>
  <si>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</si>
  <si>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</si>
  <si>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</si>
  <si>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</si>
  <si>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</si>
  <si>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</si>
  <si>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</si>
  <si>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</si>
  <si>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</si>
  <si>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</si>
  <si>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</si>
  <si>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</si>
  <si>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</si>
  <si>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</si>
  <si>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</si>
  <si>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</si>
  <si>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</si>
  <si>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</si>
  <si>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</si>
  <si>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</si>
  <si>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</si>
  <si>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</si>
  <si>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</si>
  <si>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</si>
  <si>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</si>
  <si>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</si>
  <si>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</si>
  <si>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</si>
  <si>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</si>
  <si>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</si>
  <si>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</si>
  <si>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</si>
  <si>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</si>
  <si>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</si>
  <si>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</si>
  <si>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</si>
  <si>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</si>
  <si>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</si>
  <si>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</si>
  <si>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</si>
  <si>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</si>
  <si>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</si>
  <si>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</si>
  <si>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</si>
  <si>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</si>
  <si>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</si>
  <si>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</si>
  <si>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</si>
  <si>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</si>
  <si>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</si>
  <si>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</si>
  <si>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</si>
  <si>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</si>
  <si>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</si>
  <si>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</si>
  <si>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</si>
  <si>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</si>
  <si>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</si>
  <si>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</si>
  <si>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</si>
  <si>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</si>
  <si>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</si>
  <si>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</si>
  <si>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</si>
  <si>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</si>
  <si>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</si>
  <si>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</si>
  <si>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</si>
  <si>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</si>
  <si>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</si>
  <si>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</si>
  <si>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</si>
  <si>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</si>
  <si>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</si>
  <si>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</si>
  <si>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</si>
  <si>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</si>
  <si>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</si>
  <si>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</si>
  <si>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</si>
  <si>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</si>
  <si>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</si>
  <si>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</si>
  <si>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</si>
  <si>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</si>
  <si>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</si>
  <si>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</si>
  <si>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</si>
  <si>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</si>
  <si>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</si>
  <si>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</si>
  <si>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</si>
  <si>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</si>
  <si>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</si>
  <si>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</si>
  <si>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</si>
  <si>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</si>
  <si>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</si>
  <si>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</si>
  <si>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</si>
  <si>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</si>
  <si>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</si>
  <si>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</si>
  <si>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</si>
  <si>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</si>
  <si>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</si>
  <si>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</si>
  <si>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</si>
  <si>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</si>
  <si>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</si>
  <si>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</si>
  <si>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</si>
  <si>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</si>
  <si>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</si>
  <si>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</si>
  <si>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</si>
  <si>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</si>
  <si>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</si>
  <si>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</si>
  <si>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</si>
  <si>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</si>
  <si>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</si>
  <si>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</si>
  <si>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</si>
  <si>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</si>
  <si>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</si>
  <si>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</si>
  <si>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</si>
  <si>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</si>
  <si>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</si>
  <si>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</si>
  <si>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</si>
  <si>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</si>
  <si>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</si>
  <si>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</si>
  <si>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</si>
  <si>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</si>
  <si>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</si>
  <si>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</si>
  <si>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</si>
  <si>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</si>
  <si>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</si>
  <si>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</si>
  <si>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</si>
  <si>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</si>
  <si>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</si>
  <si>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</si>
  <si>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</si>
  <si>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</si>
  <si>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</si>
  <si>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</si>
  <si>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</si>
  <si>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</si>
  <si>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</si>
  <si>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</si>
  <si>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</si>
  <si>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</si>
  <si>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</si>
  <si>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</si>
  <si>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</si>
  <si>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</si>
  <si>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</si>
  <si>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</si>
  <si>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</si>
  <si>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</si>
  <si>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</si>
  <si>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</si>
  <si>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</si>
  <si>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</si>
  <si>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</si>
  <si>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</si>
  <si>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</si>
  <si>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</si>
  <si>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</si>
  <si>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</si>
  <si>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</si>
  <si>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</si>
  <si>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</si>
  <si>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</si>
  <si>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</si>
  <si>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</si>
  <si>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</si>
  <si>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</si>
  <si>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</si>
  <si>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</si>
  <si>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</si>
  <si>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</si>
  <si>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</si>
  <si>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</si>
  <si>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</si>
  <si>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</si>
  <si>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</si>
  <si>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</si>
  <si>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</si>
  <si>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</si>
  <si>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</si>
  <si>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</si>
  <si>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</si>
  <si>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</si>
  <si>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</si>
  <si>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</si>
  <si>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</si>
  <si>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</si>
  <si>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</si>
  <si>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</si>
  <si>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</si>
  <si>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</si>
  <si>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</si>
  <si>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</si>
  <si>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</si>
  <si>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</si>
  <si>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</si>
  <si>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</si>
  <si>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</si>
  <si>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</si>
  <si>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</si>
  <si>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</si>
  <si>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</si>
  <si>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</si>
  <si>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</si>
  <si>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</si>
  <si>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</si>
  <si>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</si>
  <si>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</si>
  <si>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</si>
  <si>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</si>
  <si>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</si>
  <si>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</si>
  <si>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</si>
  <si>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</si>
  <si>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</si>
  <si>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</si>
  <si>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</si>
  <si>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</si>
  <si>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</si>
  <si>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</si>
  <si>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</si>
  <si>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</si>
  <si>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</si>
  <si>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</si>
  <si>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</si>
  <si>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</si>
  <si>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</si>
  <si>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</si>
  <si>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</si>
  <si>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</si>
  <si>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</si>
  <si>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</si>
  <si>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</si>
  <si>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</si>
  <si>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</si>
  <si>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</si>
  <si>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</si>
  <si>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</si>
  <si>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</si>
  <si>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</si>
  <si>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</si>
  <si>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</si>
  <si>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</si>
  <si>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</si>
  <si>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</si>
  <si>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</si>
  <si>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</si>
  <si>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</si>
  <si>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</si>
  <si>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</si>
  <si>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</si>
  <si>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</si>
  <si>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</si>
  <si>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</si>
  <si>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</si>
  <si>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</si>
  <si>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</si>
  <si>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</si>
  <si>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</si>
  <si>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</si>
  <si>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</si>
  <si>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</si>
  <si>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</si>
  <si>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</si>
  <si>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</si>
  <si>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</si>
  <si>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</si>
  <si>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</si>
  <si>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</si>
  <si>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</si>
  <si>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</si>
  <si>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</si>
  <si>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</si>
  <si>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</si>
  <si>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</si>
  <si>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</si>
  <si>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</si>
  <si>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</si>
  <si>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</si>
  <si>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</si>
  <si>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</si>
  <si>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</si>
  <si>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</si>
  <si>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</si>
  <si>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</si>
  <si>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</si>
  <si>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</si>
  <si>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</si>
  <si>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</si>
  <si>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</si>
  <si>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</si>
  <si>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</si>
  <si>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</si>
  <si>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</si>
  <si>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</si>
  <si>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</si>
  <si>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</si>
  <si>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</si>
  <si>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</si>
  <si>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</si>
  <si>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</si>
  <si>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</si>
  <si>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</si>
  <si>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</si>
  <si>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</si>
  <si>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</si>
  <si>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</si>
  <si>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</si>
  <si>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</si>
  <si>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</si>
  <si>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</si>
  <si>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</si>
  <si>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</si>
  <si>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</si>
  <si>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</si>
  <si>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</si>
  <si>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</si>
  <si>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</si>
  <si>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</si>
  <si>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</si>
  <si>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</si>
  <si>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</si>
  <si>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</si>
  <si>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</si>
  <si>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</si>
  <si>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</si>
  <si>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</si>
  <si>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</si>
  <si>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</si>
  <si>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</si>
  <si>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</si>
  <si>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</si>
  <si>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</si>
  <si>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</si>
  <si>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</si>
  <si>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</si>
  <si>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</si>
  <si>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</si>
  <si>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</si>
  <si>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</si>
  <si>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</si>
  <si>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</si>
  <si>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</si>
  <si>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</si>
  <si>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</si>
  <si>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</si>
  <si>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</si>
  <si>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</si>
  <si>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</si>
  <si>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</si>
  <si>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</si>
  <si>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</si>
  <si>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</si>
  <si>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</si>
  <si>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</si>
  <si>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</si>
  <si>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</si>
  <si>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</si>
  <si>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</si>
  <si>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</si>
  <si>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</si>
  <si>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</si>
  <si>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</si>
  <si>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</si>
  <si>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</si>
  <si>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</si>
  <si>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</si>
  <si>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</si>
  <si>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</si>
  <si>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</si>
  <si>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</si>
  <si>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</si>
  <si>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</si>
  <si>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</si>
  <si>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</si>
  <si>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</si>
  <si>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</si>
  <si>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</si>
  <si>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</si>
  <si>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</si>
  <si>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</si>
  <si>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</si>
  <si>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</si>
  <si>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</si>
  <si>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</si>
  <si>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</si>
  <si>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</si>
  <si>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</si>
  <si>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</si>
  <si>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</si>
  <si>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</si>
  <si>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</si>
  <si>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</si>
  <si>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</si>
  <si>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</si>
  <si>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</si>
  <si>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</si>
  <si>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</si>
  <si>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</si>
  <si>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</si>
  <si>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</si>
  <si>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</si>
  <si>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</si>
  <si>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</si>
  <si>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</si>
  <si>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</si>
  <si>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</si>
  <si>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</si>
  <si>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</si>
  <si>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</si>
  <si>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</si>
  <si>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</si>
  <si>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</si>
  <si>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</si>
  <si>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</si>
  <si>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</si>
  <si>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</si>
  <si>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</si>
  <si>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</si>
  <si>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</si>
  <si>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</si>
  <si>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</si>
  <si>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</si>
  <si>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</si>
  <si>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</si>
  <si>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</si>
  <si>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</si>
  <si>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</si>
  <si>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</si>
  <si>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</si>
  <si>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</si>
  <si>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</si>
  <si>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</si>
  <si>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</si>
  <si>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</si>
  <si>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</si>
  <si>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</si>
  <si>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</si>
  <si>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</si>
  <si>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</si>
  <si>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</si>
  <si>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</si>
  <si>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</si>
  <si>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</si>
  <si>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</si>
  <si>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</si>
  <si>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</si>
  <si>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</si>
  <si>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</si>
  <si>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</si>
  <si>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</si>
  <si>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</si>
  <si>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</si>
  <si>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</si>
  <si>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</si>
  <si>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</si>
  <si>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</si>
  <si>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</si>
  <si>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</si>
  <si>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</si>
  <si>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</si>
  <si>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</si>
  <si>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</si>
  <si>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</si>
  <si>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</si>
  <si>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</si>
  <si>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</si>
  <si>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</si>
  <si>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</si>
  <si>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</si>
  <si>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</si>
  <si>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</si>
  <si>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</si>
  <si>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</si>
  <si>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</si>
  <si>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</si>
  <si>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</si>
  <si>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</si>
  <si>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</si>
  <si>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</si>
  <si>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</si>
  <si>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</si>
  <si>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</si>
  <si>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</si>
  <si>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</si>
  <si>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</si>
  <si>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</si>
  <si>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</si>
  <si>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</si>
  <si>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</si>
  <si>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</si>
  <si>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</si>
  <si>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</si>
  <si>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</si>
  <si>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</si>
  <si>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</si>
  <si>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</si>
  <si>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</si>
  <si>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</si>
  <si>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</si>
  <si>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</si>
  <si>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</si>
  <si>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</si>
  <si>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</si>
  <si>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</si>
  <si>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</si>
  <si>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</si>
  <si>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</si>
  <si>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</si>
  <si>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</si>
  <si>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</si>
  <si>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</si>
  <si>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</si>
  <si>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</si>
  <si>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</si>
  <si>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</si>
  <si>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</si>
  <si>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</si>
  <si>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</si>
  <si>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</si>
  <si>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</si>
  <si>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</si>
  <si>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</si>
  <si>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</si>
  <si>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</si>
  <si>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</si>
  <si>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</si>
  <si>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</si>
  <si>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</si>
  <si>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</si>
  <si>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</si>
  <si>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</si>
  <si>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</si>
  <si>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</si>
  <si>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</si>
  <si>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</si>
  <si>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</si>
  <si>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</si>
  <si>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</si>
  <si>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</si>
  <si>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</si>
  <si>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</si>
  <si>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</si>
  <si>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</si>
  <si>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</si>
  <si>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</si>
  <si>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</si>
  <si>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</si>
  <si>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</si>
  <si>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</si>
  <si>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</si>
  <si>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</si>
  <si>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</si>
  <si>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</si>
  <si>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</si>
  <si>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</si>
  <si>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</si>
  <si>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</si>
  <si>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</si>
  <si>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</si>
  <si>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</si>
  <si>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</si>
  <si>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</si>
  <si>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</si>
  <si>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</si>
  <si>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</si>
  <si>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</si>
  <si>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</si>
  <si>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</si>
  <si>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</si>
  <si>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</si>
  <si>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</si>
  <si>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</si>
  <si>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</si>
  <si>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</si>
  <si>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</si>
  <si>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</si>
  <si>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</si>
  <si>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</si>
  <si>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</si>
  <si>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</si>
  <si>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</si>
  <si>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</si>
  <si>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</si>
  <si>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</si>
  <si>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</si>
  <si>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</si>
  <si>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</si>
  <si>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</si>
  <si>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</si>
  <si>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</si>
  <si>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</si>
  <si>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</si>
  <si>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</si>
  <si>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</si>
  <si>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</si>
  <si>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</si>
  <si>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</si>
  <si>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</si>
  <si>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</si>
  <si>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</si>
  <si>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</si>
  <si>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</si>
  <si>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</si>
  <si>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</si>
  <si>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</si>
  <si>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</si>
  <si>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</si>
  <si>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</si>
  <si>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</si>
  <si>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</si>
  <si>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</si>
  <si>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</si>
  <si>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</si>
  <si>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</si>
  <si>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</si>
  <si>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</si>
  <si>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</si>
  <si>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</si>
  <si>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</si>
  <si>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</si>
  <si>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</si>
  <si>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</si>
  <si>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</si>
  <si>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</si>
  <si>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</si>
  <si>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</si>
  <si>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</si>
  <si>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</si>
  <si>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</si>
  <si>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</si>
  <si>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</si>
  <si>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</si>
  <si>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</si>
  <si>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</si>
  <si>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</si>
  <si>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</si>
  <si>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</si>
  <si>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</si>
  <si>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</si>
  <si>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</si>
  <si>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</si>
  <si>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</si>
  <si>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</si>
  <si>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</si>
  <si>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</si>
  <si>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</si>
  <si>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</si>
  <si>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</si>
  <si>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</si>
  <si>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</si>
  <si>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</si>
  <si>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</si>
  <si>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</si>
  <si>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</si>
  <si>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</si>
  <si>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</si>
  <si>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</si>
  <si>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</si>
  <si>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</si>
  <si>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</si>
  <si>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</si>
  <si>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</si>
  <si>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</si>
  <si>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</si>
  <si>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</si>
  <si>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</si>
  <si>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</si>
  <si>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</si>
  <si>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</si>
  <si>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</si>
  <si>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</si>
  <si>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</si>
  <si>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</si>
  <si>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</si>
  <si>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</si>
  <si>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</si>
  <si>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</si>
  <si>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</si>
  <si>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</si>
  <si>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</si>
  <si>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</si>
  <si>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</si>
  <si>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</si>
  <si>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</si>
  <si>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</si>
  <si>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</si>
  <si>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</si>
  <si>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</si>
  <si>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</si>
  <si>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</si>
  <si>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</si>
  <si>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</si>
  <si>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</si>
  <si>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</si>
  <si>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</si>
  <si>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</si>
  <si>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</si>
  <si>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</si>
  <si>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</si>
  <si>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</si>
  <si>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</si>
  <si>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</si>
  <si>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</si>
  <si>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</si>
  <si>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</si>
  <si>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</si>
  <si>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</si>
  <si>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</si>
  <si>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</si>
  <si>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</si>
  <si>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</si>
  <si>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</si>
  <si>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</si>
  <si>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</si>
  <si>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</si>
  <si>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</si>
  <si>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</si>
  <si>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</si>
  <si>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</si>
  <si>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</si>
  <si>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</si>
  <si>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企业</t>
  </si>
  <si>
    <t>与房产证证载一致</t>
  </si>
  <si>
    <t>否</t>
  </si>
  <si>
    <t>复印件</t>
  </si>
  <si>
    <t>郑燚</t>
  </si>
  <si>
    <t>崔锴</t>
  </si>
  <si>
    <t>北京梅网通信科技有限公司</t>
    <phoneticPr fontId="7" type="noConversion"/>
  </si>
  <si>
    <t>海淀区花园东路15号9层2901等</t>
    <phoneticPr fontId="7" type="noConversion"/>
  </si>
  <si>
    <t>办公</t>
  </si>
  <si>
    <t>办公</t>
    <phoneticPr fontId="7" type="noConversion"/>
  </si>
  <si>
    <t>未核对原件</t>
  </si>
  <si>
    <t xml:space="preserve">2020-1-0143-P01DYGJ1	</t>
    <phoneticPr fontId="7" type="noConversion"/>
  </si>
  <si>
    <t>富邦华一银行</t>
    <phoneticPr fontId="7" type="noConversion"/>
  </si>
  <si>
    <r>
      <rPr>
        <sz val="10"/>
        <color rgb="FF000000"/>
        <rFont val="宋体"/>
        <family val="2"/>
        <charset val="134"/>
      </rPr>
      <t>海淀区花园东路</t>
    </r>
    <r>
      <rPr>
        <sz val="10"/>
        <color indexed="8"/>
        <rFont val="Arial"/>
        <family val="2"/>
      </rPr>
      <t>15</t>
    </r>
    <r>
      <rPr>
        <sz val="10"/>
        <color rgb="FF000000"/>
        <rFont val="宋体"/>
        <family val="2"/>
        <charset val="134"/>
      </rPr>
      <t>号</t>
    </r>
    <r>
      <rPr>
        <sz val="10"/>
        <color indexed="8"/>
        <rFont val="Arial"/>
        <family val="2"/>
      </rPr>
      <t>9</t>
    </r>
    <r>
      <rPr>
        <sz val="10"/>
        <color rgb="FF000000"/>
        <rFont val="宋体"/>
        <family val="2"/>
        <charset val="134"/>
      </rPr>
      <t>层</t>
    </r>
    <r>
      <rPr>
        <sz val="10"/>
        <color indexed="8"/>
        <rFont val="Arial"/>
        <family val="2"/>
      </rPr>
      <t>2901</t>
    </r>
    <r>
      <rPr>
        <sz val="10"/>
        <color rgb="FF000000"/>
        <rFont val="宋体"/>
        <family val="2"/>
        <charset val="134"/>
      </rPr>
      <t>至2903、2905至2907共6套办公用房</t>
    </r>
    <phoneticPr fontId="7" type="noConversion"/>
  </si>
  <si>
    <t>单独所有</t>
    <phoneticPr fontId="7" type="noConversion"/>
  </si>
  <si>
    <t>出让/商品房</t>
    <phoneticPr fontId="7" type="noConversion"/>
  </si>
  <si>
    <t>国有建设用地使用权/房屋所有权</t>
    <phoneticPr fontId="7" type="noConversion"/>
  </si>
  <si>
    <t>公建</t>
    <phoneticPr fontId="7" type="noConversion"/>
  </si>
  <si>
    <t>无</t>
  </si>
  <si>
    <t>元</t>
  </si>
  <si>
    <t>楼面单价</t>
  </si>
  <si>
    <t>无租约</t>
  </si>
  <si>
    <t>仅计算典型户型</t>
  </si>
  <si>
    <t>按租金收入计税</t>
  </si>
  <si>
    <t>钢混</t>
  </si>
  <si>
    <t>非生产用房</t>
  </si>
  <si>
    <t>比较法-办公</t>
  </si>
  <si>
    <t>收益法</t>
  </si>
  <si>
    <t>售价</t>
  </si>
  <si>
    <t>办公</t>
    <phoneticPr fontId="26" type="noConversion"/>
  </si>
  <si>
    <t>40-50（含）</t>
  </si>
  <si>
    <t>七通</t>
  </si>
  <si>
    <t>高速路</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</si>
  <si>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</si>
  <si>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</si>
  <si>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</si>
  <si>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</si>
  <si>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</si>
  <si>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</si>
  <si>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高区</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</si>
  <si>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</si>
  <si>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</si>
  <si>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</si>
  <si>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</si>
  <si>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</si>
  <si>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</si>
  <si>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</si>
  <si>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</si>
  <si>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精装修</t>
  </si>
  <si>
    <t>精装修</t>
    <phoneticPr fontId="26" type="noConversion"/>
  </si>
  <si>
    <t>简装修</t>
  </si>
  <si>
    <t>简装修</t>
    <phoneticPr fontId="26" type="noConversion"/>
  </si>
  <si>
    <t>毛坯</t>
    <phoneticPr fontId="26" type="noConversion"/>
  </si>
  <si>
    <t>甲</t>
  </si>
  <si>
    <t>甲</t>
    <phoneticPr fontId="26" type="noConversion"/>
  </si>
  <si>
    <t>乙</t>
    <phoneticPr fontId="26" type="noConversion"/>
  </si>
  <si>
    <t>丙</t>
    <phoneticPr fontId="26" type="noConversion"/>
  </si>
  <si>
    <t>专业</t>
  </si>
  <si>
    <t>专业</t>
    <phoneticPr fontId="26" type="noConversion"/>
  </si>
  <si>
    <t>居委会</t>
    <phoneticPr fontId="26" type="noConversion"/>
  </si>
  <si>
    <t>六通</t>
  </si>
  <si>
    <t>五通</t>
  </si>
  <si>
    <t>四通</t>
  </si>
  <si>
    <t>三通</t>
  </si>
  <si>
    <t>标准层高</t>
  </si>
  <si>
    <t>标准层高</t>
    <phoneticPr fontId="26" type="noConversion"/>
  </si>
  <si>
    <t>正常</t>
  </si>
  <si>
    <t>金澳国际</t>
    <phoneticPr fontId="4" type="noConversion"/>
  </si>
  <si>
    <t>旷怡大厦</t>
    <phoneticPr fontId="4" type="noConversion"/>
  </si>
  <si>
    <t>庚唐</t>
    <phoneticPr fontId="26" type="noConversion"/>
  </si>
  <si>
    <t>高区</t>
    <phoneticPr fontId="20" type="noConversion"/>
  </si>
  <si>
    <t>中区</t>
    <phoneticPr fontId="20" type="noConversion"/>
  </si>
  <si>
    <t>低区</t>
    <phoneticPr fontId="20" type="noConversion"/>
  </si>
  <si>
    <t>典型户型修正</t>
  </si>
  <si>
    <t>情况4</t>
  </si>
  <si>
    <t>转让取得</t>
  </si>
  <si>
    <t>非个人房产</t>
  </si>
  <si>
    <t>买卖合同</t>
  </si>
  <si>
    <t>抵押净值</t>
    <phoneticPr fontId="20" type="noConversion"/>
  </si>
  <si>
    <t>单价</t>
    <phoneticPr fontId="20" type="noConversion"/>
  </si>
  <si>
    <t>总价</t>
    <phoneticPr fontId="20" type="noConversion"/>
  </si>
  <si>
    <t>税费合计</t>
    <phoneticPr fontId="20" type="noConversion"/>
  </si>
  <si>
    <t>——</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</si>
</sst>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rgb="FF000000"/>
      <name val="宋体"/>
      <family val="2"/>
      <charset val="134"/>
    </font>
    <font>
      <sz val="11"/>
      <name val="宋体"/>
      <family val="2"/>
      <charset val="134"/>
    </font>
    <font>
      <sz val="11"/>
      <color theme="9" tint="-0.249977111117893"/>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0" fontId="245" fillId="0" borderId="46"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246" fillId="0" borderId="11"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3" fillId="10" borderId="4" xfId="0" applyNumberFormat="1" applyFont="1" applyFill="1" applyBorder="1" applyAlignment="1" applyProtection="1">
      <alignment horizontal="center" vertical="center" wrapText="1"/>
      <protection locked="0"/>
    </xf>
    <xf numFmtId="0" fontId="243" fillId="10" borderId="11" xfId="0" applyNumberFormat="1" applyFont="1" applyFill="1" applyBorder="1" applyAlignment="1" applyProtection="1">
      <alignment horizontal="center" vertical="center" wrapText="1"/>
      <protection locked="0"/>
    </xf>
    <xf numFmtId="0" fontId="243" fillId="8" borderId="0" xfId="0" applyFont="1" applyFill="1" applyProtection="1">
      <alignment vertical="center"/>
      <protection locked="0"/>
    </xf>
    <xf numFmtId="0" fontId="243" fillId="8" borderId="0" xfId="0" applyFont="1" applyFill="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223"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2" fillId="5" borderId="4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4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7"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47"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2" fillId="18" borderId="18" xfId="0" applyFont="1" applyFill="1" applyBorder="1" applyAlignment="1" applyProtection="1">
      <alignment vertical="center"/>
    </xf>
    <xf numFmtId="0" fontId="243" fillId="8" borderId="0" xfId="0" applyFont="1" applyFill="1" applyAlignment="1" applyProtection="1">
      <alignment horizontal="center" vertical="center"/>
      <protection locked="0"/>
    </xf>
    <xf numFmtId="0" fontId="75"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7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281941</xdr:colOff>
      <xdr:row>13</xdr:row>
      <xdr:rowOff>128843</xdr:rowOff>
    </xdr:to>
    <xdr:pic>
      <xdr:nvPicPr>
        <xdr:cNvPr id="2" name="图片 1">
          <a:extLst>
            <a:ext uri="{FF2B5EF4-FFF2-40B4-BE49-F238E27FC236}">
              <a16:creationId xmlns:a16="http://schemas.microsoft.com/office/drawing/2014/main" xmlns="" id="{60F9E1D6-294B-4A69-BDE0-3DAB372C09B5}"/>
            </a:ext>
          </a:extLst>
        </xdr:cNvPr>
        <xdr:cNvPicPr>
          <a:picLocks noChangeAspect="1"/>
        </xdr:cNvPicPr>
      </xdr:nvPicPr>
      <xdr:blipFill>
        <a:blip xmlns:r="http://schemas.openxmlformats.org/officeDocument/2006/relationships" r:embed="rId1"/>
        <a:stretch>
          <a:fillRect/>
        </a:stretch>
      </xdr:blipFill>
      <xdr:spPr>
        <a:xfrm>
          <a:off x="1" y="0"/>
          <a:ext cx="4549140" cy="2506283"/>
        </a:xfrm>
        <a:prstGeom prst="rect">
          <a:avLst/>
        </a:prstGeom>
      </xdr:spPr>
    </xdr:pic>
    <xdr:clientData/>
  </xdr:twoCellAnchor>
  <xdr:twoCellAnchor editAs="oneCell">
    <xdr:from>
      <xdr:col>0</xdr:col>
      <xdr:colOff>1</xdr:colOff>
      <xdr:row>14</xdr:row>
      <xdr:rowOff>0</xdr:rowOff>
    </xdr:from>
    <xdr:to>
      <xdr:col>7</xdr:col>
      <xdr:colOff>426721</xdr:colOff>
      <xdr:row>27</xdr:row>
      <xdr:rowOff>104121</xdr:rowOff>
    </xdr:to>
    <xdr:pic>
      <xdr:nvPicPr>
        <xdr:cNvPr id="3" name="图片 2">
          <a:extLst>
            <a:ext uri="{FF2B5EF4-FFF2-40B4-BE49-F238E27FC236}">
              <a16:creationId xmlns:a16="http://schemas.microsoft.com/office/drawing/2014/main" xmlns="" id="{B33C4C2B-6098-4398-844C-FD87AFDE5A93}"/>
            </a:ext>
          </a:extLst>
        </xdr:cNvPr>
        <xdr:cNvPicPr>
          <a:picLocks noChangeAspect="1"/>
        </xdr:cNvPicPr>
      </xdr:nvPicPr>
      <xdr:blipFill>
        <a:blip xmlns:r="http://schemas.openxmlformats.org/officeDocument/2006/relationships" r:embed="rId2"/>
        <a:stretch>
          <a:fillRect/>
        </a:stretch>
      </xdr:blipFill>
      <xdr:spPr>
        <a:xfrm>
          <a:off x="1" y="2560320"/>
          <a:ext cx="4693920" cy="2481561"/>
        </a:xfrm>
        <a:prstGeom prst="rect">
          <a:avLst/>
        </a:prstGeom>
      </xdr:spPr>
    </xdr:pic>
    <xdr:clientData/>
  </xdr:twoCellAnchor>
  <xdr:twoCellAnchor editAs="oneCell">
    <xdr:from>
      <xdr:col>7</xdr:col>
      <xdr:colOff>251460</xdr:colOff>
      <xdr:row>0</xdr:row>
      <xdr:rowOff>15241</xdr:rowOff>
    </xdr:from>
    <xdr:to>
      <xdr:col>14</xdr:col>
      <xdr:colOff>472440</xdr:colOff>
      <xdr:row>13</xdr:row>
      <xdr:rowOff>2441</xdr:rowOff>
    </xdr:to>
    <xdr:pic>
      <xdr:nvPicPr>
        <xdr:cNvPr id="4" name="图片 3">
          <a:extLst>
            <a:ext uri="{FF2B5EF4-FFF2-40B4-BE49-F238E27FC236}">
              <a16:creationId xmlns:a16="http://schemas.microsoft.com/office/drawing/2014/main" xmlns="" id="{F7E60177-F9EA-43DF-9986-DDD03391B474}"/>
            </a:ext>
          </a:extLst>
        </xdr:cNvPr>
        <xdr:cNvPicPr>
          <a:picLocks noChangeAspect="1"/>
        </xdr:cNvPicPr>
      </xdr:nvPicPr>
      <xdr:blipFill>
        <a:blip xmlns:r="http://schemas.openxmlformats.org/officeDocument/2006/relationships" r:embed="rId3"/>
        <a:stretch>
          <a:fillRect/>
        </a:stretch>
      </xdr:blipFill>
      <xdr:spPr>
        <a:xfrm>
          <a:off x="4518660" y="15241"/>
          <a:ext cx="4488180" cy="2364640"/>
        </a:xfrm>
        <a:prstGeom prst="rect">
          <a:avLst/>
        </a:prstGeom>
      </xdr:spPr>
    </xdr:pic>
    <xdr:clientData/>
  </xdr:twoCellAnchor>
  <xdr:twoCellAnchor editAs="oneCell">
    <xdr:from>
      <xdr:col>8</xdr:col>
      <xdr:colOff>0</xdr:colOff>
      <xdr:row>13</xdr:row>
      <xdr:rowOff>1</xdr:rowOff>
    </xdr:from>
    <xdr:to>
      <xdr:col>15</xdr:col>
      <xdr:colOff>590711</xdr:colOff>
      <xdr:row>26</xdr:row>
      <xdr:rowOff>121921</xdr:rowOff>
    </xdr:to>
    <xdr:pic>
      <xdr:nvPicPr>
        <xdr:cNvPr id="5" name="图片 4">
          <a:extLst>
            <a:ext uri="{FF2B5EF4-FFF2-40B4-BE49-F238E27FC236}">
              <a16:creationId xmlns:a16="http://schemas.microsoft.com/office/drawing/2014/main" xmlns="" id="{68C75C1C-44CA-4300-9711-252576D440C6}"/>
            </a:ext>
          </a:extLst>
        </xdr:cNvPr>
        <xdr:cNvPicPr>
          <a:picLocks noChangeAspect="1"/>
        </xdr:cNvPicPr>
      </xdr:nvPicPr>
      <xdr:blipFill>
        <a:blip xmlns:r="http://schemas.openxmlformats.org/officeDocument/2006/relationships" r:embed="rId4"/>
        <a:stretch>
          <a:fillRect/>
        </a:stretch>
      </xdr:blipFill>
      <xdr:spPr>
        <a:xfrm>
          <a:off x="4876800" y="2377441"/>
          <a:ext cx="4857911" cy="2499360"/>
        </a:xfrm>
        <a:prstGeom prst="rect">
          <a:avLst/>
        </a:prstGeom>
      </xdr:spPr>
    </xdr:pic>
    <xdr:clientData/>
  </xdr:twoCellAnchor>
  <xdr:twoCellAnchor editAs="oneCell">
    <xdr:from>
      <xdr:col>14</xdr:col>
      <xdr:colOff>373381</xdr:colOff>
      <xdr:row>0</xdr:row>
      <xdr:rowOff>0</xdr:rowOff>
    </xdr:from>
    <xdr:to>
      <xdr:col>23</xdr:col>
      <xdr:colOff>189734</xdr:colOff>
      <xdr:row>15</xdr:row>
      <xdr:rowOff>83820</xdr:rowOff>
    </xdr:to>
    <xdr:pic>
      <xdr:nvPicPr>
        <xdr:cNvPr id="6" name="图片 5">
          <a:extLst>
            <a:ext uri="{FF2B5EF4-FFF2-40B4-BE49-F238E27FC236}">
              <a16:creationId xmlns:a16="http://schemas.microsoft.com/office/drawing/2014/main" xmlns="" id="{3F6205D5-D471-4C4E-A777-1DF2E6766A86}"/>
            </a:ext>
          </a:extLst>
        </xdr:cNvPr>
        <xdr:cNvPicPr>
          <a:picLocks noChangeAspect="1"/>
        </xdr:cNvPicPr>
      </xdr:nvPicPr>
      <xdr:blipFill>
        <a:blip xmlns:r="http://schemas.openxmlformats.org/officeDocument/2006/relationships" r:embed="rId5"/>
        <a:stretch>
          <a:fillRect/>
        </a:stretch>
      </xdr:blipFill>
      <xdr:spPr>
        <a:xfrm>
          <a:off x="8907781" y="0"/>
          <a:ext cx="5302753" cy="2827020"/>
        </a:xfrm>
        <a:prstGeom prst="rect">
          <a:avLst/>
        </a:prstGeom>
      </xdr:spPr>
    </xdr:pic>
    <xdr:clientData/>
  </xdr:twoCellAnchor>
  <xdr:twoCellAnchor editAs="oneCell">
    <xdr:from>
      <xdr:col>15</xdr:col>
      <xdr:colOff>22860</xdr:colOff>
      <xdr:row>15</xdr:row>
      <xdr:rowOff>30480</xdr:rowOff>
    </xdr:from>
    <xdr:to>
      <xdr:col>22</xdr:col>
      <xdr:colOff>313373</xdr:colOff>
      <xdr:row>28</xdr:row>
      <xdr:rowOff>83820</xdr:rowOff>
    </xdr:to>
    <xdr:pic>
      <xdr:nvPicPr>
        <xdr:cNvPr id="7" name="图片 6">
          <a:extLst>
            <a:ext uri="{FF2B5EF4-FFF2-40B4-BE49-F238E27FC236}">
              <a16:creationId xmlns:a16="http://schemas.microsoft.com/office/drawing/2014/main" xmlns="" id="{86CF2DDF-CD74-454C-86A1-AFEF5034DB38}"/>
            </a:ext>
          </a:extLst>
        </xdr:cNvPr>
        <xdr:cNvPicPr>
          <a:picLocks noChangeAspect="1"/>
        </xdr:cNvPicPr>
      </xdr:nvPicPr>
      <xdr:blipFill>
        <a:blip xmlns:r="http://schemas.openxmlformats.org/officeDocument/2006/relationships" r:embed="rId6"/>
        <a:stretch>
          <a:fillRect/>
        </a:stretch>
      </xdr:blipFill>
      <xdr:spPr>
        <a:xfrm>
          <a:off x="9166860" y="2773680"/>
          <a:ext cx="4557713" cy="24307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北京市海淀区花园东路15号9层2901至2903、2905至2907共6套办公用房房地产抵押价值预评估</v>
      </c>
    </row>
    <row r="3" spans="1:2" s="1695" customFormat="1">
      <c r="A3" s="1696" t="s">
        <v>1103</v>
      </c>
      <c r="B3" s="1681" t="str">
        <f>'预评函-封皮'!B12</f>
        <v>北京梅网通信科技有限公司</v>
      </c>
    </row>
    <row r="4" spans="1:2" s="1695" customFormat="1">
      <c r="A4" s="1696" t="s">
        <v>1104</v>
      </c>
      <c r="B4" s="1681" t="str">
        <f ca="1">'预评函-封皮'!B18</f>
        <v>郑燚（注册号:1120070131）、崔锴（注册号:1120100036)</v>
      </c>
    </row>
    <row r="5" spans="1:2" s="1693" customFormat="1" ht="16.2" thickBot="1">
      <c r="A5" s="1697" t="s">
        <v>1105</v>
      </c>
      <c r="B5" s="1682" t="str">
        <f>'预评函-封皮'!B21</f>
        <v>康正预评字2020-1-0143-P01DYGJ1	号</v>
      </c>
    </row>
    <row r="6" spans="1:2" s="1695" customFormat="1" ht="16.2" thickTop="1">
      <c r="A6" s="1696" t="s">
        <v>1106</v>
      </c>
      <c r="B6" s="1680" t="str">
        <f>'预评函-1'!A4</f>
        <v>受贵公司委托，我公司对北京市海淀区花园东路15号9层2901至2903、2905至2907共6套办公用房房地产进行了预评估。</v>
      </c>
    </row>
    <row r="7" spans="1:2">
      <c r="A7" s="1696" t="s">
        <v>1107</v>
      </c>
      <c r="B7" s="1683" t="str">
        <f>'预评函-1'!A6</f>
        <v>估价对象为北京市海淀区花园东路15号9层2901至2903、2905至2907共6套办公用房房地产，为北京梅网通信科技有限公司所有。根据《不动产权证书》[]，估价对象建筑面积为1134.33平方米，（分摊）出让国有建设用地使用权面积为平方米。估价对象用途为办公。</v>
      </c>
    </row>
    <row r="8" spans="1:2">
      <c r="A8" s="1696" t="s">
        <v>1108</v>
      </c>
      <c r="B8" s="1683" t="str">
        <f>'预评函-1'!A8</f>
        <v>为估价委托人在向富邦华一银行办理贷款手续过程中，确定房地产抵押贷款额度提供参考依据而评估房地产抵押价值。</v>
      </c>
    </row>
    <row r="9" spans="1:2">
      <c r="A9" s="1696" t="s">
        <v>1109</v>
      </c>
      <c r="B9" s="1683" t="str">
        <f>'预评函-1'!A10</f>
        <v>2020年4月3日（评估专业人员实地查勘之日）</v>
      </c>
    </row>
    <row r="10" spans="1:2">
      <c r="A10" s="1696" t="s">
        <v>1110</v>
      </c>
      <c r="B10" s="1683" t="str">
        <f>'预评函-1'!A13</f>
        <v>本次估价的“房地产价值”是指在正常市场情况下，在价值时点2020年4月3日，估价对象规划用途为办公，假定未设立法定优先受偿款下的房地产市场价值。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
      </c>
    </row>
    <row r="15" spans="1:2" s="1693" customFormat="1" ht="16.2" thickBot="1">
      <c r="A15" s="1697" t="s">
        <v>1115</v>
      </c>
      <c r="B15" s="1684" t="str">
        <f>'预评函-1'!A18</f>
        <v>本次评估采用的主估价方法为基准地价系数修正法和基准地价系数修正法。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北京市海淀区花园东路15号9层2901至2903、2905至2907共6套办公用房房地产</v>
      </c>
    </row>
    <row r="18" spans="1:2">
      <c r="A18" s="1696" t="s">
        <v>1118</v>
      </c>
      <c r="B18" s="1683">
        <f>'预评函-2（1）'!C6</f>
        <v>1134.33</v>
      </c>
    </row>
    <row r="19" spans="1:2">
      <c r="A19" s="1696" t="s">
        <v>1119</v>
      </c>
      <c r="B19" s="1683">
        <f ca="1">'预评函-2（1）'!D7</f>
        <v>39246684</v>
      </c>
    </row>
    <row r="20" spans="1:2">
      <c r="A20" s="1696" t="s">
        <v>1157</v>
      </c>
      <c r="B20" s="1683" t="str">
        <f>'预评函-2（1）'!C7</f>
        <v>总价（元）</v>
      </c>
    </row>
    <row r="21" spans="1:2">
      <c r="A21" s="1696" t="s">
        <v>1120</v>
      </c>
      <c r="B21" s="1683">
        <f ca="1">'预评函-2（1）'!D9</f>
        <v>34599</v>
      </c>
    </row>
    <row r="22" spans="1:2">
      <c r="A22" s="1696" t="s">
        <v>1121</v>
      </c>
      <c r="B22" s="1683" t="str">
        <f ca="1">'预评函-2（1）'!D8</f>
        <v>叁仟玖佰贰拾肆万陆仟陆佰捌拾肆元整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39246684</v>
      </c>
    </row>
    <row r="30" spans="1:2">
      <c r="A30" s="1696" t="s">
        <v>1127</v>
      </c>
      <c r="B30" s="1683" t="str">
        <f ca="1">'预评函-2（1）'!D16</f>
        <v>叁仟玖佰贰拾肆万陆仟陆佰捌拾肆元整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'预评函-2（2）'!D4</f>
        <v>0</v>
      </c>
    </row>
    <row r="38" spans="1:2">
      <c r="A38" s="1696" t="s">
        <v>1135</v>
      </c>
      <c r="B38" s="1683">
        <f>'预评函-2（2）'!E4</f>
        <v>0</v>
      </c>
    </row>
    <row r="39" spans="1:2">
      <c r="A39" s="1696" t="s">
        <v>1136</v>
      </c>
      <c r="B39" s="1683" t="str">
        <f>'预评函-2（2）'!D5</f>
        <v>零元整</v>
      </c>
    </row>
    <row r="40" spans="1:2">
      <c r="A40" s="1696" t="s">
        <v>1137</v>
      </c>
      <c r="B40" s="1683">
        <f>'预评函-2（2）'!F4</f>
        <v>0</v>
      </c>
    </row>
    <row r="41" spans="1:2">
      <c r="A41" s="1696" t="s">
        <v>1138</v>
      </c>
      <c r="B41" s="1683">
        <f>'预评函-2（2）'!G4</f>
        <v>0</v>
      </c>
    </row>
    <row r="42" spans="1:2" s="1693" customFormat="1" ht="16.2" thickBot="1">
      <c r="A42" s="1697" t="s">
        <v>1139</v>
      </c>
      <c r="B42" s="1685" t="str">
        <f>'预评函-2（2）'!F5</f>
        <v>零元整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根据估价对象《不动产权证书》复印件，截至价值时点，估价对象抵押权未见登记。</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3.房地产抵押价值</v>
      </c>
    </row>
    <row r="57" spans="1:2">
      <c r="A57" s="1699" t="s">
        <v>1161</v>
      </c>
      <c r="B57" s="1683" t="str">
        <f>'预评函-2（1）'!B18</f>
        <v>——</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1251</v>
      </c>
      <c r="B62" s="1683">
        <f ca="1">'预评函-2（1）'!D38</f>
        <v>34599</v>
      </c>
    </row>
    <row r="63" spans="1:2" s="1695" customFormat="1" ht="31.2">
      <c r="A63" s="1699" t="s">
        <v>1252</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6.2" thickBot="1">
      <c r="A67" s="1700" t="s">
        <v>1177</v>
      </c>
      <c r="B67" s="1684" t="str">
        <f>'预评函-2（2）'!A12</f>
        <v/>
      </c>
    </row>
    <row r="68" spans="1:2" ht="16.2" thickTop="1">
      <c r="A68" s="1702" t="s">
        <v>1178</v>
      </c>
      <c r="B68" s="1688" t="str">
        <f>'预评函-3'!A9</f>
        <v>XX</v>
      </c>
    </row>
    <row r="69" spans="1:2">
      <c r="A69" s="1696" t="s">
        <v>1250</v>
      </c>
    </row>
    <row r="70" spans="1:2">
      <c r="A70" s="1696"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5" sqref="E15"/>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7" t="s">
        <v>1537</v>
      </c>
      <c r="B1" s="1988" t="str">
        <f>IF(B6="北京市","北京市",C6)&amp;IF(E12="房屋所有权证",B28,E28)&amp;D5&amp;"预评估"</f>
        <v>北京市海淀区花园东路15号9层2901至2903、2905至2907共6套办公用房房地产抵押价值预评估</v>
      </c>
      <c r="C1" s="1058"/>
      <c r="D1" s="1989"/>
      <c r="E1" s="1058"/>
      <c r="F1" s="1990" t="s">
        <v>1538</v>
      </c>
      <c r="G1" s="1676" t="s">
        <v>2841</v>
      </c>
      <c r="I1" s="1015" t="str">
        <f>IF(B6="北京市","北京市",C6)&amp;IF(E12="房屋所有权证",B28,E28)&amp;"房地产"</f>
        <v>北京市海淀区花园东路15号9层2901至2903、2905至2907共6套办公用房房地产</v>
      </c>
    </row>
    <row r="2" spans="1:10" ht="13.8" thickTop="1">
      <c r="A2" s="1991" t="s">
        <v>1539</v>
      </c>
      <c r="B2" s="1083">
        <v>43924</v>
      </c>
      <c r="C2" s="1992" t="s">
        <v>1540</v>
      </c>
      <c r="D2" s="1083">
        <v>43924</v>
      </c>
      <c r="E2" s="1059"/>
      <c r="F2" s="1059"/>
      <c r="G2" s="1677"/>
      <c r="H2" s="1015"/>
    </row>
    <row r="3" spans="1:10" ht="13.8" thickBot="1">
      <c r="A3" s="1993" t="s">
        <v>1541</v>
      </c>
      <c r="B3" s="1994" t="s">
        <v>2834</v>
      </c>
      <c r="C3" s="1060">
        <f ca="1">SUMIF(注册房地产估价师,B3,估价师及机构信息!B3:B24)</f>
        <v>1120070131</v>
      </c>
      <c r="D3" s="1994" t="s">
        <v>2835</v>
      </c>
      <c r="E3" s="1061">
        <f ca="1">SUMIF(注册房地产估价师,D3,估价师及机构信息!B3:B24)</f>
        <v>1120100036</v>
      </c>
      <c r="F3" s="1062"/>
      <c r="G3" s="1678"/>
      <c r="H3" s="1015"/>
    </row>
    <row r="4" spans="1:10" ht="13.5" customHeight="1" thickTop="1">
      <c r="A4" s="1995" t="s">
        <v>1542</v>
      </c>
      <c r="B4" s="2761" t="s">
        <v>2836</v>
      </c>
      <c r="C4" s="1996" t="s">
        <v>1543</v>
      </c>
      <c r="D4" s="1997" t="s">
        <v>2827</v>
      </c>
      <c r="E4" s="1059"/>
      <c r="F4" s="1059"/>
      <c r="G4" s="1677"/>
    </row>
    <row r="5" spans="1:10" ht="24">
      <c r="A5" s="1998" t="s">
        <v>1544</v>
      </c>
      <c r="B5" s="2762" t="s">
        <v>2842</v>
      </c>
      <c r="C5" s="1999" t="s">
        <v>1545</v>
      </c>
      <c r="D5" s="2000" t="s">
        <v>2828</v>
      </c>
      <c r="E5" s="2001" t="s">
        <v>1546</v>
      </c>
      <c r="F5" s="2002" t="s">
        <v>2828</v>
      </c>
      <c r="G5" s="2003" t="s">
        <v>1248</v>
      </c>
      <c r="I5" s="1015" t="str">
        <f>IF(C16="否","截至估价时点，估价对象抵押权未见登记。","截至价值时点，估价对象已设定抵押。")</f>
        <v>截至估价时点，估价对象抵押权未见登记。</v>
      </c>
    </row>
    <row r="6" spans="1:10">
      <c r="A6" s="2004" t="s">
        <v>1547</v>
      </c>
      <c r="B6" s="2005" t="s">
        <v>2829</v>
      </c>
      <c r="C6" s="2006" t="s">
        <v>2814</v>
      </c>
      <c r="D6" s="2007" t="s">
        <v>1548</v>
      </c>
      <c r="E6" s="1017"/>
      <c r="F6" s="1016"/>
      <c r="G6" s="1069"/>
      <c r="I6" s="1065" t="str">
        <f>IF(COUNTIF(B5,"*上海银行*"),"上海银行","")</f>
        <v/>
      </c>
    </row>
    <row r="7" spans="1:10" ht="27" thickBot="1">
      <c r="A7" s="1993" t="s">
        <v>1549</v>
      </c>
      <c r="B7" s="2008" t="s">
        <v>2830</v>
      </c>
      <c r="C7" s="2009" t="str">
        <f>IF(B7="自然人","姓名","名称")</f>
        <v>名称</v>
      </c>
      <c r="D7" s="2010" t="str">
        <f>B4</f>
        <v>北京梅网通信科技有限公司</v>
      </c>
      <c r="E7" s="1063"/>
      <c r="F7" s="1062"/>
      <c r="G7" s="1678"/>
    </row>
    <row r="8" spans="1:10" ht="13.8" thickTop="1">
      <c r="A8" s="2826" t="s">
        <v>1550</v>
      </c>
      <c r="B8" s="2011" t="s">
        <v>1551</v>
      </c>
      <c r="C8" s="2839" t="s">
        <v>2837</v>
      </c>
      <c r="D8" s="2840"/>
      <c r="E8" s="2012" t="s">
        <v>1552</v>
      </c>
      <c r="F8" s="2013" t="s">
        <v>1553</v>
      </c>
      <c r="G8" s="690" t="str">
        <f>C6</f>
        <v>XX</v>
      </c>
    </row>
    <row r="9" spans="1:10" ht="26.4">
      <c r="A9" s="2826"/>
      <c r="B9" s="344" t="s">
        <v>1554</v>
      </c>
      <c r="C9" s="2762" t="s">
        <v>2839</v>
      </c>
      <c r="D9" s="2014" t="s">
        <v>2831</v>
      </c>
      <c r="E9" s="1005" t="s">
        <v>1555</v>
      </c>
      <c r="F9" s="991" t="s">
        <v>399</v>
      </c>
      <c r="G9" s="1007"/>
    </row>
    <row r="10" spans="1:10" ht="13.8" thickBot="1">
      <c r="A10" s="2826"/>
      <c r="B10" s="344" t="s">
        <v>1556</v>
      </c>
      <c r="C10" s="2841"/>
      <c r="D10" s="2842"/>
      <c r="E10" s="2015" t="s">
        <v>1557</v>
      </c>
      <c r="F10" s="1008" t="s">
        <v>176</v>
      </c>
      <c r="G10" s="1009"/>
    </row>
    <row r="11" spans="1:10" ht="13.8" thickBot="1">
      <c r="A11" s="2826"/>
      <c r="B11" s="2016" t="s">
        <v>1558</v>
      </c>
      <c r="C11" s="2843"/>
      <c r="D11" s="2844"/>
      <c r="E11" s="1017"/>
      <c r="F11" s="1016"/>
      <c r="G11" s="1069"/>
    </row>
    <row r="12" spans="1:10" ht="24.6" thickBot="1">
      <c r="A12" s="2830" t="s">
        <v>1559</v>
      </c>
      <c r="B12" s="2017" t="s">
        <v>1560</v>
      </c>
      <c r="C12" s="1011">
        <v>1134.33</v>
      </c>
      <c r="D12" s="2017" t="s">
        <v>1561</v>
      </c>
      <c r="E12" s="2018" t="s">
        <v>1562</v>
      </c>
      <c r="F12" s="2019" t="s">
        <v>1563</v>
      </c>
      <c r="G12" s="1069"/>
    </row>
    <row r="13" spans="1:10" ht="21" customHeight="1" thickBot="1">
      <c r="A13" s="2831"/>
      <c r="B13" s="2020" t="s">
        <v>1564</v>
      </c>
      <c r="C13" s="1012"/>
      <c r="D13" s="2020" t="s">
        <v>1565</v>
      </c>
      <c r="E13" s="2021" t="s">
        <v>1562</v>
      </c>
      <c r="F13" s="1016"/>
      <c r="G13" s="1069"/>
      <c r="I13" s="2849" t="s">
        <v>1566</v>
      </c>
      <c r="J13" s="202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23"/>
      <c r="B14" s="2024" t="s">
        <v>1567</v>
      </c>
      <c r="C14" s="2763" t="s">
        <v>2839</v>
      </c>
      <c r="D14" s="1016"/>
      <c r="E14" s="1016"/>
      <c r="F14" s="1016"/>
      <c r="G14" s="1069"/>
      <c r="I14" s="2849"/>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1568</v>
      </c>
      <c r="C15" s="1064"/>
      <c r="D15" s="1062"/>
      <c r="E15" s="1062"/>
      <c r="F15" s="1062"/>
      <c r="G15" s="1678"/>
      <c r="I15" s="2849"/>
      <c r="J15" s="2022" t="str">
        <f>IF(E16="否","",IF('结果表（2901）'!D36="同一抵押权人同一抵押物续贷","由于本次评估为同一抵押权人的续贷房地产抵押估价，故未将已抵押担保的债权数额（"&amp;C23&amp;"）作为法定优先受偿款予以扣减。",IF('结果表（2901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1569</v>
      </c>
      <c r="B16" s="2027" t="s">
        <v>1570</v>
      </c>
      <c r="C16" s="2028" t="s">
        <v>2832</v>
      </c>
      <c r="D16" s="2029" t="s">
        <v>1571</v>
      </c>
      <c r="E16" s="2030" t="s">
        <v>2832</v>
      </c>
      <c r="F16" s="2031" t="str">
        <f>IF(AND(C16="是",E16="否"),"是否提供他项权证或相关说明","")</f>
        <v/>
      </c>
      <c r="G16" s="2030" t="s">
        <v>2832</v>
      </c>
      <c r="I16" s="1066"/>
      <c r="J16" s="1015"/>
    </row>
    <row r="17" spans="1:15" ht="13.5" customHeight="1">
      <c r="A17" s="2032" t="s">
        <v>1572</v>
      </c>
      <c r="B17" s="2845" t="s">
        <v>1573</v>
      </c>
      <c r="C17" s="2846"/>
      <c r="D17" s="2847" t="s">
        <v>1574</v>
      </c>
      <c r="E17" s="2848"/>
      <c r="F17" s="2033" t="s">
        <v>1575</v>
      </c>
      <c r="G17" s="2034"/>
      <c r="J17" s="1015"/>
    </row>
    <row r="18" spans="1:15" ht="24">
      <c r="A18" s="2032"/>
      <c r="B18" s="2035" t="s">
        <v>1576</v>
      </c>
      <c r="C18" s="2003" t="s">
        <v>2833</v>
      </c>
      <c r="D18" s="2036" t="s">
        <v>1577</v>
      </c>
      <c r="E18" s="2037" t="s">
        <v>1248</v>
      </c>
      <c r="F18" s="2038"/>
      <c r="G18" s="1862"/>
      <c r="H18" s="1015"/>
      <c r="J18" s="1015"/>
    </row>
    <row r="19" spans="1:15" ht="21.75" customHeight="1" thickBot="1">
      <c r="A19" s="2032"/>
      <c r="B19" s="2039" t="s">
        <v>1248</v>
      </c>
      <c r="C19" s="2021"/>
      <c r="D19" s="2040"/>
      <c r="E19" s="1016"/>
      <c r="F19" s="1016"/>
      <c r="G19" s="1862"/>
    </row>
    <row r="20" spans="1:15">
      <c r="A20" s="2041" t="s">
        <v>1578</v>
      </c>
      <c r="B20" s="2042" t="s">
        <v>1579</v>
      </c>
      <c r="C20" s="2043"/>
      <c r="D20" s="2044" t="s">
        <v>1579</v>
      </c>
      <c r="E20" s="2043"/>
      <c r="F20" s="1016"/>
      <c r="G20" s="1862"/>
    </row>
    <row r="21" spans="1:15">
      <c r="A21" s="2045"/>
      <c r="B21" s="2046" t="s">
        <v>1580</v>
      </c>
      <c r="C21" s="2047"/>
      <c r="D21" s="2032" t="s">
        <v>1580</v>
      </c>
      <c r="E21" s="2048"/>
      <c r="F21" s="1016"/>
      <c r="G21" s="1862"/>
    </row>
    <row r="22" spans="1:15">
      <c r="A22" s="2045"/>
      <c r="B22" s="2049" t="s">
        <v>1581</v>
      </c>
      <c r="C22" s="2050"/>
      <c r="D22" s="2049" t="s">
        <v>1581</v>
      </c>
      <c r="E22" s="2048"/>
      <c r="F22" s="1016"/>
      <c r="G22" s="1862"/>
    </row>
    <row r="23" spans="1:15" s="1860" customFormat="1" ht="21.6" thickBot="1">
      <c r="A23" s="2051"/>
      <c r="B23" s="2052" t="s">
        <v>1582</v>
      </c>
      <c r="C23" s="2053"/>
      <c r="D23" s="2052" t="s">
        <v>1583</v>
      </c>
      <c r="E23" s="2054"/>
      <c r="F23" s="1016"/>
      <c r="G23" s="1862"/>
      <c r="H23" s="2055"/>
      <c r="I23" s="1861"/>
      <c r="K23" s="1859"/>
      <c r="L23" s="1859"/>
      <c r="M23" s="1859"/>
      <c r="O23" s="1861"/>
    </row>
    <row r="24" spans="1:15" ht="13.8" thickBot="1">
      <c r="A24" s="1067" t="s">
        <v>1584</v>
      </c>
      <c r="B24" s="1016"/>
      <c r="C24" s="1016"/>
      <c r="D24" s="1016"/>
      <c r="E24" s="1016"/>
      <c r="F24" s="1016"/>
      <c r="G24" s="1863"/>
      <c r="I24" s="1066"/>
      <c r="K24" s="1066"/>
    </row>
    <row r="25" spans="1:15" s="1076" customFormat="1" ht="13.8" thickBot="1">
      <c r="A25" s="990"/>
      <c r="B25" s="2056" t="s">
        <v>1585</v>
      </c>
      <c r="C25" s="990"/>
      <c r="D25" s="1010"/>
      <c r="E25" s="1013" t="s">
        <v>1586</v>
      </c>
      <c r="F25" s="990"/>
      <c r="G25" s="2057" t="s">
        <v>1587</v>
      </c>
      <c r="L25" s="1077"/>
      <c r="M25" s="1077"/>
      <c r="O25" s="1078"/>
    </row>
    <row r="26" spans="1:15" s="1076" customFormat="1" ht="13.8" thickBot="1">
      <c r="A26" s="990"/>
      <c r="B26" s="1084"/>
      <c r="C26" s="990"/>
      <c r="D26" s="1010"/>
      <c r="E26" s="1084" t="s">
        <v>2840</v>
      </c>
      <c r="F26" s="990"/>
      <c r="G26" s="1679"/>
      <c r="L26" s="1077"/>
      <c r="M26" s="1077"/>
      <c r="O26" s="1078"/>
    </row>
    <row r="27" spans="1:15">
      <c r="A27" s="1002" t="s">
        <v>1588</v>
      </c>
      <c r="B27" s="999"/>
      <c r="C27" s="2833" t="s">
        <v>1588</v>
      </c>
      <c r="D27" s="2834"/>
      <c r="E27" s="999"/>
      <c r="F27" s="1006" t="s">
        <v>1588</v>
      </c>
      <c r="G27" s="999"/>
      <c r="I27" s="1066"/>
      <c r="K27" s="1066"/>
    </row>
    <row r="28" spans="1:15" ht="61.2">
      <c r="A28" s="1003" t="s">
        <v>1589</v>
      </c>
      <c r="B28" s="973"/>
      <c r="C28" s="2835" t="s">
        <v>1590</v>
      </c>
      <c r="D28" s="2836"/>
      <c r="E28" s="2764" t="s">
        <v>2843</v>
      </c>
      <c r="F28" s="1887" t="s">
        <v>1590</v>
      </c>
      <c r="G28" s="973"/>
      <c r="I28" s="1066"/>
      <c r="K28" s="1066"/>
    </row>
    <row r="29" spans="1:15">
      <c r="A29" s="1003" t="s">
        <v>1591</v>
      </c>
      <c r="B29" s="973"/>
      <c r="C29" s="2835" t="s">
        <v>1591</v>
      </c>
      <c r="D29" s="2836"/>
      <c r="E29" s="2765" t="s">
        <v>2844</v>
      </c>
      <c r="F29" s="1887" t="s">
        <v>1592</v>
      </c>
      <c r="G29" s="973"/>
      <c r="I29" s="1066"/>
      <c r="K29" s="1066"/>
    </row>
    <row r="30" spans="1:15">
      <c r="A30" s="1003" t="s">
        <v>1593</v>
      </c>
      <c r="B30" s="973"/>
      <c r="C30" s="2855" t="s">
        <v>1594</v>
      </c>
      <c r="D30" s="2058"/>
      <c r="E30" s="1018" t="str">
        <f>E31&amp;" "&amp;E32&amp;" "&amp;E33&amp;" "&amp;E34</f>
        <v xml:space="preserve">   </v>
      </c>
      <c r="F30" s="1887" t="s">
        <v>1595</v>
      </c>
      <c r="G30" s="973"/>
    </row>
    <row r="31" spans="1:15">
      <c r="A31" s="1003" t="s">
        <v>1596</v>
      </c>
      <c r="B31" s="973"/>
      <c r="C31" s="2856"/>
      <c r="D31" s="1886" t="s">
        <v>1597</v>
      </c>
      <c r="E31" s="973"/>
      <c r="F31" s="1887" t="s">
        <v>1598</v>
      </c>
      <c r="G31" s="973"/>
    </row>
    <row r="32" spans="1:15" ht="24.6" thickBot="1">
      <c r="A32" s="1004" t="s">
        <v>1599</v>
      </c>
      <c r="B32" s="1000"/>
      <c r="C32" s="2856"/>
      <c r="D32" s="1886" t="s">
        <v>1600</v>
      </c>
      <c r="E32" s="973"/>
      <c r="F32" s="1887" t="s">
        <v>1601</v>
      </c>
      <c r="G32" s="973"/>
    </row>
    <row r="33" spans="1:7">
      <c r="A33" s="1002" t="s">
        <v>1602</v>
      </c>
      <c r="B33" s="999"/>
      <c r="C33" s="2856"/>
      <c r="D33" s="1886" t="s">
        <v>1603</v>
      </c>
      <c r="E33" s="973"/>
      <c r="F33" s="1887" t="s">
        <v>1604</v>
      </c>
      <c r="G33" s="973"/>
    </row>
    <row r="34" spans="1:7" ht="13.8" thickBot="1">
      <c r="A34" s="1003" t="s">
        <v>1605</v>
      </c>
      <c r="B34" s="973"/>
      <c r="C34" s="2857"/>
      <c r="D34" s="1886" t="s">
        <v>1606</v>
      </c>
      <c r="E34" s="973"/>
      <c r="F34" s="1888" t="s">
        <v>1607</v>
      </c>
      <c r="G34" s="1001"/>
    </row>
    <row r="35" spans="1:7" ht="36">
      <c r="A35" s="1003" t="s">
        <v>1560</v>
      </c>
      <c r="B35" s="973"/>
      <c r="C35" s="2835" t="s">
        <v>1608</v>
      </c>
      <c r="D35" s="2836"/>
      <c r="E35" s="2765" t="s">
        <v>2846</v>
      </c>
      <c r="F35" s="1014" t="s">
        <v>1609</v>
      </c>
      <c r="G35" s="999"/>
    </row>
    <row r="36" spans="1:7" ht="24.6" thickBot="1">
      <c r="A36" s="1003" t="s">
        <v>1610</v>
      </c>
      <c r="B36" s="973"/>
      <c r="C36" s="2837" t="s">
        <v>1611</v>
      </c>
      <c r="D36" s="2838"/>
      <c r="E36" s="2766" t="s">
        <v>2845</v>
      </c>
      <c r="F36" s="1884" t="s">
        <v>1612</v>
      </c>
      <c r="G36" s="973"/>
    </row>
    <row r="37" spans="1:7" ht="13.8" thickBot="1">
      <c r="A37" s="1003" t="s">
        <v>1613</v>
      </c>
      <c r="B37" s="973"/>
      <c r="C37" s="2827" t="s">
        <v>1614</v>
      </c>
      <c r="D37" s="2059" t="s">
        <v>1598</v>
      </c>
      <c r="E37" s="2767" t="s">
        <v>2847</v>
      </c>
      <c r="F37" s="1888" t="s">
        <v>1615</v>
      </c>
      <c r="G37" s="1000"/>
    </row>
    <row r="38" spans="1:7">
      <c r="A38" s="1003" t="s">
        <v>1616</v>
      </c>
      <c r="B38" s="973"/>
      <c r="C38" s="2828"/>
      <c r="D38" s="1886" t="s">
        <v>1605</v>
      </c>
      <c r="E38" s="2765" t="s">
        <v>2847</v>
      </c>
      <c r="F38" s="1006" t="s">
        <v>1617</v>
      </c>
      <c r="G38" s="999"/>
    </row>
    <row r="39" spans="1:7">
      <c r="A39" s="1003" t="s">
        <v>1618</v>
      </c>
      <c r="B39" s="973"/>
      <c r="C39" s="2828" t="s">
        <v>1619</v>
      </c>
      <c r="D39" s="1886" t="s">
        <v>1560</v>
      </c>
      <c r="E39" s="973"/>
      <c r="F39" s="1887" t="s">
        <v>1620</v>
      </c>
      <c r="G39" s="973"/>
    </row>
    <row r="40" spans="1:7" ht="24.75" customHeight="1" thickBot="1">
      <c r="A40" s="1004" t="s">
        <v>1621</v>
      </c>
      <c r="B40" s="1000"/>
      <c r="C40" s="2829"/>
      <c r="D40" s="1889" t="s">
        <v>1564</v>
      </c>
      <c r="E40" s="1000"/>
      <c r="F40" s="1888" t="s">
        <v>1622</v>
      </c>
      <c r="G40" s="1000"/>
    </row>
    <row r="41" spans="1:7" ht="24">
      <c r="A41" s="1005" t="s">
        <v>1623</v>
      </c>
      <c r="B41" s="1055"/>
      <c r="C41" s="2850" t="s">
        <v>1623</v>
      </c>
      <c r="D41" s="2851"/>
      <c r="E41" s="1055" t="s">
        <v>2848</v>
      </c>
      <c r="F41" s="1006" t="s">
        <v>1624</v>
      </c>
      <c r="G41" s="1055"/>
    </row>
    <row r="42" spans="1:7">
      <c r="A42" s="1052" t="s">
        <v>1625</v>
      </c>
      <c r="B42" s="1056"/>
      <c r="C42" s="2060"/>
      <c r="D42" s="2061"/>
      <c r="E42" s="1056" t="s">
        <v>1248</v>
      </c>
      <c r="F42" s="1054"/>
      <c r="G42" s="1056"/>
    </row>
    <row r="43" spans="1:7">
      <c r="A43" s="94" t="s">
        <v>1579</v>
      </c>
      <c r="B43" s="1053"/>
      <c r="C43" s="2060"/>
      <c r="D43" s="2062" t="s">
        <v>1579</v>
      </c>
      <c r="E43" s="1053"/>
      <c r="F43" s="94" t="s">
        <v>1579</v>
      </c>
      <c r="G43" s="1053"/>
    </row>
    <row r="44" spans="1:7">
      <c r="A44" s="94" t="s">
        <v>1580</v>
      </c>
      <c r="B44" s="1053"/>
      <c r="C44" s="2060"/>
      <c r="D44" s="2046" t="s">
        <v>1580</v>
      </c>
      <c r="E44" s="1053"/>
      <c r="F44" s="94" t="s">
        <v>1580</v>
      </c>
      <c r="G44" s="1053"/>
    </row>
    <row r="45" spans="1:7">
      <c r="A45" s="94" t="s">
        <v>1581</v>
      </c>
      <c r="B45" s="1053"/>
      <c r="C45" s="2060"/>
      <c r="D45" s="2046" t="s">
        <v>1581</v>
      </c>
      <c r="E45" s="1053"/>
      <c r="F45" s="94" t="s">
        <v>1581</v>
      </c>
      <c r="G45" s="1053"/>
    </row>
    <row r="46" spans="1:7">
      <c r="A46" s="94" t="s">
        <v>1582</v>
      </c>
      <c r="B46" s="1053"/>
      <c r="C46" s="2060"/>
      <c r="D46" s="2046" t="s">
        <v>1582</v>
      </c>
      <c r="E46" s="1053"/>
      <c r="F46" s="94" t="s">
        <v>1582</v>
      </c>
      <c r="G46" s="1053"/>
    </row>
    <row r="47" spans="1:7">
      <c r="A47" s="1052"/>
      <c r="B47" s="1053"/>
      <c r="C47" s="2060"/>
      <c r="D47" s="2061"/>
      <c r="E47" s="1053"/>
      <c r="F47" s="1054"/>
      <c r="G47" s="1053"/>
    </row>
    <row r="48" spans="1:7" ht="13.8" thickBot="1">
      <c r="A48" s="1004" t="s">
        <v>1626</v>
      </c>
      <c r="B48" s="1000"/>
      <c r="C48" s="2852" t="s">
        <v>1626</v>
      </c>
      <c r="D48" s="2853"/>
      <c r="E48" s="1050"/>
      <c r="F48" s="1888" t="s">
        <v>1627</v>
      </c>
      <c r="G48" s="1000"/>
    </row>
    <row r="49" spans="1:15">
      <c r="A49" s="1003" t="s">
        <v>1628</v>
      </c>
      <c r="B49" s="1049"/>
      <c r="C49" s="2827" t="s">
        <v>1629</v>
      </c>
      <c r="D49" s="2854"/>
      <c r="E49" s="1051"/>
      <c r="F49" s="1079"/>
      <c r="G49" s="1080"/>
    </row>
    <row r="50" spans="1:15" ht="13.8" thickBot="1">
      <c r="A50" s="1003" t="s">
        <v>1630</v>
      </c>
      <c r="B50" s="1049"/>
      <c r="C50" s="2829" t="s">
        <v>1631</v>
      </c>
      <c r="D50" s="2832"/>
      <c r="E50" s="1000"/>
      <c r="F50" s="1016"/>
      <c r="G50" s="1069"/>
    </row>
    <row r="51" spans="1:15">
      <c r="A51" s="1003" t="s">
        <v>1609</v>
      </c>
      <c r="B51" s="973"/>
      <c r="C51" s="1016"/>
      <c r="D51" s="1016"/>
      <c r="E51" s="1016"/>
      <c r="F51" s="1016"/>
      <c r="G51" s="1069"/>
    </row>
    <row r="52" spans="1:15" ht="24.6" thickBot="1">
      <c r="A52" s="1004" t="s">
        <v>1632</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46.8">
      <c r="A3" s="2858"/>
      <c r="B3" s="2858"/>
      <c r="C3" s="2858"/>
      <c r="D3" s="2859"/>
      <c r="E3" s="285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E6" sqref="E6"/>
      <selection pane="topRight" activeCell="E6" sqref="E6"/>
      <selection pane="bottomLeft" activeCell="E6" sqref="E6"/>
      <selection pane="bottomRight" activeCell="K29" sqref="K29"/>
    </sheetView>
  </sheetViews>
  <sheetFormatPr defaultColWidth="13.77734375" defaultRowHeight="13.2"/>
  <cols>
    <col min="1" max="1" width="20.88671875" style="2118" customWidth="1"/>
    <col min="2" max="2" width="16.77734375" style="2064" customWidth="1"/>
    <col min="3" max="3" width="10.77734375" style="2064" customWidth="1"/>
    <col min="4" max="4" width="31.6640625" style="2119" customWidth="1"/>
    <col min="5" max="5" width="17.6640625" style="2119" customWidth="1"/>
    <col min="6" max="8" width="9.109375" style="1847" customWidth="1"/>
    <col min="9" max="9" width="15" style="1232" bestFit="1" customWidth="1"/>
    <col min="10" max="14" width="8.88671875" style="1232" customWidth="1"/>
    <col min="15" max="16" width="12.33203125" style="84"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1633</v>
      </c>
      <c r="B1" s="1232"/>
      <c r="C1" s="1232"/>
      <c r="D1" s="1847"/>
      <c r="E1" s="1847"/>
      <c r="AE1" s="1232"/>
      <c r="AF1" s="1232"/>
      <c r="AG1" s="1232"/>
      <c r="AH1" s="1232"/>
      <c r="AI1" s="1232"/>
      <c r="AJ1" s="1232"/>
      <c r="AK1" s="1232"/>
      <c r="AL1" s="1232"/>
      <c r="AM1" s="1232"/>
      <c r="AN1" s="1232"/>
      <c r="AO1" s="1232"/>
    </row>
    <row r="2" spans="1:41" s="2068" customFormat="1" ht="15" thickBot="1">
      <c r="A2" s="2065" t="s">
        <v>1634</v>
      </c>
      <c r="B2" s="1204">
        <f>项目基本情况!D2</f>
        <v>43924</v>
      </c>
      <c r="C2" s="1849"/>
      <c r="D2" s="2860" t="s">
        <v>1635</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1636</v>
      </c>
      <c r="B3" s="2069" t="s">
        <v>2849</v>
      </c>
      <c r="C3" s="1849"/>
      <c r="D3" s="2861"/>
      <c r="E3" s="1183" t="s">
        <v>2813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1637</v>
      </c>
      <c r="B4" s="2069" t="s">
        <v>2850</v>
      </c>
      <c r="C4" s="1849"/>
      <c r="D4" s="2861"/>
      <c r="E4" s="1183"/>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 thickBot="1">
      <c r="A5" s="2070" t="s">
        <v>1638</v>
      </c>
      <c r="B5" s="1313">
        <f>项目基本情况!C12</f>
        <v>1134.33</v>
      </c>
      <c r="C5" s="1849"/>
      <c r="D5" s="2071" t="s">
        <v>1639</v>
      </c>
      <c r="E5" s="393">
        <v>150.56</v>
      </c>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 thickBot="1">
      <c r="A6" s="2072" t="s">
        <v>1640</v>
      </c>
      <c r="B6" s="1314">
        <f>项目基本情况!C13</f>
        <v>0</v>
      </c>
      <c r="C6" s="1849"/>
      <c r="D6" s="2071" t="s">
        <v>1641</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3.8">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3.8">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4.4"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1642</v>
      </c>
      <c r="B10" s="2076" t="s">
        <v>2838</v>
      </c>
      <c r="C10" s="1849"/>
      <c r="D10" s="2065" t="s">
        <v>1643</v>
      </c>
      <c r="E10" s="2077" t="s">
        <v>1644</v>
      </c>
      <c r="F10" s="1140" t="s">
        <v>1645</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4">
      <c r="A11" s="2078" t="s">
        <v>1646</v>
      </c>
      <c r="B11" s="985">
        <v>50</v>
      </c>
      <c r="C11" s="1849"/>
      <c r="D11" s="2079" t="s">
        <v>1647</v>
      </c>
      <c r="E11" s="34"/>
      <c r="F11" s="1848" t="s">
        <v>1648</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1649</v>
      </c>
      <c r="B12" s="2083"/>
      <c r="C12" s="1849"/>
      <c r="D12" s="2084" t="s">
        <v>1650</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1651</v>
      </c>
      <c r="B13" s="986">
        <f>IF(B12="",B11-(YEAR($B$2)-B26+B23),ROUNDDOWN(MIN((B12-$B$2)/365,B11),2))</f>
        <v>38</v>
      </c>
      <c r="C13" s="2086"/>
      <c r="D13" s="2087" t="s">
        <v>1652</v>
      </c>
      <c r="E13" s="39"/>
      <c r="F13" s="1843" t="s">
        <v>1653</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4">
      <c r="A14" s="2082" t="s">
        <v>1654</v>
      </c>
      <c r="B14" s="987">
        <f>IF(ISERROR(ROUND(POWER(1+B15,B11-B13)*(POWER(1+B15,B13)-1)/(POWER(1+B15,B11)-1),3)),0,ROUND(POWER(1+B15,B11-B13)*(POWER(1+B15,B13)-1)/(POWER(1+B15,B11)-1),3))</f>
        <v>0.92400000000000004</v>
      </c>
      <c r="C14" s="1849"/>
      <c r="D14" s="2088" t="s">
        <v>1655</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4">
      <c r="A15" s="2082" t="s">
        <v>1656</v>
      </c>
      <c r="B15" s="30">
        <v>0.05</v>
      </c>
      <c r="C15" s="1849"/>
      <c r="D15" s="2084" t="s">
        <v>1657</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1658</v>
      </c>
      <c r="B16" s="30">
        <v>5.5E-2</v>
      </c>
      <c r="C16" s="1849"/>
      <c r="D16" s="2089" t="s">
        <v>1659</v>
      </c>
      <c r="E16" s="709"/>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1660</v>
      </c>
      <c r="B17" s="992">
        <v>8.5000000000000006E-2</v>
      </c>
      <c r="C17" s="1849"/>
      <c r="D17" s="2075" t="s">
        <v>1661</v>
      </c>
      <c r="E17" s="980">
        <v>3500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4.4" thickBot="1">
      <c r="A18" s="1849"/>
      <c r="B18" s="1849"/>
      <c r="C18" s="1849"/>
      <c r="D18" s="2091" t="str">
        <f>IF(B25=0,"建安总额","在建建安")</f>
        <v>建安总额</v>
      </c>
      <c r="E18" s="981">
        <f>ROUND(B5*E17*IF(B25=0,1,E20),0)</f>
        <v>3970155</v>
      </c>
      <c r="F18" s="1315">
        <f>ROUND(E5*E17*IF(B25=0,1,E20),0)</f>
        <v>526960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1662</v>
      </c>
      <c r="B19" s="1849"/>
      <c r="C19" s="1849"/>
      <c r="D19" s="2091" t="str">
        <f>IF(B25=0,"——","续建建安")</f>
        <v>——</v>
      </c>
      <c r="E19" s="981"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1663</v>
      </c>
      <c r="B20" s="31"/>
      <c r="C20" s="1849"/>
      <c r="D20" s="2093" t="str">
        <f>IF(B25=0,"成新率","工程进度")</f>
        <v>成新率</v>
      </c>
      <c r="E20" s="982">
        <f>ROUND(1-(2020-2010)/60,2)</f>
        <v>0.83</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4">
      <c r="A21" s="2094" t="s">
        <v>1664</v>
      </c>
      <c r="B21" s="32">
        <v>2</v>
      </c>
      <c r="C21" s="1849"/>
      <c r="D21" s="2084" t="s">
        <v>1665</v>
      </c>
      <c r="E21" s="710">
        <v>0.04</v>
      </c>
      <c r="F21" s="1846" t="s">
        <v>1666</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4">
      <c r="A22" s="2095" t="s">
        <v>1667</v>
      </c>
      <c r="B22" s="1448">
        <v>2</v>
      </c>
      <c r="C22" s="1849"/>
      <c r="D22" s="2084" t="s">
        <v>1668</v>
      </c>
      <c r="E22" s="40">
        <v>0</v>
      </c>
      <c r="F22" s="1846" t="s">
        <v>1669</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1670</v>
      </c>
      <c r="B23" s="33">
        <f>B20+B21</f>
        <v>2</v>
      </c>
      <c r="C23" s="1849"/>
      <c r="D23" s="2084" t="s">
        <v>1671</v>
      </c>
      <c r="E23" s="37">
        <v>200</v>
      </c>
      <c r="F23" s="1846" t="s">
        <v>1672</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1673</v>
      </c>
      <c r="B24" s="1736">
        <f>B20+B22</f>
        <v>2</v>
      </c>
      <c r="C24" s="1849"/>
      <c r="D24" s="2089" t="s">
        <v>1674</v>
      </c>
      <c r="E24" s="1812">
        <v>1.4999999999999999E-2</v>
      </c>
      <c r="F24" s="1846" t="s">
        <v>1675</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1676</v>
      </c>
      <c r="B25" s="1447">
        <f>B21-B22</f>
        <v>0</v>
      </c>
      <c r="C25" s="1232"/>
      <c r="D25" s="2079" t="s">
        <v>1677</v>
      </c>
      <c r="E25" s="710">
        <v>0.02</v>
      </c>
      <c r="F25" s="1846" t="s">
        <v>1678</v>
      </c>
      <c r="I25" s="1847"/>
      <c r="AE25" s="1232"/>
      <c r="AF25" s="1232"/>
      <c r="AG25" s="1232"/>
      <c r="AH25" s="1232"/>
      <c r="AI25" s="1232"/>
      <c r="AJ25" s="1232"/>
      <c r="AK25" s="1232"/>
      <c r="AL25" s="1232"/>
      <c r="AM25" s="1232"/>
      <c r="AN25" s="1232"/>
      <c r="AO25" s="1232"/>
    </row>
    <row r="26" spans="1:41" ht="15" thickBot="1">
      <c r="A26" s="2098" t="s">
        <v>1679</v>
      </c>
      <c r="B26" s="1089">
        <v>2010</v>
      </c>
      <c r="C26" s="1849"/>
      <c r="D26" s="2084" t="s">
        <v>1680</v>
      </c>
      <c r="E26" s="40">
        <v>0.02</v>
      </c>
      <c r="F26" s="1846" t="s">
        <v>1678</v>
      </c>
      <c r="G26" s="2067"/>
      <c r="H26" s="2067"/>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4" t="s">
        <v>1681</v>
      </c>
      <c r="E27" s="352">
        <f ca="1">存贷款利率!G1</f>
        <v>4.7500000000000001E-2</v>
      </c>
      <c r="F27" s="1846" t="s">
        <v>1682</v>
      </c>
      <c r="G27" s="2067"/>
      <c r="H27" s="2067"/>
      <c r="K27" s="1849"/>
      <c r="N27" s="1849"/>
      <c r="AE27" s="1232"/>
      <c r="AF27" s="1232"/>
      <c r="AG27" s="1232"/>
      <c r="AH27" s="1232"/>
      <c r="AI27" s="1232"/>
      <c r="AJ27" s="1232"/>
      <c r="AK27" s="1232"/>
      <c r="AL27" s="1232"/>
      <c r="AM27" s="1232"/>
      <c r="AN27" s="1232"/>
      <c r="AO27" s="1232"/>
    </row>
    <row r="28" spans="1:41" ht="15" thickBot="1">
      <c r="A28" s="2099" t="s">
        <v>1683</v>
      </c>
      <c r="B28" s="2100" t="s">
        <v>2851</v>
      </c>
      <c r="C28" s="1232"/>
      <c r="D28" s="2101" t="s">
        <v>1684</v>
      </c>
      <c r="E28" s="984">
        <v>0.15</v>
      </c>
      <c r="G28" s="2067"/>
      <c r="H28" s="2067"/>
      <c r="K28" s="1849"/>
      <c r="N28" s="1849"/>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9">
        <v>6.5</v>
      </c>
      <c r="C29" s="1232"/>
      <c r="D29" s="2088" t="s">
        <v>1685</v>
      </c>
      <c r="E29" s="983">
        <f>E30+E31</f>
        <v>5.6000000000000001E-2</v>
      </c>
      <c r="F29" s="1843"/>
      <c r="G29" s="2067"/>
      <c r="H29" s="2067"/>
      <c r="K29" s="1849"/>
      <c r="N29" s="1849"/>
      <c r="AE29" s="1232"/>
      <c r="AF29" s="1232"/>
      <c r="AG29" s="1232"/>
      <c r="AH29" s="1232"/>
      <c r="AI29" s="1232"/>
      <c r="AJ29" s="1232"/>
      <c r="AK29" s="1232"/>
      <c r="AL29" s="1232"/>
      <c r="AM29" s="1232"/>
      <c r="AN29" s="1232"/>
      <c r="AO29" s="1232"/>
    </row>
    <row r="30" spans="1:41" ht="14.4">
      <c r="A30" s="2082" t="s">
        <v>1686</v>
      </c>
      <c r="B30" s="1413">
        <f ca="1">存贷款利率!I1</f>
        <v>1.4999999999999999E-2</v>
      </c>
      <c r="C30" s="1232"/>
      <c r="D30" s="2102" t="s">
        <v>1687</v>
      </c>
      <c r="E30" s="41">
        <v>0.05</v>
      </c>
      <c r="F30" s="1854">
        <f>IF(B2&lt;DATE(2016,5,1),0,E30)</f>
        <v>0.05</v>
      </c>
      <c r="G30" s="2067"/>
      <c r="H30" s="2067"/>
      <c r="K30" s="1849"/>
      <c r="N30" s="1849"/>
      <c r="AE30" s="1232"/>
      <c r="AF30" s="1232"/>
      <c r="AG30" s="1232"/>
      <c r="AH30" s="1232"/>
      <c r="AI30" s="1232"/>
      <c r="AJ30" s="1232"/>
      <c r="AK30" s="1232"/>
      <c r="AL30" s="1232"/>
      <c r="AM30" s="1232"/>
      <c r="AN30" s="1232"/>
      <c r="AO30" s="1232"/>
    </row>
    <row r="31" spans="1:41" ht="14.4">
      <c r="A31" s="2082" t="s">
        <v>1688</v>
      </c>
      <c r="B31" s="30">
        <v>2.5000000000000001E-2</v>
      </c>
      <c r="C31" s="1232"/>
      <c r="D31" s="2102" t="s">
        <v>1689</v>
      </c>
      <c r="E31" s="42">
        <f>E30*(E32+E33+E34)+E35</f>
        <v>6.000000000000001E-3</v>
      </c>
      <c r="F31" s="1843"/>
      <c r="G31" s="2067"/>
      <c r="H31" s="2067"/>
      <c r="K31" s="1849"/>
      <c r="N31" s="1849"/>
      <c r="AE31" s="1232"/>
      <c r="AF31" s="1232"/>
      <c r="AG31" s="1232"/>
      <c r="AH31" s="1232"/>
      <c r="AI31" s="1232"/>
      <c r="AJ31" s="1232"/>
      <c r="AK31" s="1232"/>
      <c r="AL31" s="1232"/>
      <c r="AM31" s="1232"/>
      <c r="AN31" s="1232"/>
      <c r="AO31" s="1232"/>
    </row>
    <row r="32" spans="1:41" ht="14.4">
      <c r="A32" s="2082" t="s">
        <v>1690</v>
      </c>
      <c r="B32" s="30">
        <v>0.1</v>
      </c>
      <c r="C32" s="1232"/>
      <c r="D32" s="2103" t="s">
        <v>1691</v>
      </c>
      <c r="E32" s="43">
        <v>7.0000000000000007E-2</v>
      </c>
      <c r="F32" s="1841" t="s">
        <v>1692</v>
      </c>
      <c r="G32" s="2067"/>
      <c r="H32" s="2067"/>
      <c r="K32" s="1849"/>
      <c r="L32" s="1849"/>
      <c r="M32" s="1849"/>
      <c r="N32" s="1849"/>
      <c r="AE32" s="1232"/>
      <c r="AF32" s="1232"/>
      <c r="AG32" s="1232"/>
      <c r="AH32" s="1232"/>
      <c r="AI32" s="1232"/>
      <c r="AJ32" s="1232"/>
      <c r="AK32" s="1232"/>
      <c r="AL32" s="1232"/>
      <c r="AM32" s="1232"/>
      <c r="AN32" s="1232"/>
      <c r="AO32" s="1232"/>
    </row>
    <row r="33" spans="1:41" ht="14.4">
      <c r="A33" s="2082" t="s">
        <v>1693</v>
      </c>
      <c r="B33" s="1374">
        <f>收益法!J54</f>
        <v>38</v>
      </c>
      <c r="C33" s="1232"/>
      <c r="D33" s="2103" t="s">
        <v>1694</v>
      </c>
      <c r="E33" s="41">
        <v>0.03</v>
      </c>
      <c r="F33" s="1840" t="s">
        <v>1695</v>
      </c>
      <c r="G33" s="2067"/>
      <c r="H33" s="2067"/>
      <c r="K33" s="1849"/>
      <c r="L33" s="1849"/>
      <c r="M33" s="1849"/>
      <c r="N33" s="1849"/>
      <c r="AE33" s="1232"/>
      <c r="AF33" s="1232"/>
      <c r="AG33" s="1232"/>
      <c r="AH33" s="1232"/>
      <c r="AI33" s="1232"/>
      <c r="AJ33" s="1232"/>
      <c r="AK33" s="1232"/>
      <c r="AL33" s="1232"/>
      <c r="AM33" s="1232"/>
      <c r="AN33" s="1232"/>
      <c r="AO33" s="1232"/>
    </row>
    <row r="34" spans="1:41" s="2105" customFormat="1" ht="15" thickBot="1">
      <c r="A34" s="2102" t="str">
        <f>IF(B28="租赁期内按合同租金","剩余租赁期","——")</f>
        <v>——</v>
      </c>
      <c r="B34" s="993"/>
      <c r="C34" s="1232"/>
      <c r="D34" s="2103" t="s">
        <v>1696</v>
      </c>
      <c r="E34" s="41">
        <v>0.02</v>
      </c>
      <c r="F34" s="1840" t="s">
        <v>1697</v>
      </c>
      <c r="G34" s="2104"/>
      <c r="H34" s="2104"/>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5" customFormat="1" ht="15" thickBot="1">
      <c r="A35" s="2106" t="s">
        <v>1698</v>
      </c>
      <c r="B35" s="989"/>
      <c r="C35" s="1232"/>
      <c r="D35" s="2107" t="s">
        <v>1699</v>
      </c>
      <c r="E35" s="44"/>
      <c r="F35" s="1848" t="s">
        <v>1700</v>
      </c>
      <c r="G35" s="2104"/>
      <c r="H35" s="2104"/>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5" customFormat="1" ht="14.4">
      <c r="A36" s="2108" t="str">
        <f>IF(B28="租赁期内按合同租金","租金","——")</f>
        <v>——</v>
      </c>
      <c r="B36" s="994"/>
      <c r="C36" s="1232"/>
      <c r="D36" s="2109" t="s">
        <v>1701</v>
      </c>
      <c r="E36" s="45">
        <v>0.03</v>
      </c>
      <c r="F36" s="1844" t="s">
        <v>1702</v>
      </c>
      <c r="G36" s="2104"/>
      <c r="H36" s="2104"/>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5" customFormat="1" ht="15" thickBot="1">
      <c r="A37" s="2082" t="str">
        <f>IF(B28="租赁期内按合同租金","年租金增长率","——")</f>
        <v>——</v>
      </c>
      <c r="B37" s="30"/>
      <c r="C37" s="1232"/>
      <c r="D37" s="2089" t="s">
        <v>1703</v>
      </c>
      <c r="E37" s="41">
        <v>5.0000000000000001E-4</v>
      </c>
      <c r="F37" s="1844" t="s">
        <v>1704</v>
      </c>
      <c r="G37" s="2067"/>
      <c r="H37" s="2067"/>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5" customFormat="1" ht="14.4">
      <c r="A38" s="2082" t="str">
        <f>IF(B28="租赁期内按合同租金","空置率","——")</f>
        <v>——</v>
      </c>
      <c r="B38" s="30"/>
      <c r="C38" s="1232"/>
      <c r="D38" s="2110" t="s">
        <v>1705</v>
      </c>
      <c r="E38" s="46">
        <v>1.2E-2</v>
      </c>
      <c r="F38" s="1842"/>
      <c r="G38" s="1847"/>
      <c r="H38" s="1847"/>
      <c r="I38" s="2067"/>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5" customFormat="1" ht="15" thickBot="1">
      <c r="A39" s="2082" t="str">
        <f>IF(B28="租赁期内按合同租金","成新率","——")</f>
        <v>——</v>
      </c>
      <c r="B39" s="30"/>
      <c r="C39" s="1232"/>
      <c r="D39" s="2087" t="s">
        <v>1706</v>
      </c>
      <c r="E39" s="47">
        <v>0.12</v>
      </c>
      <c r="F39" s="1842"/>
      <c r="G39" s="2104"/>
      <c r="H39" s="2104"/>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2" t="str">
        <f>IF(B28="租赁期内按合同租金","租赁期外收益期","——")</f>
        <v>——</v>
      </c>
      <c r="B40" s="1188" t="str">
        <f>IF(B28="租赁期内按合同租金",B33-B34,"——")</f>
        <v>——</v>
      </c>
      <c r="C40" s="1232"/>
      <c r="D40" s="2110" t="s">
        <v>1707</v>
      </c>
      <c r="E40" s="48">
        <f>SUMIF(D42:D51,E41,E42:E51)</f>
        <v>3</v>
      </c>
      <c r="F40" s="1842"/>
      <c r="G40" s="2067"/>
      <c r="H40" s="2067"/>
      <c r="I40" s="1849"/>
      <c r="J40" s="1849"/>
      <c r="K40" s="1849"/>
      <c r="L40" s="1849"/>
      <c r="M40" s="1849"/>
      <c r="N40" s="1849"/>
      <c r="AE40" s="1232"/>
      <c r="AF40" s="1232"/>
      <c r="AG40" s="1232"/>
      <c r="AH40" s="1232"/>
      <c r="AI40" s="1232"/>
      <c r="AJ40" s="1232"/>
      <c r="AK40" s="1232"/>
      <c r="AL40" s="1232"/>
      <c r="AM40" s="1232"/>
      <c r="AN40" s="1232"/>
      <c r="AO40" s="1232"/>
    </row>
    <row r="41" spans="1:41" ht="14.4">
      <c r="A41" s="2111" t="s">
        <v>1708</v>
      </c>
      <c r="B41" s="995"/>
      <c r="C41" s="1232"/>
      <c r="D41" s="2084" t="s">
        <v>1709</v>
      </c>
      <c r="E41" s="2112" t="s">
        <v>480</v>
      </c>
      <c r="F41" s="1842" t="s">
        <v>1710</v>
      </c>
      <c r="G41" s="2113" t="s">
        <v>1711</v>
      </c>
      <c r="H41" s="2067"/>
      <c r="I41" s="1849"/>
      <c r="J41" s="1849"/>
      <c r="K41" s="1849"/>
      <c r="L41" s="1849"/>
      <c r="M41" s="1849"/>
      <c r="N41" s="1849"/>
      <c r="AE41" s="1232"/>
      <c r="AF41" s="1232"/>
      <c r="AG41" s="1232"/>
      <c r="AH41" s="1232"/>
      <c r="AI41" s="1232"/>
      <c r="AJ41" s="1232"/>
      <c r="AK41" s="1232"/>
      <c r="AL41" s="1232"/>
      <c r="AM41" s="1232"/>
      <c r="AN41" s="1232"/>
      <c r="AO41" s="1232"/>
    </row>
    <row r="42" spans="1:41" ht="14.4">
      <c r="A42" s="2082" t="s">
        <v>1712</v>
      </c>
      <c r="B42" s="988">
        <v>365</v>
      </c>
      <c r="C42" s="1232"/>
      <c r="D42" s="2114" t="s">
        <v>1713</v>
      </c>
      <c r="E42" s="29"/>
      <c r="F42" s="1842">
        <v>30</v>
      </c>
      <c r="G42" s="2067"/>
      <c r="H42" s="2067"/>
      <c r="I42" s="1849"/>
      <c r="J42" s="1849"/>
      <c r="K42" s="1849"/>
      <c r="L42" s="1849"/>
      <c r="M42" s="1849"/>
      <c r="N42" s="1849"/>
      <c r="AE42" s="1232"/>
      <c r="AF42" s="1232"/>
      <c r="AG42" s="1232"/>
      <c r="AH42" s="1232"/>
      <c r="AI42" s="1232"/>
      <c r="AJ42" s="1232"/>
      <c r="AK42" s="1232"/>
      <c r="AL42" s="1232"/>
      <c r="AM42" s="1232"/>
      <c r="AN42" s="1232"/>
      <c r="AO42" s="1232"/>
    </row>
    <row r="43" spans="1:41" ht="14.4">
      <c r="A43" s="2082" t="s">
        <v>1714</v>
      </c>
      <c r="B43" s="29"/>
      <c r="C43" s="1232"/>
      <c r="D43" s="2114" t="s">
        <v>1715</v>
      </c>
      <c r="E43" s="29"/>
      <c r="F43" s="1842">
        <v>24</v>
      </c>
      <c r="G43" s="2067"/>
      <c r="H43" s="2067"/>
      <c r="I43" s="1849"/>
      <c r="J43" s="1849"/>
      <c r="K43" s="1849"/>
      <c r="L43" s="1849"/>
      <c r="M43" s="1849"/>
      <c r="N43" s="1849"/>
      <c r="AE43" s="1232"/>
      <c r="AF43" s="1232"/>
      <c r="AG43" s="1232"/>
      <c r="AH43" s="1232"/>
      <c r="AI43" s="1232"/>
      <c r="AJ43" s="1232"/>
      <c r="AK43" s="1232"/>
      <c r="AL43" s="1232"/>
      <c r="AM43" s="1232"/>
      <c r="AN43" s="1232"/>
      <c r="AO43" s="1232"/>
    </row>
    <row r="44" spans="1:41" ht="14.4">
      <c r="A44" s="2082" t="s">
        <v>1716</v>
      </c>
      <c r="B44" s="996">
        <v>0.02</v>
      </c>
      <c r="C44" s="1232" t="s">
        <v>965</v>
      </c>
      <c r="D44" s="2114" t="s">
        <v>1717</v>
      </c>
      <c r="E44" s="29"/>
      <c r="F44" s="1842">
        <v>18</v>
      </c>
      <c r="G44" s="1232"/>
      <c r="H44" s="1232"/>
      <c r="I44" s="2067"/>
      <c r="J44" s="1849"/>
      <c r="K44" s="1849"/>
      <c r="L44" s="1849"/>
      <c r="M44" s="1849"/>
      <c r="N44" s="1849"/>
      <c r="AE44" s="1232"/>
      <c r="AF44" s="1232"/>
      <c r="AG44" s="1232"/>
      <c r="AH44" s="1232"/>
      <c r="AI44" s="1232"/>
      <c r="AJ44" s="1232"/>
      <c r="AK44" s="1232"/>
      <c r="AL44" s="1232"/>
      <c r="AM44" s="1232"/>
      <c r="AN44" s="1232"/>
      <c r="AO44" s="1232"/>
    </row>
    <row r="45" spans="1:41" ht="14.4">
      <c r="A45" s="2082" t="s">
        <v>1718</v>
      </c>
      <c r="B45" s="997">
        <v>2E-3</v>
      </c>
      <c r="C45" s="1232" t="s">
        <v>966</v>
      </c>
      <c r="D45" s="2114" t="s">
        <v>1719</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1" t="s">
        <v>1720</v>
      </c>
      <c r="B46" s="998">
        <v>0.02</v>
      </c>
      <c r="C46" s="1232" t="s">
        <v>967</v>
      </c>
      <c r="D46" s="2114" t="s">
        <v>1467</v>
      </c>
      <c r="E46" s="29">
        <v>3</v>
      </c>
      <c r="F46" s="1842">
        <v>3</v>
      </c>
      <c r="G46" s="1232"/>
      <c r="H46" s="1232"/>
      <c r="M46" s="1849"/>
      <c r="N46" s="1849"/>
      <c r="AE46" s="1232"/>
      <c r="AF46" s="1232"/>
      <c r="AG46" s="1232"/>
      <c r="AH46" s="1232"/>
      <c r="AI46" s="1232"/>
      <c r="AJ46" s="1232"/>
      <c r="AK46" s="1232"/>
      <c r="AL46" s="1232"/>
      <c r="AM46" s="1232"/>
      <c r="AN46" s="1232"/>
      <c r="AO46" s="1232"/>
    </row>
    <row r="47" spans="1:41" ht="14.4">
      <c r="A47" s="1232"/>
      <c r="B47" s="1232"/>
      <c r="C47" s="1232"/>
      <c r="D47" s="2114" t="s">
        <v>1721</v>
      </c>
      <c r="E47" s="29"/>
      <c r="F47" s="1842">
        <v>1.5</v>
      </c>
      <c r="G47" s="1232"/>
      <c r="H47" s="1232"/>
      <c r="M47" s="1849"/>
      <c r="N47" s="1849"/>
      <c r="AE47" s="1232"/>
      <c r="AF47" s="1232"/>
      <c r="AG47" s="1232"/>
      <c r="AH47" s="1232"/>
      <c r="AI47" s="1232"/>
      <c r="AJ47" s="1232"/>
      <c r="AK47" s="1232"/>
      <c r="AL47" s="1232"/>
      <c r="AM47" s="1232"/>
      <c r="AN47" s="1232"/>
      <c r="AO47" s="1232"/>
    </row>
    <row r="48" spans="1:41" ht="14.4">
      <c r="A48" s="1232"/>
      <c r="B48" s="1232"/>
      <c r="C48" s="1232"/>
      <c r="D48" s="2114" t="s">
        <v>1722</v>
      </c>
      <c r="E48" s="29"/>
      <c r="F48" s="1849"/>
      <c r="G48" s="1232"/>
      <c r="H48" s="1232"/>
      <c r="M48" s="1849"/>
      <c r="N48" s="1849"/>
      <c r="AE48" s="1232"/>
      <c r="AF48" s="1232"/>
      <c r="AG48" s="1232"/>
      <c r="AH48" s="1232"/>
      <c r="AI48" s="1232"/>
      <c r="AJ48" s="1232"/>
      <c r="AK48" s="1232"/>
      <c r="AL48" s="1232"/>
      <c r="AM48" s="1232"/>
      <c r="AN48" s="1232"/>
      <c r="AO48" s="1232"/>
    </row>
    <row r="49" spans="1:41" ht="14.4">
      <c r="A49" s="1232"/>
      <c r="B49" s="1232"/>
      <c r="C49" s="1232"/>
      <c r="D49" s="2114" t="s">
        <v>1723</v>
      </c>
      <c r="E49" s="29"/>
      <c r="F49" s="1849"/>
      <c r="G49" s="1232"/>
      <c r="H49" s="1232"/>
      <c r="M49" s="1849"/>
      <c r="N49" s="1849"/>
      <c r="AE49" s="1232"/>
      <c r="AF49" s="1232"/>
      <c r="AG49" s="1232"/>
      <c r="AH49" s="1232"/>
      <c r="AI49" s="1232"/>
      <c r="AJ49" s="1232"/>
      <c r="AK49" s="1232"/>
      <c r="AL49" s="1232"/>
      <c r="AM49" s="1232"/>
      <c r="AN49" s="1232"/>
      <c r="AO49" s="1232"/>
    </row>
    <row r="50" spans="1:41" ht="14.4">
      <c r="A50" s="1232"/>
      <c r="B50" s="1232"/>
      <c r="C50" s="1232"/>
      <c r="D50" s="2114" t="s">
        <v>1724</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5" t="s">
        <v>1725</v>
      </c>
      <c r="E51" s="49"/>
      <c r="F51" s="1849"/>
      <c r="M51" s="1849"/>
      <c r="N51" s="1849"/>
      <c r="O51" s="84"/>
      <c r="P51" s="84"/>
    </row>
    <row r="52" spans="1:41" s="1232" customFormat="1" ht="13.8">
      <c r="D52" s="2067"/>
      <c r="E52" s="2067"/>
      <c r="F52" s="2067"/>
      <c r="G52" s="2067"/>
      <c r="H52" s="2067"/>
      <c r="I52" s="1849"/>
      <c r="J52" s="1849"/>
      <c r="K52" s="1849"/>
      <c r="L52" s="1849"/>
      <c r="M52" s="1849"/>
      <c r="N52" s="1849"/>
      <c r="O52" s="84"/>
      <c r="P52" s="84"/>
    </row>
    <row r="53" spans="1:41" s="1232" customFormat="1" ht="13.8">
      <c r="D53" s="2067"/>
      <c r="E53" s="2067"/>
      <c r="F53" s="2067"/>
      <c r="G53" s="2067"/>
      <c r="H53" s="2067"/>
      <c r="I53" s="1849"/>
      <c r="J53" s="1849"/>
      <c r="K53" s="1849"/>
      <c r="L53" s="1849"/>
      <c r="M53" s="1849"/>
      <c r="N53" s="1849"/>
      <c r="O53" s="84"/>
      <c r="P53" s="84"/>
    </row>
    <row r="54" spans="1:41" s="1232" customFormat="1" ht="13.8">
      <c r="D54" s="2067"/>
      <c r="E54" s="2067"/>
      <c r="F54" s="2067"/>
      <c r="G54" s="2067"/>
      <c r="H54" s="2067"/>
      <c r="I54" s="1849"/>
      <c r="J54" s="1849"/>
      <c r="K54" s="1849"/>
      <c r="L54" s="1849"/>
      <c r="M54" s="1849"/>
      <c r="N54" s="1849"/>
      <c r="O54" s="84"/>
      <c r="P54" s="84"/>
    </row>
    <row r="55" spans="1:41" s="1232" customFormat="1" ht="13.8">
      <c r="D55" s="2067"/>
      <c r="E55" s="2067"/>
      <c r="F55" s="2067"/>
      <c r="G55" s="2067"/>
      <c r="H55" s="2067"/>
      <c r="I55" s="1849"/>
      <c r="J55" s="1849"/>
      <c r="K55" s="1849"/>
      <c r="L55" s="1849"/>
      <c r="M55" s="1849"/>
      <c r="N55" s="1849"/>
      <c r="O55" s="84"/>
      <c r="P55" s="84"/>
    </row>
    <row r="56" spans="1:41" s="1232" customFormat="1" ht="13.8">
      <c r="D56" s="2067"/>
      <c r="E56" s="2067"/>
      <c r="F56" s="2067"/>
      <c r="G56" s="2067"/>
      <c r="H56" s="2067"/>
      <c r="I56" s="1849"/>
      <c r="J56" s="1849"/>
      <c r="K56" s="1849"/>
      <c r="L56" s="1849"/>
      <c r="M56" s="1849"/>
      <c r="N56" s="1849"/>
      <c r="O56" s="84"/>
      <c r="P56" s="84"/>
    </row>
    <row r="57" spans="1:41" s="1232" customFormat="1" ht="13.8">
      <c r="D57" s="2067"/>
      <c r="E57" s="2067"/>
      <c r="F57" s="2067"/>
      <c r="G57" s="2067"/>
      <c r="H57" s="2067"/>
      <c r="I57" s="1849"/>
      <c r="J57" s="1849"/>
      <c r="K57" s="1849"/>
      <c r="L57" s="1849"/>
      <c r="M57" s="1849"/>
      <c r="N57" s="1849"/>
      <c r="O57" s="84"/>
      <c r="P57" s="84"/>
    </row>
    <row r="58" spans="1:41" s="1232" customFormat="1" ht="13.8">
      <c r="D58" s="2067"/>
      <c r="E58" s="2067"/>
      <c r="F58" s="2067"/>
      <c r="G58" s="2067"/>
      <c r="H58" s="2067"/>
      <c r="I58" s="1849"/>
      <c r="J58" s="1849"/>
      <c r="K58" s="1849"/>
      <c r="L58" s="1849"/>
      <c r="M58" s="1849"/>
      <c r="N58" s="1849"/>
      <c r="O58" s="84"/>
      <c r="P58" s="84"/>
    </row>
    <row r="59" spans="1:41" s="1232" customFormat="1" ht="13.8">
      <c r="D59" s="2067"/>
      <c r="E59" s="2067"/>
      <c r="F59" s="2067"/>
      <c r="G59" s="2067"/>
      <c r="H59" s="2067"/>
      <c r="I59" s="1849"/>
      <c r="J59" s="1849"/>
      <c r="K59" s="1849"/>
      <c r="L59" s="1849"/>
      <c r="M59" s="2116"/>
      <c r="N59" s="1849"/>
      <c r="O59" s="84"/>
      <c r="P59" s="84"/>
    </row>
    <row r="60" spans="1:41" s="1232" customFormat="1" ht="13.8">
      <c r="D60" s="2067"/>
      <c r="E60" s="2067"/>
      <c r="F60" s="2067"/>
      <c r="G60" s="2067"/>
      <c r="H60" s="2067"/>
      <c r="I60" s="1849"/>
      <c r="J60" s="1849"/>
      <c r="K60" s="1849"/>
      <c r="L60" s="1849"/>
      <c r="M60" s="1849"/>
      <c r="N60" s="1849"/>
      <c r="O60" s="84"/>
      <c r="P60" s="84"/>
    </row>
    <row r="61" spans="1:41" s="1232" customFormat="1" ht="13.8">
      <c r="D61" s="2067"/>
      <c r="E61" s="2067"/>
      <c r="F61" s="2067"/>
      <c r="G61" s="2067"/>
      <c r="H61" s="2067"/>
      <c r="I61" s="1849"/>
      <c r="J61" s="1849"/>
      <c r="K61" s="1849"/>
      <c r="L61" s="1849"/>
      <c r="M61" s="1849"/>
      <c r="N61" s="1849"/>
      <c r="O61" s="84"/>
      <c r="P61" s="84"/>
    </row>
    <row r="62" spans="1:41" s="1232" customFormat="1" ht="13.8">
      <c r="D62" s="2067"/>
      <c r="E62" s="2067"/>
      <c r="F62" s="2067"/>
      <c r="G62" s="2067"/>
      <c r="H62" s="2067"/>
      <c r="I62" s="1849"/>
      <c r="J62" s="1849"/>
      <c r="K62" s="1849"/>
      <c r="L62" s="1849"/>
      <c r="M62" s="1849"/>
      <c r="N62" s="1849"/>
      <c r="O62" s="84"/>
      <c r="P62" s="84"/>
    </row>
    <row r="63" spans="1:41" s="1232" customFormat="1" ht="13.8">
      <c r="D63" s="2067"/>
      <c r="E63" s="2067"/>
      <c r="F63" s="2067"/>
      <c r="G63" s="2067"/>
      <c r="H63" s="2067"/>
      <c r="I63" s="1849"/>
      <c r="J63" s="1849"/>
      <c r="K63" s="1849"/>
      <c r="L63" s="1849"/>
      <c r="M63" s="1849"/>
      <c r="N63" s="1849"/>
      <c r="O63" s="84"/>
      <c r="P63" s="84"/>
    </row>
    <row r="64" spans="1:41" s="1232" customFormat="1" ht="13.8">
      <c r="D64" s="2067"/>
      <c r="E64" s="2067"/>
      <c r="F64" s="2067"/>
      <c r="G64" s="2067"/>
      <c r="H64" s="2067"/>
      <c r="I64" s="1849"/>
      <c r="J64" s="1849"/>
      <c r="K64" s="1849"/>
      <c r="L64" s="1849"/>
      <c r="M64" s="1849"/>
      <c r="N64" s="1849"/>
      <c r="O64" s="84"/>
      <c r="P64" s="84"/>
    </row>
    <row r="65" spans="1:16" s="1232" customFormat="1" ht="13.8">
      <c r="D65" s="2067"/>
      <c r="E65" s="2067"/>
      <c r="F65" s="2067"/>
      <c r="G65" s="2067"/>
      <c r="H65" s="2067"/>
      <c r="I65" s="1849"/>
      <c r="J65" s="1849"/>
      <c r="K65" s="1849"/>
      <c r="L65" s="1849"/>
      <c r="M65" s="1849"/>
      <c r="N65" s="1849"/>
      <c r="O65" s="84"/>
      <c r="P65" s="84"/>
    </row>
    <row r="66" spans="1:16" s="1232" customFormat="1" ht="13.8">
      <c r="A66" s="2117"/>
      <c r="D66" s="2067"/>
      <c r="E66" s="2067"/>
      <c r="F66" s="2067"/>
      <c r="G66" s="2067"/>
      <c r="H66" s="2067"/>
      <c r="I66" s="1849"/>
      <c r="J66" s="1849"/>
      <c r="K66" s="1849"/>
      <c r="L66" s="1849"/>
      <c r="M66" s="1849"/>
      <c r="N66" s="1849"/>
      <c r="O66" s="84"/>
      <c r="P66" s="84"/>
    </row>
    <row r="67" spans="1:16" s="1232" customFormat="1" ht="13.8">
      <c r="A67" s="2117"/>
      <c r="D67" s="2067"/>
      <c r="E67" s="2067"/>
      <c r="F67" s="2067"/>
      <c r="G67" s="2067"/>
      <c r="H67" s="2067"/>
      <c r="I67" s="1849"/>
      <c r="J67" s="1849"/>
      <c r="K67" s="1849"/>
      <c r="L67" s="1849"/>
      <c r="M67" s="1849"/>
      <c r="N67" s="1849"/>
      <c r="O67" s="84"/>
      <c r="P67" s="84"/>
    </row>
    <row r="68" spans="1:16" s="1232" customFormat="1" ht="13.8">
      <c r="A68" s="2117"/>
      <c r="D68" s="2067"/>
      <c r="E68" s="2067"/>
      <c r="F68" s="2067"/>
      <c r="G68" s="1847"/>
      <c r="H68" s="1847"/>
      <c r="O68" s="84"/>
      <c r="P68" s="84"/>
    </row>
    <row r="69" spans="1:16" s="1232" customFormat="1">
      <c r="A69" s="2117"/>
      <c r="D69" s="1847"/>
      <c r="E69" s="1847"/>
      <c r="F69" s="1847"/>
      <c r="G69" s="1847"/>
      <c r="H69" s="1847"/>
      <c r="O69" s="84"/>
      <c r="P69" s="84"/>
    </row>
    <row r="70" spans="1:16" s="1232" customFormat="1">
      <c r="A70" s="2117"/>
      <c r="D70" s="1847"/>
      <c r="E70" s="1847"/>
      <c r="F70" s="1847"/>
      <c r="G70" s="1847"/>
      <c r="H70" s="1847"/>
      <c r="O70" s="84"/>
      <c r="P70" s="84"/>
    </row>
    <row r="71" spans="1:16" s="1232" customFormat="1">
      <c r="A71" s="2117"/>
      <c r="D71" s="1847"/>
      <c r="E71" s="1847"/>
      <c r="F71" s="1847"/>
      <c r="G71" s="1847"/>
      <c r="H71" s="1847"/>
      <c r="O71" s="84"/>
      <c r="P71" s="84"/>
    </row>
    <row r="72" spans="1:16" s="1232" customFormat="1">
      <c r="A72" s="2117"/>
      <c r="D72" s="1847"/>
      <c r="E72" s="1847"/>
      <c r="F72" s="1847"/>
      <c r="G72" s="1847"/>
      <c r="H72" s="1847"/>
      <c r="O72" s="84"/>
      <c r="P72" s="84"/>
    </row>
    <row r="73" spans="1:16" s="1232" customFormat="1">
      <c r="A73" s="2117"/>
      <c r="D73" s="1847"/>
      <c r="E73" s="1847"/>
      <c r="F73" s="1847"/>
      <c r="G73" s="1847"/>
      <c r="H73" s="1847"/>
      <c r="O73" s="84"/>
      <c r="P73" s="84"/>
    </row>
    <row r="74" spans="1:16" s="1232" customFormat="1">
      <c r="A74" s="2117"/>
      <c r="D74" s="1847"/>
      <c r="E74" s="1847"/>
      <c r="F74" s="1847"/>
      <c r="G74" s="1847"/>
      <c r="H74" s="1847"/>
      <c r="O74" s="84"/>
      <c r="P74" s="84"/>
    </row>
    <row r="75" spans="1:16" s="1232" customFormat="1">
      <c r="A75" s="2117"/>
      <c r="D75" s="1847"/>
      <c r="E75" s="1847"/>
      <c r="F75" s="1847"/>
      <c r="G75" s="1847"/>
      <c r="H75" s="1847"/>
      <c r="O75" s="84"/>
      <c r="P75" s="84"/>
    </row>
    <row r="76" spans="1:16" s="1232" customFormat="1">
      <c r="A76" s="2117"/>
      <c r="D76" s="1847"/>
      <c r="E76" s="1847"/>
      <c r="F76" s="1847"/>
      <c r="G76" s="1847"/>
      <c r="H76" s="1847"/>
      <c r="O76" s="84"/>
      <c r="P76" s="84"/>
    </row>
    <row r="77" spans="1:16" s="1232" customFormat="1">
      <c r="A77" s="2117"/>
      <c r="D77" s="1847"/>
      <c r="E77" s="1847"/>
      <c r="F77" s="1847"/>
      <c r="G77" s="1847"/>
      <c r="H77" s="1847"/>
      <c r="O77" s="84"/>
      <c r="P77" s="84"/>
    </row>
    <row r="78" spans="1:16" s="1232" customFormat="1">
      <c r="A78" s="2117"/>
      <c r="D78" s="1847"/>
      <c r="E78" s="1847"/>
      <c r="F78" s="1847"/>
      <c r="G78" s="1847"/>
      <c r="H78" s="1847"/>
      <c r="O78" s="84"/>
      <c r="P78" s="84"/>
    </row>
    <row r="79" spans="1:16" s="1232" customFormat="1">
      <c r="A79" s="2117"/>
      <c r="D79" s="1847"/>
      <c r="E79" s="1847"/>
      <c r="F79" s="1847"/>
      <c r="G79" s="1847"/>
      <c r="H79" s="1847"/>
      <c r="O79" s="84"/>
      <c r="P79" s="84"/>
    </row>
    <row r="80" spans="1:16" s="1232" customFormat="1">
      <c r="A80" s="2117"/>
      <c r="D80" s="1847"/>
      <c r="E80" s="1847"/>
      <c r="F80" s="1847"/>
      <c r="G80" s="1847"/>
      <c r="H80" s="1847"/>
      <c r="O80" s="84"/>
      <c r="P80" s="84"/>
    </row>
    <row r="81" spans="1:16" s="1232" customFormat="1">
      <c r="A81" s="2117"/>
      <c r="D81" s="1847"/>
      <c r="E81" s="1847"/>
      <c r="F81" s="1847"/>
      <c r="G81" s="1847"/>
      <c r="H81" s="1847"/>
      <c r="O81" s="84"/>
      <c r="P81" s="84"/>
    </row>
    <row r="82" spans="1:16" s="1232" customFormat="1">
      <c r="A82" s="2117"/>
      <c r="D82" s="1847"/>
      <c r="E82" s="1847"/>
      <c r="F82" s="1847"/>
      <c r="G82" s="1847"/>
      <c r="H82" s="1847"/>
      <c r="O82" s="84"/>
      <c r="P82" s="84"/>
    </row>
    <row r="83" spans="1:16" s="1232" customFormat="1">
      <c r="A83" s="2117"/>
      <c r="D83" s="1847"/>
      <c r="E83" s="1847"/>
      <c r="F83" s="1847"/>
      <c r="G83" s="1847"/>
      <c r="H83" s="1847"/>
      <c r="O83" s="84"/>
      <c r="P83" s="84"/>
    </row>
    <row r="84" spans="1:16" s="1232" customFormat="1">
      <c r="A84" s="2117"/>
      <c r="D84" s="1847"/>
      <c r="E84" s="1847"/>
      <c r="F84" s="1847"/>
      <c r="G84" s="1847"/>
      <c r="H84" s="1847"/>
      <c r="O84" s="84"/>
      <c r="P84" s="84"/>
    </row>
    <row r="85" spans="1:16" s="1232" customFormat="1">
      <c r="A85" s="2117"/>
      <c r="D85" s="1847"/>
      <c r="E85" s="1847"/>
      <c r="F85" s="1847"/>
      <c r="G85" s="1847"/>
      <c r="H85" s="1847"/>
      <c r="O85" s="84"/>
      <c r="P85" s="84"/>
    </row>
    <row r="86" spans="1:16" s="1232" customFormat="1">
      <c r="A86" s="2117"/>
      <c r="D86" s="1847"/>
      <c r="E86" s="1847"/>
      <c r="F86" s="1847"/>
      <c r="G86" s="1847"/>
      <c r="H86" s="1847"/>
      <c r="O86" s="84"/>
      <c r="P86" s="84"/>
    </row>
    <row r="87" spans="1:16" s="1232" customFormat="1">
      <c r="A87" s="2117"/>
      <c r="D87" s="1847"/>
      <c r="E87" s="1847"/>
      <c r="F87" s="1847"/>
      <c r="G87" s="1847"/>
      <c r="H87" s="1847"/>
      <c r="O87" s="84"/>
      <c r="P87" s="84"/>
    </row>
    <row r="88" spans="1:16" s="1232" customFormat="1">
      <c r="A88" s="2117"/>
      <c r="D88" s="1847"/>
      <c r="E88" s="1847"/>
      <c r="F88" s="1847"/>
      <c r="G88" s="1847"/>
      <c r="H88" s="1847"/>
      <c r="O88" s="84"/>
      <c r="P88" s="84"/>
    </row>
    <row r="89" spans="1:16" s="1232" customFormat="1">
      <c r="A89" s="2117"/>
      <c r="D89" s="1847"/>
      <c r="E89" s="1847"/>
      <c r="F89" s="1847"/>
      <c r="G89" s="1847"/>
      <c r="H89" s="1847"/>
      <c r="O89" s="84"/>
      <c r="P89" s="84"/>
    </row>
    <row r="90" spans="1:16" s="1232" customFormat="1">
      <c r="A90" s="2117"/>
      <c r="D90" s="1847"/>
      <c r="E90" s="1847"/>
      <c r="F90" s="1847"/>
      <c r="G90" s="1847"/>
      <c r="H90" s="1847"/>
      <c r="O90" s="84"/>
      <c r="P90" s="84"/>
    </row>
    <row r="91" spans="1:16" s="1232" customFormat="1">
      <c r="A91" s="2117"/>
      <c r="D91" s="1847"/>
      <c r="E91" s="1847"/>
      <c r="F91" s="1847"/>
      <c r="G91" s="1847"/>
      <c r="H91" s="1847"/>
      <c r="O91" s="84"/>
      <c r="P91" s="84"/>
    </row>
    <row r="92" spans="1:16" s="1232" customFormat="1">
      <c r="A92" s="2117"/>
      <c r="D92" s="1847"/>
      <c r="E92" s="1847"/>
      <c r="F92" s="1847"/>
      <c r="G92" s="1847"/>
      <c r="H92" s="1847"/>
      <c r="O92" s="84"/>
      <c r="P92" s="84"/>
    </row>
    <row r="93" spans="1:16" s="1232" customFormat="1">
      <c r="A93" s="2117"/>
      <c r="D93" s="1847"/>
      <c r="E93" s="1847"/>
      <c r="F93" s="1847"/>
      <c r="G93" s="1847"/>
      <c r="H93" s="1847"/>
      <c r="O93" s="84"/>
      <c r="P93" s="84"/>
    </row>
    <row r="94" spans="1:16" s="1232" customFormat="1">
      <c r="A94" s="2117"/>
      <c r="D94" s="1847"/>
      <c r="E94" s="1847"/>
      <c r="F94" s="1847"/>
      <c r="G94" s="1847"/>
      <c r="H94" s="1847"/>
      <c r="O94" s="84"/>
      <c r="P94" s="84"/>
    </row>
    <row r="95" spans="1:16" s="1232" customFormat="1">
      <c r="A95" s="2117"/>
      <c r="D95" s="1847"/>
      <c r="E95" s="1847"/>
      <c r="F95" s="1847"/>
      <c r="G95" s="1847"/>
      <c r="H95" s="1847"/>
      <c r="O95" s="84"/>
      <c r="P95" s="84"/>
    </row>
    <row r="96" spans="1:16" s="1232" customFormat="1">
      <c r="A96" s="2117"/>
      <c r="D96" s="1847"/>
      <c r="E96" s="1847"/>
      <c r="F96" s="1847"/>
      <c r="G96" s="1847"/>
      <c r="H96" s="1847"/>
      <c r="O96" s="84"/>
      <c r="P96" s="84"/>
    </row>
    <row r="97" spans="1:16" s="1232" customFormat="1">
      <c r="A97" s="2117"/>
      <c r="D97" s="1847"/>
      <c r="E97" s="1847"/>
      <c r="F97" s="1847"/>
      <c r="G97" s="1847"/>
      <c r="H97" s="1847"/>
      <c r="O97" s="84"/>
      <c r="P97" s="84"/>
    </row>
    <row r="98" spans="1:16" s="1232" customFormat="1">
      <c r="A98" s="2117"/>
      <c r="D98" s="1847"/>
      <c r="E98" s="1847"/>
      <c r="F98" s="1847"/>
      <c r="G98" s="1847"/>
      <c r="H98" s="1847"/>
      <c r="O98" s="84"/>
      <c r="P98" s="84"/>
    </row>
    <row r="99" spans="1:16" s="1232" customFormat="1">
      <c r="A99" s="2117"/>
      <c r="D99" s="1847"/>
      <c r="E99" s="1847"/>
      <c r="F99" s="1847"/>
      <c r="G99" s="1847"/>
      <c r="H99" s="1847"/>
      <c r="O99" s="84"/>
      <c r="P99" s="84"/>
    </row>
    <row r="100" spans="1:16" s="1232" customFormat="1">
      <c r="A100" s="2117"/>
      <c r="D100" s="1847"/>
      <c r="E100" s="1847"/>
      <c r="F100" s="1847"/>
      <c r="G100" s="1847"/>
      <c r="H100" s="1847"/>
      <c r="O100" s="84"/>
      <c r="P100" s="84"/>
    </row>
    <row r="101" spans="1:16" s="1232" customFormat="1">
      <c r="A101" s="2117"/>
      <c r="D101" s="1847"/>
      <c r="E101" s="1847"/>
      <c r="F101" s="1847"/>
      <c r="G101" s="1847"/>
      <c r="H101" s="1847"/>
      <c r="O101" s="84"/>
      <c r="P101" s="84"/>
    </row>
    <row r="102" spans="1:16" s="1232" customFormat="1">
      <c r="A102" s="2117"/>
      <c r="D102" s="1847"/>
      <c r="E102" s="1847"/>
      <c r="F102" s="1847"/>
      <c r="G102" s="1847"/>
      <c r="H102" s="1847"/>
      <c r="O102" s="84"/>
      <c r="P102" s="84"/>
    </row>
    <row r="103" spans="1:16" s="1232" customFormat="1">
      <c r="A103" s="2117"/>
      <c r="D103" s="1847"/>
      <c r="E103" s="1847"/>
      <c r="F103" s="1847"/>
      <c r="G103" s="1847"/>
      <c r="H103" s="1847"/>
      <c r="O103" s="84"/>
      <c r="P103" s="84"/>
    </row>
    <row r="104" spans="1:16" s="1232" customFormat="1">
      <c r="A104" s="2117"/>
      <c r="D104" s="1847"/>
      <c r="E104" s="1847"/>
      <c r="F104" s="1847"/>
      <c r="G104" s="1847"/>
      <c r="H104" s="1847"/>
      <c r="O104" s="84"/>
      <c r="P104" s="84"/>
    </row>
    <row r="105" spans="1:16" s="1232" customFormat="1">
      <c r="A105" s="2117"/>
      <c r="D105" s="1847"/>
      <c r="E105" s="1847"/>
      <c r="F105" s="1847"/>
      <c r="G105" s="1847"/>
      <c r="H105" s="1847"/>
      <c r="O105" s="84"/>
      <c r="P105" s="84"/>
    </row>
    <row r="106" spans="1:16" s="1232" customFormat="1">
      <c r="A106" s="2117"/>
      <c r="D106" s="1847"/>
      <c r="E106" s="1847"/>
      <c r="F106" s="1847"/>
      <c r="G106" s="1847"/>
      <c r="H106" s="1847"/>
      <c r="O106" s="84"/>
      <c r="P106" s="84"/>
    </row>
    <row r="107" spans="1:16" s="1232" customFormat="1">
      <c r="A107" s="2117"/>
      <c r="D107" s="1847"/>
      <c r="E107" s="1847"/>
      <c r="F107" s="1847"/>
      <c r="G107" s="1847"/>
      <c r="H107" s="1847"/>
      <c r="O107" s="84"/>
      <c r="P107" s="84"/>
    </row>
    <row r="108" spans="1:16" s="1232" customFormat="1">
      <c r="A108" s="2117"/>
      <c r="D108" s="1847"/>
      <c r="E108" s="1847"/>
      <c r="F108" s="1847"/>
      <c r="G108" s="1847"/>
      <c r="H108" s="1847"/>
      <c r="O108" s="84"/>
      <c r="P108" s="84"/>
    </row>
    <row r="109" spans="1:16" s="1232" customFormat="1">
      <c r="A109" s="2117"/>
      <c r="D109" s="1847"/>
      <c r="E109" s="1847"/>
      <c r="F109" s="1847"/>
      <c r="G109" s="1847"/>
      <c r="H109" s="1847"/>
      <c r="O109" s="84"/>
      <c r="P109" s="84"/>
    </row>
    <row r="110" spans="1:16" s="1232" customFormat="1">
      <c r="A110" s="2117"/>
      <c r="D110" s="1847"/>
      <c r="E110" s="1847"/>
      <c r="F110" s="1847"/>
      <c r="G110" s="1847"/>
      <c r="H110" s="1847"/>
      <c r="O110" s="84"/>
      <c r="P110" s="84"/>
    </row>
    <row r="111" spans="1:16" s="1232" customFormat="1">
      <c r="A111" s="2117"/>
      <c r="D111" s="1847"/>
      <c r="E111" s="1847"/>
      <c r="F111" s="1847"/>
      <c r="G111" s="1847"/>
      <c r="H111" s="1847"/>
      <c r="O111" s="84"/>
      <c r="P111" s="84"/>
    </row>
    <row r="112" spans="1:16" s="1232" customFormat="1">
      <c r="A112" s="2117"/>
      <c r="D112" s="1847"/>
      <c r="E112" s="1847"/>
      <c r="F112" s="1847"/>
      <c r="G112" s="1847"/>
      <c r="H112" s="1847"/>
      <c r="O112" s="84"/>
      <c r="P112" s="84"/>
    </row>
    <row r="113" spans="1:16" s="1232" customFormat="1">
      <c r="A113" s="2117"/>
      <c r="D113" s="1847"/>
      <c r="E113" s="1847"/>
      <c r="F113" s="1847"/>
      <c r="G113" s="1847"/>
      <c r="H113" s="1847"/>
      <c r="O113" s="84"/>
      <c r="P113" s="84"/>
    </row>
    <row r="114" spans="1:16" s="1232" customFormat="1">
      <c r="A114" s="2117"/>
      <c r="D114" s="1847"/>
      <c r="E114" s="1847"/>
      <c r="F114" s="1847"/>
      <c r="G114" s="1847"/>
      <c r="H114" s="1847"/>
      <c r="O114" s="84"/>
      <c r="P114" s="84"/>
    </row>
    <row r="115" spans="1:16" s="1232" customFormat="1">
      <c r="A115" s="2117"/>
      <c r="D115" s="1847"/>
      <c r="E115" s="1847"/>
      <c r="F115" s="1847"/>
      <c r="G115" s="1847"/>
      <c r="H115" s="1847"/>
      <c r="O115" s="84"/>
      <c r="P115" s="84"/>
    </row>
    <row r="116" spans="1:16" s="1232" customFormat="1">
      <c r="A116" s="2117"/>
      <c r="D116" s="1847"/>
      <c r="E116" s="1847"/>
      <c r="F116" s="1847"/>
      <c r="G116" s="1847"/>
      <c r="H116" s="1847"/>
      <c r="O116" s="84"/>
      <c r="P116" s="84"/>
    </row>
    <row r="117" spans="1:16" s="1232" customFormat="1">
      <c r="A117" s="2117"/>
      <c r="D117" s="1847"/>
      <c r="E117" s="1847"/>
      <c r="F117" s="1847"/>
      <c r="G117" s="1847"/>
      <c r="H117" s="1847"/>
      <c r="O117" s="84"/>
      <c r="P117" s="84"/>
    </row>
    <row r="118" spans="1:16" s="1232" customFormat="1">
      <c r="A118" s="2117"/>
      <c r="D118" s="1847"/>
      <c r="E118" s="1847"/>
      <c r="F118" s="1847"/>
      <c r="G118" s="1847"/>
      <c r="H118" s="1847"/>
      <c r="O118" s="84"/>
      <c r="P118" s="84"/>
    </row>
    <row r="119" spans="1:16" s="1232" customFormat="1">
      <c r="A119" s="2117"/>
      <c r="D119" s="1847"/>
      <c r="E119" s="1847"/>
      <c r="F119" s="1847"/>
      <c r="G119" s="1847"/>
      <c r="H119" s="1847"/>
      <c r="O119" s="84"/>
      <c r="P119" s="84"/>
    </row>
    <row r="120" spans="1:16" s="1232" customFormat="1">
      <c r="A120" s="2117"/>
      <c r="D120" s="1847"/>
      <c r="E120" s="1847"/>
      <c r="F120" s="1847"/>
      <c r="G120" s="1847"/>
      <c r="H120" s="1847"/>
      <c r="O120" s="84"/>
      <c r="P120" s="84"/>
    </row>
    <row r="121" spans="1:16" s="1232" customFormat="1">
      <c r="A121" s="2117"/>
      <c r="D121" s="1847"/>
      <c r="E121" s="1847"/>
      <c r="F121" s="1847"/>
      <c r="G121" s="1847"/>
      <c r="H121" s="1847"/>
      <c r="O121" s="84"/>
      <c r="P121" s="84"/>
    </row>
    <row r="122" spans="1:16" s="1232" customFormat="1">
      <c r="A122" s="2117"/>
      <c r="D122" s="1847"/>
      <c r="E122" s="1847"/>
      <c r="F122" s="1847"/>
      <c r="G122" s="1847"/>
      <c r="H122" s="1847"/>
      <c r="O122" s="84"/>
      <c r="P122" s="84"/>
    </row>
    <row r="123" spans="1:16" s="1232" customFormat="1">
      <c r="A123" s="2117"/>
      <c r="D123" s="1847"/>
      <c r="E123" s="1847"/>
      <c r="F123" s="1847"/>
      <c r="G123" s="1847"/>
      <c r="H123" s="1847"/>
      <c r="O123" s="84"/>
      <c r="P123" s="84"/>
    </row>
    <row r="124" spans="1:16" s="1232" customFormat="1">
      <c r="A124" s="2117"/>
      <c r="D124" s="1847"/>
      <c r="E124" s="1847"/>
      <c r="F124" s="1847"/>
      <c r="G124" s="1847"/>
      <c r="H124" s="1847"/>
      <c r="O124" s="84"/>
      <c r="P124" s="84"/>
    </row>
    <row r="125" spans="1:16" s="1232" customFormat="1">
      <c r="A125" s="2117"/>
      <c r="D125" s="1847"/>
      <c r="E125" s="1847"/>
      <c r="F125" s="1847"/>
      <c r="G125" s="1847"/>
      <c r="H125" s="1847"/>
      <c r="O125" s="84"/>
      <c r="P125" s="84"/>
    </row>
    <row r="126" spans="1:16" s="1232" customFormat="1">
      <c r="A126" s="2117"/>
      <c r="D126" s="1847"/>
      <c r="E126" s="1847"/>
      <c r="F126" s="1847"/>
      <c r="G126" s="1847"/>
      <c r="H126" s="1847"/>
      <c r="O126" s="84"/>
      <c r="P126" s="84"/>
    </row>
    <row r="127" spans="1:16" s="1232" customFormat="1">
      <c r="A127" s="2117"/>
      <c r="D127" s="1847"/>
      <c r="E127" s="1847"/>
      <c r="F127" s="1847"/>
      <c r="G127" s="1847"/>
      <c r="H127" s="1847"/>
      <c r="O127" s="84"/>
      <c r="P127" s="84"/>
    </row>
    <row r="128" spans="1:16" s="1232" customFormat="1">
      <c r="A128" s="2117"/>
      <c r="D128" s="1847"/>
      <c r="E128" s="1847"/>
      <c r="F128" s="1847"/>
      <c r="G128" s="1847"/>
      <c r="H128" s="1847"/>
      <c r="O128" s="84"/>
      <c r="P128" s="84"/>
    </row>
    <row r="129" spans="1:16" s="1232" customFormat="1">
      <c r="A129" s="2117"/>
      <c r="D129" s="1847"/>
      <c r="E129" s="1847"/>
      <c r="F129" s="1847"/>
      <c r="G129" s="1847"/>
      <c r="H129" s="1847"/>
      <c r="O129" s="84"/>
      <c r="P129" s="84"/>
    </row>
    <row r="130" spans="1:16" s="1232" customFormat="1">
      <c r="A130" s="2117"/>
      <c r="D130" s="1847"/>
      <c r="E130" s="1847"/>
      <c r="F130" s="1847"/>
      <c r="G130" s="1847"/>
      <c r="H130" s="1847"/>
      <c r="O130" s="84"/>
      <c r="P130" s="84"/>
    </row>
    <row r="131" spans="1:16" s="1232" customFormat="1">
      <c r="A131" s="2117"/>
      <c r="D131" s="1847"/>
      <c r="E131" s="1847"/>
      <c r="F131" s="1847"/>
      <c r="G131" s="1847"/>
      <c r="H131" s="1847"/>
      <c r="O131" s="84"/>
      <c r="P131" s="84"/>
    </row>
    <row r="132" spans="1:16" s="1232" customFormat="1">
      <c r="A132" s="2117"/>
      <c r="D132" s="1847"/>
      <c r="E132" s="1847"/>
      <c r="F132" s="1847"/>
      <c r="G132" s="1847"/>
      <c r="H132" s="1847"/>
      <c r="O132" s="84"/>
      <c r="P132" s="84"/>
    </row>
    <row r="133" spans="1:16" s="1232" customFormat="1">
      <c r="A133" s="2117"/>
      <c r="D133" s="1847"/>
      <c r="E133" s="1847"/>
      <c r="F133" s="1847"/>
      <c r="G133" s="1847"/>
      <c r="H133" s="1847"/>
      <c r="O133" s="84"/>
      <c r="P133" s="84"/>
    </row>
    <row r="134" spans="1:16" s="1232" customFormat="1">
      <c r="A134" s="2117"/>
      <c r="D134" s="1847"/>
      <c r="E134" s="1847"/>
      <c r="F134" s="1847"/>
      <c r="G134" s="1847"/>
      <c r="H134" s="1847"/>
      <c r="O134" s="84"/>
      <c r="P134" s="84"/>
    </row>
    <row r="135" spans="1:16" s="1232" customFormat="1">
      <c r="A135" s="2117"/>
      <c r="D135" s="1847"/>
      <c r="E135" s="1847"/>
      <c r="F135" s="1847"/>
      <c r="G135" s="1847"/>
      <c r="H135" s="1847"/>
      <c r="O135" s="84"/>
      <c r="P135" s="84"/>
    </row>
    <row r="136" spans="1:16" s="1232" customFormat="1">
      <c r="A136" s="2117"/>
      <c r="D136" s="1847"/>
      <c r="E136" s="1847"/>
      <c r="F136" s="1847"/>
      <c r="G136" s="1847"/>
      <c r="H136" s="1847"/>
      <c r="O136" s="84"/>
      <c r="P136" s="84"/>
    </row>
    <row r="137" spans="1:16" s="1232" customFormat="1">
      <c r="A137" s="2117"/>
      <c r="D137" s="1847"/>
      <c r="E137" s="1847"/>
      <c r="F137" s="1847"/>
      <c r="G137" s="1847"/>
      <c r="H137" s="1847"/>
      <c r="O137" s="84"/>
      <c r="P137" s="84"/>
    </row>
    <row r="138" spans="1:16" s="1232" customFormat="1">
      <c r="A138" s="2117"/>
      <c r="D138" s="1847"/>
      <c r="E138" s="1847"/>
      <c r="F138" s="1847"/>
      <c r="G138" s="1847"/>
      <c r="H138" s="1847"/>
      <c r="O138" s="84"/>
      <c r="P138" s="84"/>
    </row>
    <row r="139" spans="1:16" s="1232" customFormat="1">
      <c r="A139" s="2117"/>
      <c r="D139" s="1847"/>
      <c r="E139" s="1847"/>
      <c r="F139" s="1847"/>
      <c r="G139" s="1847"/>
      <c r="H139" s="1847"/>
      <c r="O139" s="84"/>
      <c r="P139" s="84"/>
    </row>
    <row r="140" spans="1:16" s="1232" customFormat="1">
      <c r="A140" s="2117"/>
      <c r="D140" s="1847"/>
      <c r="E140" s="1847"/>
      <c r="F140" s="1847"/>
      <c r="G140" s="1847"/>
      <c r="H140" s="1847"/>
      <c r="O140" s="84"/>
      <c r="P140" s="84"/>
    </row>
    <row r="141" spans="1:16" s="1232" customFormat="1">
      <c r="A141" s="2117"/>
      <c r="D141" s="1847"/>
      <c r="E141" s="1847"/>
      <c r="F141" s="1847"/>
      <c r="G141" s="1847"/>
      <c r="H141" s="1847"/>
      <c r="O141" s="84"/>
      <c r="P141" s="84"/>
    </row>
    <row r="142" spans="1:16" s="1232" customFormat="1">
      <c r="A142" s="2117"/>
      <c r="D142" s="1847"/>
      <c r="E142" s="1847"/>
      <c r="F142" s="1847"/>
      <c r="G142" s="1847"/>
      <c r="H142" s="1847"/>
      <c r="O142" s="84"/>
      <c r="P142" s="84"/>
    </row>
    <row r="143" spans="1:16" s="1232" customFormat="1">
      <c r="A143" s="2117"/>
      <c r="D143" s="1847"/>
      <c r="E143" s="1847"/>
      <c r="F143" s="1847"/>
      <c r="G143" s="1847"/>
      <c r="H143" s="1847"/>
      <c r="O143" s="84"/>
      <c r="P143" s="84"/>
    </row>
    <row r="144" spans="1:16" s="1232" customFormat="1">
      <c r="A144" s="2117"/>
      <c r="D144" s="1847"/>
      <c r="E144" s="1847"/>
      <c r="F144" s="1847"/>
      <c r="G144" s="1847"/>
      <c r="H144" s="1847"/>
      <c r="O144" s="84"/>
      <c r="P144" s="84"/>
    </row>
    <row r="145" spans="1:16" s="1232" customFormat="1">
      <c r="A145" s="2117"/>
      <c r="D145" s="1847"/>
      <c r="E145" s="1847"/>
      <c r="F145" s="1847"/>
      <c r="G145" s="1847"/>
      <c r="H145" s="1847"/>
      <c r="O145" s="84"/>
      <c r="P145" s="84"/>
    </row>
    <row r="146" spans="1:16" s="1232" customFormat="1">
      <c r="A146" s="2117"/>
      <c r="D146" s="1847"/>
      <c r="E146" s="1847"/>
      <c r="F146" s="1847"/>
      <c r="G146" s="1847"/>
      <c r="H146" s="1847"/>
      <c r="O146" s="84"/>
      <c r="P146" s="84"/>
    </row>
    <row r="147" spans="1:16" s="1232" customFormat="1">
      <c r="A147" s="2117"/>
      <c r="D147" s="1847"/>
      <c r="E147" s="1847"/>
      <c r="F147" s="1847"/>
      <c r="G147" s="1847"/>
      <c r="H147" s="1847"/>
      <c r="O147" s="84"/>
      <c r="P147" s="84"/>
    </row>
    <row r="148" spans="1:16" s="1232" customFormat="1">
      <c r="A148" s="2117"/>
      <c r="D148" s="1847"/>
      <c r="E148" s="1847"/>
      <c r="F148" s="1847"/>
      <c r="G148" s="1847"/>
      <c r="H148" s="1847"/>
      <c r="O148" s="84"/>
      <c r="P148" s="84"/>
    </row>
    <row r="149" spans="1:16" s="1232" customFormat="1">
      <c r="A149" s="2117"/>
      <c r="D149" s="1847"/>
      <c r="E149" s="1847"/>
      <c r="F149" s="1847"/>
      <c r="G149" s="1847"/>
      <c r="H149" s="1847"/>
      <c r="O149" s="84"/>
      <c r="P149" s="84"/>
    </row>
    <row r="150" spans="1:16" s="1232" customFormat="1">
      <c r="A150" s="2117"/>
      <c r="D150" s="1847"/>
      <c r="E150" s="1847"/>
      <c r="F150" s="1847"/>
      <c r="G150" s="1847"/>
      <c r="H150" s="1847"/>
      <c r="O150" s="84"/>
      <c r="P150" s="84"/>
    </row>
    <row r="151" spans="1:16" s="1232" customFormat="1">
      <c r="A151" s="2117"/>
      <c r="D151" s="1847"/>
      <c r="E151" s="1847"/>
      <c r="F151" s="1847"/>
      <c r="G151" s="1847"/>
      <c r="H151" s="1847"/>
      <c r="O151" s="84"/>
      <c r="P151" s="84"/>
    </row>
    <row r="152" spans="1:16" s="1232" customFormat="1">
      <c r="A152" s="2117"/>
      <c r="D152" s="1847"/>
      <c r="E152" s="1847"/>
      <c r="F152" s="1847"/>
      <c r="G152" s="1847"/>
      <c r="H152" s="1847"/>
      <c r="O152" s="84"/>
      <c r="P152" s="84"/>
    </row>
    <row r="153" spans="1:16" s="1232" customFormat="1">
      <c r="A153" s="2118"/>
      <c r="B153" s="2064"/>
      <c r="D153" s="1847"/>
      <c r="E153" s="1847"/>
      <c r="F153" s="1847"/>
      <c r="G153" s="1847"/>
      <c r="H153" s="1847"/>
      <c r="O153" s="84"/>
      <c r="P153" s="84"/>
    </row>
    <row r="154" spans="1:16" s="1232"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3" customWidth="1"/>
    <col min="2" max="2" width="24.44140625" style="2184" customWidth="1"/>
    <col min="3" max="3" width="24.44140625" style="2183" customWidth="1"/>
    <col min="4" max="4" width="2.6640625" style="2183" customWidth="1"/>
    <col min="5" max="5" width="5.88671875" style="2183" customWidth="1"/>
    <col min="6" max="6" width="27" style="2184" customWidth="1"/>
    <col min="7" max="7" width="27" style="2185" customWidth="1"/>
    <col min="8" max="8" width="11.88671875" style="2161" customWidth="1"/>
    <col min="9" max="9" width="16.77734375" style="2162" customWidth="1"/>
    <col min="10" max="10" width="2.6640625" style="2161" customWidth="1"/>
    <col min="11" max="11" width="11.88671875" style="2161" customWidth="1"/>
    <col min="12" max="12" width="16.77734375" style="2162" customWidth="1"/>
    <col min="13" max="13" width="2.6640625" style="2161" customWidth="1"/>
    <col min="14" max="14" width="11.88671875" style="2161" customWidth="1"/>
    <col min="15" max="15" width="16.77734375" style="2162" customWidth="1"/>
    <col min="16" max="16" width="2.6640625" style="2161" customWidth="1"/>
    <col min="17" max="17" width="11.88671875" style="2161" customWidth="1"/>
    <col min="18" max="18" width="16.77734375" style="2163" customWidth="1"/>
    <col min="19" max="29" width="9" style="2132"/>
    <col min="30" max="16384" width="9" style="2133"/>
  </cols>
  <sheetData>
    <row r="1" spans="1:29" s="2125" customFormat="1" ht="18" thickBot="1">
      <c r="A1" s="2862" t="s">
        <v>1726</v>
      </c>
      <c r="B1" s="2863"/>
      <c r="C1" s="2863"/>
      <c r="D1" s="2863"/>
      <c r="E1" s="2863"/>
      <c r="F1" s="2863"/>
      <c r="G1" s="2863"/>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 thickBot="1">
      <c r="A2" s="2126"/>
      <c r="B2" s="2127"/>
      <c r="C2" s="2128" t="s">
        <v>1727</v>
      </c>
      <c r="D2" s="2129"/>
      <c r="E2" s="2130"/>
      <c r="F2" s="2131"/>
      <c r="G2" s="2128" t="s">
        <v>1728</v>
      </c>
      <c r="H2" s="2132"/>
      <c r="I2" s="2132"/>
      <c r="J2" s="2132"/>
      <c r="K2" s="2132"/>
      <c r="L2" s="2132"/>
      <c r="M2" s="2132"/>
      <c r="N2" s="2132"/>
      <c r="O2" s="2132"/>
      <c r="P2" s="2132"/>
      <c r="Q2" s="2132"/>
      <c r="R2" s="2132"/>
    </row>
    <row r="3" spans="1:29" ht="57.6">
      <c r="A3" s="395" t="s">
        <v>1729</v>
      </c>
      <c r="B3" s="2134" t="s">
        <v>1730</v>
      </c>
      <c r="C3" s="2135" t="s">
        <v>1731</v>
      </c>
      <c r="D3" s="2136"/>
      <c r="E3" s="411" t="s">
        <v>1729</v>
      </c>
      <c r="F3" s="2137" t="s">
        <v>1732</v>
      </c>
      <c r="G3" s="2138" t="s">
        <v>1733</v>
      </c>
      <c r="H3" s="2132"/>
      <c r="I3" s="2132"/>
      <c r="J3" s="2132"/>
      <c r="K3" s="2132"/>
      <c r="L3" s="2132"/>
      <c r="M3" s="2132"/>
      <c r="N3" s="2132"/>
      <c r="O3" s="2132"/>
      <c r="P3" s="2132"/>
      <c r="Q3" s="2132"/>
      <c r="R3" s="2132"/>
    </row>
    <row r="4" spans="1:29" ht="43.2">
      <c r="A4" s="411"/>
      <c r="B4" s="1880" t="s">
        <v>1734</v>
      </c>
      <c r="C4" s="2139" t="s">
        <v>1735</v>
      </c>
      <c r="D4" s="2136"/>
      <c r="E4" s="2140"/>
      <c r="F4" s="2141" t="s">
        <v>1736</v>
      </c>
      <c r="G4" s="2142" t="s">
        <v>1737</v>
      </c>
      <c r="H4" s="2132"/>
      <c r="I4" s="2132"/>
      <c r="J4" s="2132"/>
      <c r="K4" s="2132"/>
      <c r="L4" s="2132"/>
      <c r="M4" s="2132"/>
      <c r="N4" s="2132"/>
      <c r="O4" s="2132"/>
      <c r="P4" s="2132"/>
      <c r="Q4" s="2132"/>
      <c r="R4" s="2132"/>
    </row>
    <row r="5" spans="1:29" ht="43.2">
      <c r="A5" s="411"/>
      <c r="B5" s="1880" t="s">
        <v>1738</v>
      </c>
      <c r="C5" s="2139" t="s">
        <v>1739</v>
      </c>
      <c r="D5" s="2136"/>
      <c r="E5" s="2140"/>
      <c r="F5" s="1880" t="s">
        <v>1740</v>
      </c>
      <c r="G5" s="2142" t="s">
        <v>1741</v>
      </c>
      <c r="H5" s="2132"/>
      <c r="I5" s="2132"/>
      <c r="J5" s="2132"/>
      <c r="K5" s="2132"/>
      <c r="L5" s="2132"/>
      <c r="M5" s="2132"/>
      <c r="N5" s="2132"/>
      <c r="O5" s="2132"/>
      <c r="P5" s="2132"/>
      <c r="Q5" s="2132"/>
      <c r="R5" s="2132"/>
    </row>
    <row r="6" spans="1:29" ht="57.6">
      <c r="A6" s="411"/>
      <c r="B6" s="1880" t="s">
        <v>1742</v>
      </c>
      <c r="C6" s="2142" t="s">
        <v>1737</v>
      </c>
      <c r="D6" s="2136"/>
      <c r="E6" s="2140"/>
      <c r="F6" s="1880" t="s">
        <v>1743</v>
      </c>
      <c r="G6" s="2142" t="s">
        <v>1744</v>
      </c>
      <c r="H6" s="2132"/>
      <c r="I6" s="2132"/>
      <c r="J6" s="2132"/>
      <c r="K6" s="2132"/>
      <c r="L6" s="2132"/>
      <c r="M6" s="2132"/>
      <c r="N6" s="2132"/>
      <c r="O6" s="2132"/>
      <c r="P6" s="2132"/>
      <c r="Q6" s="2132"/>
      <c r="R6" s="2132"/>
    </row>
    <row r="7" spans="1:29" ht="43.8" thickBot="1">
      <c r="A7" s="411"/>
      <c r="B7" s="1880" t="s">
        <v>1740</v>
      </c>
      <c r="C7" s="2142" t="s">
        <v>1741</v>
      </c>
      <c r="D7" s="2143"/>
      <c r="E7" s="2144"/>
      <c r="F7" s="2145" t="s">
        <v>1745</v>
      </c>
      <c r="G7" s="2146" t="s">
        <v>1746</v>
      </c>
      <c r="H7" s="2132"/>
      <c r="I7" s="2132"/>
      <c r="J7" s="2132"/>
      <c r="K7" s="2132"/>
      <c r="L7" s="2132"/>
      <c r="M7" s="2132"/>
      <c r="N7" s="2132"/>
      <c r="O7" s="2132"/>
      <c r="P7" s="2132"/>
      <c r="Q7" s="2132"/>
      <c r="R7" s="2132"/>
    </row>
    <row r="8" spans="1:29" ht="28.8">
      <c r="A8" s="411"/>
      <c r="B8" s="1880" t="s">
        <v>1743</v>
      </c>
      <c r="C8" s="2142" t="s">
        <v>1744</v>
      </c>
      <c r="D8" s="2143"/>
      <c r="E8" s="2143"/>
      <c r="F8" s="1241"/>
      <c r="G8" s="1241"/>
      <c r="H8" s="2132"/>
      <c r="I8" s="2132"/>
      <c r="J8" s="2132"/>
      <c r="K8" s="2132"/>
      <c r="L8" s="2132"/>
      <c r="M8" s="2132"/>
      <c r="N8" s="2132"/>
      <c r="O8" s="2132"/>
      <c r="P8" s="2132"/>
      <c r="Q8" s="2132"/>
      <c r="R8" s="2132"/>
    </row>
    <row r="9" spans="1:29" ht="43.2">
      <c r="A9" s="411"/>
      <c r="B9" s="1880" t="s">
        <v>1747</v>
      </c>
      <c r="C9" s="2139" t="s">
        <v>1748</v>
      </c>
      <c r="D9" s="2136"/>
      <c r="E9" s="2143"/>
      <c r="F9" s="1241"/>
      <c r="G9" s="1241"/>
      <c r="H9" s="2132"/>
      <c r="I9" s="2132"/>
      <c r="J9" s="2132"/>
      <c r="K9" s="2132"/>
      <c r="L9" s="2132"/>
      <c r="M9" s="2132"/>
      <c r="N9" s="2132"/>
      <c r="O9" s="2132"/>
      <c r="P9" s="2132"/>
      <c r="Q9" s="2132"/>
      <c r="R9" s="2132"/>
    </row>
    <row r="10" spans="1:29" s="35" customFormat="1" ht="15" thickBot="1">
      <c r="A10" s="2147"/>
      <c r="B10" s="2148" t="s">
        <v>1749</v>
      </c>
      <c r="C10" s="2149"/>
      <c r="D10" s="2136"/>
      <c r="E10" s="2136"/>
      <c r="F10" s="1241"/>
      <c r="G10" s="1241"/>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c r="A11" s="2153"/>
      <c r="B11" s="2143"/>
      <c r="C11" s="2136"/>
      <c r="D11" s="2136"/>
      <c r="E11" s="2136"/>
      <c r="F11" s="2143"/>
      <c r="G11" s="1261"/>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7.399999999999999">
      <c r="A12" s="2153"/>
      <c r="B12" s="2143"/>
      <c r="C12" s="2136"/>
      <c r="D12" s="2154"/>
      <c r="E12" s="2136"/>
      <c r="F12" s="2143"/>
      <c r="G12" s="1261"/>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8" thickBot="1">
      <c r="A13" s="2160" t="s">
        <v>1750</v>
      </c>
      <c r="B13" s="2154"/>
      <c r="C13" s="2154"/>
      <c r="D13" s="2129"/>
      <c r="E13" s="2154"/>
      <c r="F13" s="2154"/>
      <c r="G13" s="2154"/>
    </row>
    <row r="14" spans="1:29" ht="15" thickBot="1">
      <c r="A14" s="2164"/>
      <c r="B14" s="2165"/>
      <c r="C14" s="2166" t="s">
        <v>1751</v>
      </c>
      <c r="D14" s="2136"/>
      <c r="E14" s="2167"/>
      <c r="F14" s="2167"/>
      <c r="G14" s="2128" t="s">
        <v>1752</v>
      </c>
    </row>
    <row r="15" spans="1:29" ht="55.2">
      <c r="A15" s="25" t="s">
        <v>1753</v>
      </c>
      <c r="B15" s="2168" t="s">
        <v>1730</v>
      </c>
      <c r="C15" s="2169" t="str">
        <f>C3</f>
        <v>估价对象周边居住用地比例、居住小区规模和社区发展完善程度，综合评价居住社区成熟度一般</v>
      </c>
      <c r="D15" s="2136"/>
      <c r="E15" s="2170" t="s">
        <v>1754</v>
      </c>
      <c r="F15" s="2168" t="s">
        <v>1755</v>
      </c>
      <c r="G15" s="51" t="str">
        <f>G3</f>
        <v>估价对象位于XX开发区，园区建设成熟度XX，产业集聚程度XX</v>
      </c>
    </row>
    <row r="16" spans="1:29" ht="41.4">
      <c r="A16" s="629"/>
      <c r="B16" s="1487" t="s">
        <v>1734</v>
      </c>
      <c r="C16" s="2171" t="str">
        <f>C4</f>
        <v>估价对象位于XX商圈，周边商业氛围成熟，人流量大，商业繁华度好</v>
      </c>
      <c r="D16" s="2136"/>
      <c r="E16" s="2172"/>
      <c r="F16" s="2173" t="s">
        <v>1736</v>
      </c>
      <c r="G16" s="52" t="str">
        <f>G4</f>
        <v>估价对象周边道路状况、公共交通通达情况、停车便捷程度，综合评价交通便捷度较好</v>
      </c>
    </row>
    <row r="17" spans="1:18" ht="41.4">
      <c r="A17" s="629"/>
      <c r="B17" s="1487" t="s">
        <v>1738</v>
      </c>
      <c r="C17" s="2171" t="str">
        <f>C5</f>
        <v>估价对象位于XX商圈，周边办公楼项目较多，入驻率高，办公集聚程度较好</v>
      </c>
      <c r="D17" s="2143"/>
      <c r="E17" s="2172"/>
      <c r="F17" s="2173" t="s">
        <v>1756</v>
      </c>
      <c r="G17" s="2174"/>
    </row>
    <row r="18" spans="1:18" ht="55.2">
      <c r="A18" s="629"/>
      <c r="B18" s="2173" t="s">
        <v>1742</v>
      </c>
      <c r="C18" s="52" t="str">
        <f>C6</f>
        <v>估价对象周边道路状况、公共交通通达情况、停车便捷程度，综合评价交通便捷度较好</v>
      </c>
      <c r="D18" s="2143"/>
      <c r="E18" s="2172"/>
      <c r="F18" s="2173" t="s">
        <v>1745</v>
      </c>
      <c r="G18" s="52" t="str">
        <f>G7</f>
        <v>该园区内是否有污染型企业，绿化情况，卫生条件，整体环境状况判断</v>
      </c>
    </row>
    <row r="19" spans="1:18" ht="27.6">
      <c r="A19" s="629"/>
      <c r="B19" s="2173" t="s">
        <v>1757</v>
      </c>
      <c r="C19" s="2174"/>
      <c r="D19" s="2136"/>
      <c r="E19" s="2172"/>
      <c r="F19" s="1880" t="s">
        <v>1740</v>
      </c>
      <c r="G19" s="52" t="str">
        <f>G5</f>
        <v>估价对象所在区域公共配套设施齐备情况</v>
      </c>
    </row>
    <row r="20" spans="1:18" ht="41.4">
      <c r="A20" s="629"/>
      <c r="B20" s="2173" t="s">
        <v>1758</v>
      </c>
      <c r="C20" s="2171" t="str">
        <f>C9</f>
        <v>区域自然环境：；人文环境；综合评价环境状况一般</v>
      </c>
      <c r="D20" s="2143"/>
      <c r="E20" s="2172"/>
      <c r="F20" s="1880" t="s">
        <v>1759</v>
      </c>
      <c r="G20" s="52" t="str">
        <f>G6</f>
        <v>估价对象所在区域基础设施水平</v>
      </c>
    </row>
    <row r="21" spans="1:18" ht="27.6">
      <c r="A21" s="629"/>
      <c r="B21" s="1880" t="s">
        <v>1740</v>
      </c>
      <c r="C21" s="52" t="str">
        <f>C7</f>
        <v>估价对象所在区域公共配套设施齐备情况</v>
      </c>
      <c r="D21" s="2136"/>
      <c r="E21" s="2172"/>
      <c r="F21" s="2173" t="s">
        <v>1760</v>
      </c>
      <c r="G21" s="2175"/>
    </row>
    <row r="22" spans="1:18" ht="27.6">
      <c r="A22" s="629"/>
      <c r="B22" s="1880" t="s">
        <v>1743</v>
      </c>
      <c r="C22" s="52" t="str">
        <f>C8</f>
        <v>估价对象所在区域基础设施水平</v>
      </c>
      <c r="D22" s="2136"/>
      <c r="E22" s="2172"/>
      <c r="F22" s="2173" t="s">
        <v>1749</v>
      </c>
      <c r="G22" s="2176"/>
    </row>
    <row r="23" spans="1:18" s="2132" customFormat="1" ht="1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2" customFormat="1" ht="15" thickBot="1">
      <c r="A24" s="2180"/>
      <c r="B24" s="2178" t="s">
        <v>1762</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1824" t="s">
        <v>1219</v>
      </c>
      <c r="B1" s="1824">
        <f>SUM(B14:B23)</f>
        <v>1134.33</v>
      </c>
      <c r="C1" s="1825"/>
      <c r="D1" s="1825"/>
      <c r="E1" s="1825"/>
      <c r="F1" s="1825"/>
      <c r="G1" s="1829"/>
    </row>
    <row r="2" spans="1:9" ht="15.6">
      <c r="A2" s="1824" t="s">
        <v>1220</v>
      </c>
      <c r="B2" s="1824">
        <f>SUM(C14:C23)</f>
        <v>0</v>
      </c>
      <c r="C2" s="1825"/>
      <c r="D2" s="1825"/>
      <c r="E2" s="1825"/>
      <c r="F2" s="1825"/>
      <c r="G2" s="1829"/>
    </row>
    <row r="3" spans="1:9" ht="15.6">
      <c r="A3" s="1824" t="s">
        <v>1221</v>
      </c>
      <c r="B3" s="1827">
        <f>项目基本情况!D2</f>
        <v>43924</v>
      </c>
      <c r="C3" s="1825"/>
      <c r="D3" s="1825"/>
      <c r="E3" s="1825"/>
      <c r="F3" s="1825"/>
      <c r="G3" s="1829"/>
    </row>
    <row r="4" spans="1:9" ht="31.2">
      <c r="A4" s="1824" t="s">
        <v>1222</v>
      </c>
      <c r="B4" s="1824" t="s">
        <v>1223</v>
      </c>
      <c r="C4" s="1824" t="s">
        <v>1224</v>
      </c>
      <c r="D4" s="1824" t="s">
        <v>1225</v>
      </c>
      <c r="E4" s="1825"/>
      <c r="F4" s="1829"/>
      <c r="G4" s="1829"/>
    </row>
    <row r="5" spans="1:9" ht="15.6">
      <c r="A5" s="1824" t="s">
        <v>1226</v>
      </c>
      <c r="B5" s="1824">
        <f ca="1">SUM(D14:D23)</f>
        <v>3924.6684</v>
      </c>
      <c r="C5" s="1824">
        <f ca="1">ROUND(B5*10000/$B$1,0)</f>
        <v>34599</v>
      </c>
      <c r="D5" s="1824" t="e">
        <f ca="1">ROUND(B5*10000/$B$2,0)</f>
        <v>#DIV/0!</v>
      </c>
      <c r="E5" s="1825"/>
      <c r="F5" s="1829"/>
      <c r="G5" s="1829"/>
    </row>
    <row r="6" spans="1:9" ht="15.6">
      <c r="A6" s="1824" t="s">
        <v>1227</v>
      </c>
      <c r="B6" s="1824">
        <f ca="1">SUM(G14:G23)</f>
        <v>3924.6684</v>
      </c>
      <c r="C6" s="1824">
        <f t="shared" ref="C6:C8" ca="1" si="0">ROUND(B6*10000/$B$1,0)</f>
        <v>34599</v>
      </c>
      <c r="D6" s="1824" t="e">
        <f t="shared" ref="D6:D8" ca="1" si="1">ROUND(B6*10000/$B$2,0)</f>
        <v>#DIV/0!</v>
      </c>
      <c r="E6" s="1825"/>
      <c r="F6" s="1829"/>
      <c r="G6" s="1829"/>
    </row>
    <row r="7" spans="1:9" ht="15.6">
      <c r="A7" s="1824" t="s">
        <v>1228</v>
      </c>
      <c r="B7" s="1824">
        <f>SUM(H14:H23)</f>
        <v>0</v>
      </c>
      <c r="C7" s="1824">
        <f>ROUND(B7*10000/$B$1,0)</f>
        <v>0</v>
      </c>
      <c r="D7" s="1824" t="e">
        <f t="shared" si="1"/>
        <v>#DIV/0!</v>
      </c>
      <c r="E7" s="1825"/>
      <c r="F7" s="1829"/>
      <c r="G7" s="1829"/>
    </row>
    <row r="8" spans="1:9" ht="15.6">
      <c r="A8" s="1824" t="s">
        <v>1229</v>
      </c>
      <c r="B8" s="1824">
        <f ca="1">SUM(I14:I23)</f>
        <v>3602.0032000000001</v>
      </c>
      <c r="C8" s="1824">
        <f t="shared" ca="1" si="0"/>
        <v>31754</v>
      </c>
      <c r="D8" s="1824" t="e">
        <f t="shared" ca="1" si="1"/>
        <v>#DIV/0!</v>
      </c>
      <c r="E8" s="1825"/>
      <c r="F8" s="1829"/>
      <c r="G8" s="1829"/>
    </row>
    <row r="9" spans="1:9" ht="15.6">
      <c r="A9" s="1824" t="s">
        <v>1230</v>
      </c>
      <c r="B9" s="1830"/>
      <c r="C9" s="1825"/>
      <c r="D9" s="1825"/>
      <c r="E9" s="1825"/>
      <c r="F9" s="1829"/>
      <c r="G9" s="1829"/>
    </row>
    <row r="10" spans="1:9" ht="15.6">
      <c r="A10" s="1824" t="s">
        <v>1231</v>
      </c>
      <c r="B10" s="1830"/>
      <c r="C10" s="1825"/>
      <c r="D10" s="1825"/>
      <c r="E10" s="1825"/>
      <c r="F10" s="1829"/>
      <c r="G10" s="1829"/>
    </row>
    <row r="11" spans="1:9" ht="15.6">
      <c r="A11" s="1824" t="s">
        <v>1247</v>
      </c>
      <c r="B11" s="1830"/>
      <c r="C11" s="1825"/>
      <c r="D11" s="1825"/>
      <c r="E11" s="1825"/>
      <c r="F11" s="1829"/>
      <c r="G11" s="1829"/>
    </row>
    <row r="12" spans="1:9" ht="15.6">
      <c r="A12" s="1825"/>
      <c r="B12" s="1825"/>
      <c r="C12" s="1825"/>
      <c r="D12" s="1825"/>
      <c r="E12" s="1825"/>
      <c r="F12" s="1829"/>
      <c r="G12" s="1829"/>
    </row>
    <row r="13" spans="1:9" ht="31.2">
      <c r="A13" s="1834" t="s">
        <v>1246</v>
      </c>
      <c r="B13" s="1828" t="s">
        <v>1219</v>
      </c>
      <c r="C13" s="1828" t="s">
        <v>1220</v>
      </c>
      <c r="D13" s="1828" t="s">
        <v>1232</v>
      </c>
      <c r="E13" s="1824" t="s">
        <v>1224</v>
      </c>
      <c r="F13" s="1824" t="s">
        <v>1225</v>
      </c>
      <c r="G13" s="1828" t="s">
        <v>1233</v>
      </c>
      <c r="H13" s="1828" t="s">
        <v>1234</v>
      </c>
      <c r="I13" s="1828" t="s">
        <v>1235</v>
      </c>
    </row>
    <row r="14" spans="1:9" ht="15.6">
      <c r="A14" s="1831" t="s">
        <v>1245</v>
      </c>
      <c r="B14" s="1828">
        <f>项目基本情况!C12</f>
        <v>1134.33</v>
      </c>
      <c r="C14" s="1828">
        <f>项目基本情况!C13</f>
        <v>0</v>
      </c>
      <c r="D14" s="1828">
        <f ca="1">IF('数据-取费表'!B3="万元",IF(A14="估价对象1（结果表）",'结果表（2901）'!H121,'结果表 (1修多)'!H124),IF(A14="估价对象1（结果表）",'结果表（2901）'!H121,'结果表 (1修多)'!H124)/10000)</f>
        <v>3924.6684</v>
      </c>
      <c r="E14" s="1828">
        <f ca="1">ROUND(D14*10000/B14,0)</f>
        <v>34599</v>
      </c>
      <c r="F14" s="1828" t="e">
        <f ca="1">ROUND(D14*10000/C14,0)</f>
        <v>#DIV/0!</v>
      </c>
      <c r="G14" s="1828">
        <f ca="1">IF('数据-取费表'!B3="万元",IF(A14="估价对象1（结果表）",'结果表（2901）'!D125,'结果表 (1修多)'!D128),IF(A14="估价对象1（结果表）",'结果表（2901）'!D125,'结果表 (1修多)'!D128)/10000)</f>
        <v>3924.6684</v>
      </c>
      <c r="H14" s="1828" t="s">
        <v>2912</v>
      </c>
      <c r="I14" s="1828">
        <f ca="1">典型户型修正!AC25/10000</f>
        <v>3602.0032000000001</v>
      </c>
    </row>
    <row r="15" spans="1:9" ht="15.6">
      <c r="A15" s="1826" t="s">
        <v>1236</v>
      </c>
      <c r="B15" s="1832"/>
      <c r="C15" s="1832"/>
      <c r="D15" s="1832"/>
      <c r="E15" s="1828" t="e">
        <f t="shared" ref="E15:E23" si="2">ROUND(D15*10000/B15,0)</f>
        <v>#DIV/0!</v>
      </c>
      <c r="F15" s="1828" t="e">
        <f t="shared" ref="F15:F23" si="3">ROUND(D15*10000/C15,0)</f>
        <v>#DIV/0!</v>
      </c>
      <c r="G15" s="1833"/>
      <c r="H15" s="1833"/>
      <c r="I15" s="1832"/>
    </row>
    <row r="16" spans="1:9" ht="15.6">
      <c r="A16" s="1826" t="s">
        <v>1237</v>
      </c>
      <c r="B16" s="1832"/>
      <c r="C16" s="1832"/>
      <c r="D16" s="1832"/>
      <c r="E16" s="1828" t="e">
        <f t="shared" si="2"/>
        <v>#DIV/0!</v>
      </c>
      <c r="F16" s="1828" t="e">
        <f t="shared" si="3"/>
        <v>#DIV/0!</v>
      </c>
      <c r="G16" s="1833"/>
      <c r="H16" s="1833"/>
      <c r="I16" s="1832"/>
    </row>
    <row r="17" spans="1:9" ht="15.6">
      <c r="A17" s="1826" t="s">
        <v>1238</v>
      </c>
      <c r="B17" s="1832"/>
      <c r="C17" s="1832"/>
      <c r="D17" s="1832"/>
      <c r="E17" s="1828" t="e">
        <f t="shared" si="2"/>
        <v>#DIV/0!</v>
      </c>
      <c r="F17" s="1828" t="e">
        <f t="shared" si="3"/>
        <v>#DIV/0!</v>
      </c>
      <c r="G17" s="1833"/>
      <c r="H17" s="1833"/>
      <c r="I17" s="1832"/>
    </row>
    <row r="18" spans="1:9" ht="15.6">
      <c r="A18" s="1826" t="s">
        <v>1239</v>
      </c>
      <c r="B18" s="1832"/>
      <c r="C18" s="1832"/>
      <c r="D18" s="1832"/>
      <c r="E18" s="1828" t="e">
        <f t="shared" si="2"/>
        <v>#DIV/0!</v>
      </c>
      <c r="F18" s="1828" t="e">
        <f t="shared" si="3"/>
        <v>#DIV/0!</v>
      </c>
      <c r="G18" s="1832"/>
      <c r="H18" s="1832"/>
      <c r="I18" s="1832"/>
    </row>
    <row r="19" spans="1:9" ht="15.6">
      <c r="A19" s="1826" t="s">
        <v>1240</v>
      </c>
      <c r="B19" s="1832"/>
      <c r="C19" s="1832"/>
      <c r="D19" s="1832"/>
      <c r="E19" s="1828" t="e">
        <f t="shared" si="2"/>
        <v>#DIV/0!</v>
      </c>
      <c r="F19" s="1828" t="e">
        <f t="shared" si="3"/>
        <v>#DIV/0!</v>
      </c>
      <c r="G19" s="1832"/>
      <c r="H19" s="1832"/>
      <c r="I19" s="1832"/>
    </row>
    <row r="20" spans="1:9" ht="15.6">
      <c r="A20" s="1826" t="s">
        <v>1241</v>
      </c>
      <c r="B20" s="1832"/>
      <c r="C20" s="1832"/>
      <c r="D20" s="1832"/>
      <c r="E20" s="1828" t="e">
        <f t="shared" si="2"/>
        <v>#DIV/0!</v>
      </c>
      <c r="F20" s="1828" t="e">
        <f t="shared" si="3"/>
        <v>#DIV/0!</v>
      </c>
      <c r="G20" s="1832"/>
      <c r="H20" s="1832"/>
      <c r="I20" s="1832"/>
    </row>
    <row r="21" spans="1:9" ht="15.6">
      <c r="A21" s="1826" t="s">
        <v>1242</v>
      </c>
      <c r="B21" s="1832"/>
      <c r="C21" s="1832"/>
      <c r="D21" s="1832"/>
      <c r="E21" s="1828" t="e">
        <f t="shared" si="2"/>
        <v>#DIV/0!</v>
      </c>
      <c r="F21" s="1828" t="e">
        <f t="shared" si="3"/>
        <v>#DIV/0!</v>
      </c>
      <c r="G21" s="1832"/>
      <c r="H21" s="1832"/>
      <c r="I21" s="1832"/>
    </row>
    <row r="22" spans="1:9" ht="15.6">
      <c r="A22" s="1826" t="s">
        <v>1243</v>
      </c>
      <c r="B22" s="1832"/>
      <c r="C22" s="1832"/>
      <c r="D22" s="1832"/>
      <c r="E22" s="1828" t="e">
        <f t="shared" si="2"/>
        <v>#DIV/0!</v>
      </c>
      <c r="F22" s="1828" t="e">
        <f t="shared" si="3"/>
        <v>#DIV/0!</v>
      </c>
      <c r="G22" s="1832"/>
      <c r="H22" s="1832"/>
      <c r="I22" s="1832"/>
    </row>
    <row r="23" spans="1:9" ht="15.6">
      <c r="A23" s="1826" t="s">
        <v>1244</v>
      </c>
      <c r="B23" s="1832"/>
      <c r="C23" s="1832"/>
      <c r="D23" s="1832"/>
      <c r="E23" s="1824" t="e">
        <f t="shared" si="2"/>
        <v>#DIV/0!</v>
      </c>
      <c r="F23" s="1824" t="e">
        <f t="shared" si="3"/>
        <v>#DIV/0!</v>
      </c>
      <c r="G23" s="1832"/>
      <c r="H23" s="1832"/>
      <c r="I23" s="1832"/>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0" zoomScaleNormal="100" zoomScaleSheetLayoutView="100" zoomScalePageLayoutView="80" workbookViewId="0">
      <selection activeCell="L113" sqref="L113"/>
    </sheetView>
  </sheetViews>
  <sheetFormatPr defaultColWidth="12.6640625" defaultRowHeight="21.75" customHeight="1"/>
  <cols>
    <col min="1" max="1" width="12.6640625" style="2188"/>
    <col min="2" max="2" width="17.6640625" style="2188" customWidth="1"/>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1958</v>
      </c>
      <c r="B1" s="2187"/>
      <c r="C1" s="2187"/>
      <c r="D1" s="2187"/>
      <c r="E1" s="2187"/>
      <c r="F1" s="2187"/>
      <c r="G1" s="2187"/>
      <c r="H1" s="2187"/>
      <c r="I1" s="2187"/>
    </row>
    <row r="2" spans="1:12" ht="21.75" customHeight="1">
      <c r="A2" s="2992" t="s">
        <v>1959</v>
      </c>
      <c r="B2" s="2992"/>
      <c r="C2" s="2992"/>
      <c r="D2" s="2992"/>
      <c r="E2" s="2992"/>
      <c r="F2" s="2992"/>
      <c r="G2" s="2992"/>
      <c r="H2" s="2992"/>
      <c r="I2" s="2992"/>
    </row>
    <row r="3" spans="1:12" ht="13.2">
      <c r="A3" s="2870" t="s">
        <v>1764</v>
      </c>
      <c r="B3" s="2871"/>
      <c r="C3" s="2871"/>
      <c r="D3" s="2871"/>
      <c r="E3" s="2871"/>
      <c r="F3" s="2871"/>
      <c r="G3" s="2871"/>
      <c r="H3" s="2871"/>
      <c r="I3" s="2871"/>
    </row>
    <row r="4" spans="1:12" ht="14.4">
      <c r="A4" s="2189" t="s">
        <v>1765</v>
      </c>
      <c r="B4" s="2190" t="s">
        <v>1766</v>
      </c>
      <c r="C4" s="2191" t="s">
        <v>2903</v>
      </c>
      <c r="D4" s="2191" t="s">
        <v>2903</v>
      </c>
      <c r="E4" s="2872" t="s">
        <v>1960</v>
      </c>
      <c r="F4" s="2873"/>
      <c r="G4" s="2873"/>
      <c r="H4" s="2873"/>
      <c r="I4" s="2874"/>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64" t="s">
        <v>1768</v>
      </c>
      <c r="B5" s="2865">
        <v>25</v>
      </c>
      <c r="C5" s="2866"/>
      <c r="D5" s="2868"/>
      <c r="E5" s="56" t="s">
        <v>1769</v>
      </c>
      <c r="F5" s="2192"/>
      <c r="G5" s="2192"/>
      <c r="H5" s="2192"/>
      <c r="I5" s="2193"/>
    </row>
    <row r="6" spans="1:12" ht="13.2">
      <c r="A6" s="2864"/>
      <c r="B6" s="2865"/>
      <c r="C6" s="2875"/>
      <c r="D6" s="2868"/>
      <c r="E6" s="56" t="s">
        <v>1770</v>
      </c>
      <c r="F6" s="2192"/>
      <c r="G6" s="2192"/>
      <c r="H6" s="2192"/>
      <c r="I6" s="2193"/>
    </row>
    <row r="7" spans="1:12" ht="13.2">
      <c r="A7" s="2864"/>
      <c r="B7" s="2865"/>
      <c r="C7" s="2867"/>
      <c r="D7" s="2868"/>
      <c r="E7" s="56" t="s">
        <v>1771</v>
      </c>
      <c r="F7" s="2192"/>
      <c r="G7" s="2192"/>
      <c r="H7" s="2192"/>
      <c r="I7" s="2193"/>
    </row>
    <row r="8" spans="1:12" ht="13.2">
      <c r="A8" s="2864" t="s">
        <v>1772</v>
      </c>
      <c r="B8" s="2865">
        <v>15</v>
      </c>
      <c r="C8" s="2866"/>
      <c r="D8" s="2868"/>
      <c r="E8" s="56" t="s">
        <v>1773</v>
      </c>
      <c r="F8" s="2192"/>
      <c r="G8" s="2192"/>
      <c r="H8" s="2192"/>
      <c r="I8" s="2193"/>
    </row>
    <row r="9" spans="1:12" ht="13.2">
      <c r="A9" s="2864"/>
      <c r="B9" s="2865"/>
      <c r="C9" s="2867"/>
      <c r="D9" s="2868"/>
      <c r="E9" s="56" t="s">
        <v>1774</v>
      </c>
      <c r="F9" s="2192"/>
      <c r="G9" s="2192"/>
      <c r="H9" s="2192"/>
      <c r="I9" s="2193"/>
    </row>
    <row r="10" spans="1:12" ht="13.2">
      <c r="A10" s="2864" t="s">
        <v>1775</v>
      </c>
      <c r="B10" s="2865">
        <v>15</v>
      </c>
      <c r="C10" s="2866"/>
      <c r="D10" s="2868"/>
      <c r="E10" s="56" t="s">
        <v>1776</v>
      </c>
      <c r="F10" s="2192"/>
      <c r="G10" s="2192"/>
      <c r="H10" s="2192"/>
      <c r="I10" s="2193"/>
    </row>
    <row r="11" spans="1:12" ht="13.2">
      <c r="A11" s="2864"/>
      <c r="B11" s="2865"/>
      <c r="C11" s="2867"/>
      <c r="D11" s="2868"/>
      <c r="E11" s="56" t="s">
        <v>1777</v>
      </c>
      <c r="F11" s="2192"/>
      <c r="G11" s="2192"/>
      <c r="H11" s="2192"/>
      <c r="I11" s="2193"/>
    </row>
    <row r="12" spans="1:12" ht="13.2">
      <c r="A12" s="2864" t="s">
        <v>1778</v>
      </c>
      <c r="B12" s="2865">
        <v>15</v>
      </c>
      <c r="C12" s="2866"/>
      <c r="D12" s="2868"/>
      <c r="E12" s="56" t="s">
        <v>1779</v>
      </c>
      <c r="F12" s="2192"/>
      <c r="G12" s="2192"/>
      <c r="H12" s="2192"/>
      <c r="I12" s="2193"/>
    </row>
    <row r="13" spans="1:12" ht="13.2">
      <c r="A13" s="2864"/>
      <c r="B13" s="2865"/>
      <c r="C13" s="2867"/>
      <c r="D13" s="2868"/>
      <c r="E13" s="56" t="s">
        <v>1780</v>
      </c>
      <c r="F13" s="2192"/>
      <c r="G13" s="2192"/>
      <c r="H13" s="2192"/>
      <c r="I13" s="2193"/>
    </row>
    <row r="14" spans="1:12" ht="13.2">
      <c r="A14" s="2864" t="s">
        <v>1781</v>
      </c>
      <c r="B14" s="2865">
        <v>30</v>
      </c>
      <c r="C14" s="2866">
        <v>1</v>
      </c>
      <c r="D14" s="2868"/>
      <c r="E14" s="56" t="s">
        <v>1782</v>
      </c>
      <c r="F14" s="2192"/>
      <c r="G14" s="2192"/>
      <c r="H14" s="2192"/>
      <c r="I14" s="2193"/>
    </row>
    <row r="15" spans="1:12" ht="13.2">
      <c r="A15" s="2864"/>
      <c r="B15" s="2865"/>
      <c r="C15" s="2875"/>
      <c r="D15" s="2868"/>
      <c r="E15" s="56" t="s">
        <v>1783</v>
      </c>
      <c r="F15" s="2192"/>
      <c r="G15" s="2192"/>
      <c r="H15" s="2192"/>
      <c r="I15" s="2193"/>
    </row>
    <row r="16" spans="1:12" ht="13.2">
      <c r="A16" s="2864"/>
      <c r="B16" s="2865"/>
      <c r="C16" s="2867"/>
      <c r="D16" s="2868"/>
      <c r="E16" s="56" t="s">
        <v>1784</v>
      </c>
      <c r="F16" s="2192"/>
      <c r="G16" s="2192"/>
      <c r="H16" s="2192"/>
      <c r="I16" s="2193"/>
    </row>
    <row r="17" spans="1:35" ht="14.4">
      <c r="A17" s="2194" t="s">
        <v>1785</v>
      </c>
      <c r="B17" s="2195"/>
      <c r="C17" s="57">
        <f>SUM(C5:C16)</f>
        <v>1</v>
      </c>
      <c r="D17" s="57">
        <f>SUM(D5:D16)</f>
        <v>0</v>
      </c>
      <c r="E17" s="2187"/>
      <c r="F17" s="2187"/>
      <c r="G17" s="2187"/>
      <c r="H17" s="2187"/>
      <c r="I17" s="2187"/>
    </row>
    <row r="18" spans="1:35" ht="15" thickBot="1">
      <c r="A18" s="2196" t="s">
        <v>1786</v>
      </c>
      <c r="B18" s="2197"/>
      <c r="C18" s="58">
        <f>ROUND(C17/SUM(C17:D17),2)</f>
        <v>1</v>
      </c>
      <c r="D18" s="58">
        <f>1-C18</f>
        <v>0</v>
      </c>
      <c r="E18" s="2187"/>
      <c r="F18" s="2187"/>
      <c r="G18" s="2187"/>
      <c r="H18" s="2187"/>
      <c r="I18" s="2187"/>
    </row>
    <row r="19" spans="1:35" ht="14.4">
      <c r="A19" s="2198" t="s">
        <v>1787</v>
      </c>
      <c r="B19" s="2199" t="s">
        <v>1788</v>
      </c>
      <c r="C19" s="59">
        <f ca="1">SUMIF(INDIRECT("'"&amp;C4&amp;"'"&amp;"!A:A"),'结果表 (1修多)'!B19,INDIRECT("'"&amp;C4&amp;"'"&amp;"!B:B"))</f>
        <v>39246684</v>
      </c>
      <c r="D19" s="60">
        <f ca="1">SUMIF(INDIRECT("'"&amp;D4&amp;"'"&amp;"!A:A"),'结果表 (1修多)'!B19,INDIRECT("'"&amp;D4&amp;"'"&amp;"!B:B"))</f>
        <v>39246684</v>
      </c>
      <c r="E19" s="2198" t="s">
        <v>1789</v>
      </c>
      <c r="F19" s="2199" t="s">
        <v>1788</v>
      </c>
      <c r="G19" s="61">
        <f ca="1">ROUND(C19*$C$18+D19*$D$18,0)</f>
        <v>39246684</v>
      </c>
      <c r="H19" s="2200" t="str">
        <f>'数据-取费表'!B3</f>
        <v>元</v>
      </c>
      <c r="I19" s="2187"/>
    </row>
    <row r="20" spans="1:35" ht="14.4">
      <c r="A20" s="2201"/>
      <c r="B20" s="2202" t="s">
        <v>1790</v>
      </c>
      <c r="C20" s="62">
        <f ca="1">SUMIF(INDIRECT("'"&amp;C4&amp;"'"&amp;"!A:A"),'结果表 (1修多)'!B20,INDIRECT("'"&amp;C4&amp;"'"&amp;"!B:B"))</f>
        <v>34599</v>
      </c>
      <c r="D20" s="63">
        <f ca="1">SUMIF(INDIRECT("'"&amp;D4&amp;"'"&amp;"!A:A"),'结果表 (1修多)'!B20,INDIRECT("'"&amp;D4&amp;"'"&amp;"!B:B"))</f>
        <v>34599</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8" thickBot="1">
      <c r="A23" s="2187"/>
      <c r="B23" s="2187"/>
      <c r="C23" s="2187"/>
      <c r="D23" s="2187"/>
      <c r="E23" s="2187"/>
      <c r="F23" s="2187"/>
      <c r="G23" s="2187"/>
      <c r="H23" s="2187"/>
      <c r="I23" s="2187"/>
    </row>
    <row r="24" spans="1:35" ht="21.75" customHeight="1">
      <c r="A24" s="2876" t="s">
        <v>1793</v>
      </c>
      <c r="B24" s="2199" t="s">
        <v>1788</v>
      </c>
      <c r="C24" s="61">
        <f>D30</f>
        <v>0</v>
      </c>
      <c r="D24" s="989"/>
      <c r="E24" s="2187"/>
      <c r="F24" s="2187"/>
      <c r="G24" s="2187"/>
      <c r="H24" s="2187"/>
      <c r="I24" s="2187"/>
    </row>
    <row r="25" spans="1:35" ht="21.75" customHeight="1">
      <c r="A25" s="2877"/>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4">
      <c r="A27" s="2212" t="s">
        <v>1961</v>
      </c>
      <c r="B27" s="67">
        <v>0</v>
      </c>
      <c r="C27" s="67">
        <v>0</v>
      </c>
      <c r="D27" s="68">
        <f>ROUND(C27*B27/10000,0)</f>
        <v>0</v>
      </c>
      <c r="E27" s="2187"/>
      <c r="F27" s="2187"/>
      <c r="G27" s="2187"/>
      <c r="H27" s="2187"/>
      <c r="I27" s="2187"/>
    </row>
    <row r="28" spans="1:35" ht="13.8">
      <c r="A28" s="2211"/>
      <c r="B28" s="67"/>
      <c r="C28" s="67"/>
      <c r="D28" s="68">
        <f>ROUND(C28*B28/10000,0)</f>
        <v>0</v>
      </c>
      <c r="E28" s="2187"/>
      <c r="F28" s="2187"/>
      <c r="G28" s="2187"/>
      <c r="H28" s="2187"/>
      <c r="I28" s="2187"/>
    </row>
    <row r="29" spans="1:35" ht="13.8">
      <c r="A29" s="2211"/>
      <c r="B29" s="67"/>
      <c r="C29" s="67"/>
      <c r="D29" s="68">
        <f t="shared" ref="D29" si="0">ROUND(C29*B29/10000,0)</f>
        <v>0</v>
      </c>
      <c r="E29" s="2187"/>
      <c r="F29" s="2187"/>
      <c r="G29" s="2187"/>
      <c r="H29" s="2187"/>
      <c r="I29" s="2187"/>
    </row>
    <row r="30" spans="1:35" ht="15" thickBot="1">
      <c r="A30" s="2696" t="s">
        <v>1962</v>
      </c>
      <c r="B30" s="2697"/>
      <c r="C30" s="2697"/>
      <c r="D30" s="2697"/>
      <c r="E30" s="2695" t="s">
        <v>2796</v>
      </c>
      <c r="F30" s="2187"/>
      <c r="G30" s="2187"/>
      <c r="H30" s="2187"/>
      <c r="I30" s="2187"/>
    </row>
    <row r="31" spans="1:35" s="2214" customFormat="1" ht="15" thickBot="1">
      <c r="A31" s="3002" t="s">
        <v>1963</v>
      </c>
      <c r="B31" s="3002"/>
      <c r="C31" s="3002"/>
      <c r="D31" s="3002"/>
      <c r="E31" s="3002"/>
      <c r="F31" s="3002"/>
      <c r="G31" s="3002"/>
      <c r="H31" s="3002"/>
      <c r="I31" s="3002"/>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4.4">
      <c r="A32" s="2312"/>
      <c r="B32" s="2313" t="s">
        <v>1964</v>
      </c>
      <c r="C32" s="1303">
        <f ca="1">典型户型修正!R27</f>
        <v>34599</v>
      </c>
      <c r="D32" s="2187" t="s">
        <v>1965</v>
      </c>
      <c r="E32" s="2187"/>
      <c r="F32" s="2187"/>
      <c r="G32" s="2187"/>
      <c r="H32" s="2187"/>
      <c r="I32" s="2187"/>
    </row>
    <row r="33" spans="1:16" ht="14.4">
      <c r="A33" s="2314" t="s">
        <v>1966</v>
      </c>
      <c r="B33" s="2315" t="s">
        <v>1967</v>
      </c>
      <c r="C33" s="1304">
        <f ca="1">典型户型修正!B2</f>
        <v>39246684</v>
      </c>
      <c r="D33" s="2316" t="str">
        <f>IF('数据-取费表'!B3="万元","万元","元")</f>
        <v>元</v>
      </c>
      <c r="E33" s="2187"/>
      <c r="F33" s="2187"/>
      <c r="G33" s="2187"/>
      <c r="H33" s="2187"/>
      <c r="I33" s="2187"/>
    </row>
    <row r="34" spans="1:16" ht="15" thickBot="1">
      <c r="A34" s="2317"/>
      <c r="B34" s="2318" t="s">
        <v>1968</v>
      </c>
      <c r="C34" s="770">
        <f ca="1">典型户型修正!B3</f>
        <v>34599</v>
      </c>
      <c r="D34" s="2187" t="s">
        <v>1969</v>
      </c>
      <c r="E34" s="2187"/>
      <c r="F34" s="2187"/>
      <c r="G34" s="2187"/>
      <c r="H34" s="2187"/>
      <c r="I34" s="2187"/>
    </row>
    <row r="35" spans="1:16" ht="14.4">
      <c r="A35" s="2319"/>
      <c r="B35" s="2320" t="s">
        <v>1970</v>
      </c>
      <c r="C35" s="1311">
        <f>IF('数据-取费表'!B3="万元",典型户型修正!V25,典型户型修正!U25)</f>
        <v>0</v>
      </c>
      <c r="D35" s="2187" t="str">
        <f>D33</f>
        <v>元</v>
      </c>
      <c r="E35" s="2187"/>
      <c r="F35" s="2187"/>
      <c r="G35" s="2187"/>
      <c r="H35" s="2187"/>
      <c r="I35" s="2187"/>
    </row>
    <row r="36" spans="1:16" ht="15" thickBot="1">
      <c r="A36" s="2226"/>
      <c r="B36" s="2321" t="s">
        <v>1971</v>
      </c>
      <c r="C36" s="1312">
        <f>IF('数据-取费表'!B3="万元",典型户型修正!Y25,典型户型修正!X25)</f>
        <v>0</v>
      </c>
      <c r="D36" s="2187" t="str">
        <f>D33</f>
        <v>元</v>
      </c>
      <c r="E36" s="2187"/>
      <c r="F36" s="2187"/>
      <c r="G36" s="2187"/>
      <c r="H36" s="2187"/>
      <c r="I36" s="2187"/>
    </row>
    <row r="37" spans="1:16" ht="15" thickBot="1">
      <c r="A37" s="2878" t="s">
        <v>1972</v>
      </c>
      <c r="B37" s="2229" t="s">
        <v>1973</v>
      </c>
      <c r="C37" s="69"/>
      <c r="D37" s="2230"/>
      <c r="E37" s="2231"/>
      <c r="F37" s="2231"/>
      <c r="G37" s="2187"/>
      <c r="H37" s="2187"/>
      <c r="I37" s="2187"/>
    </row>
    <row r="38" spans="1:16" ht="15" thickBot="1">
      <c r="A38" s="2879"/>
      <c r="B38" s="2232" t="s">
        <v>1974</v>
      </c>
      <c r="C38" s="71"/>
      <c r="D38" s="2197"/>
      <c r="E38" s="2197"/>
      <c r="F38" s="2231"/>
      <c r="G38" s="2197"/>
      <c r="H38" s="2197"/>
      <c r="I38" s="2197"/>
    </row>
    <row r="39" spans="1:16" ht="15" thickBot="1">
      <c r="A39" s="2880"/>
      <c r="B39" s="2233" t="s">
        <v>1975</v>
      </c>
      <c r="C39" s="711"/>
      <c r="D39" s="2234" t="s">
        <v>1976</v>
      </c>
      <c r="E39" s="2197"/>
      <c r="F39" s="2231"/>
      <c r="G39" s="2197"/>
      <c r="H39" s="2197"/>
      <c r="I39" s="2197"/>
    </row>
    <row r="40" spans="1:16" ht="14.4">
      <c r="A40" s="2201" t="s">
        <v>1977</v>
      </c>
      <c r="B40" s="2235" t="s">
        <v>1978</v>
      </c>
      <c r="C40" s="2236" t="s">
        <v>1979</v>
      </c>
      <c r="D40" s="2236" t="s">
        <v>1980</v>
      </c>
      <c r="E40" s="2237" t="s">
        <v>1981</v>
      </c>
      <c r="F40" s="2231"/>
      <c r="G40" s="2197"/>
      <c r="H40" s="2197"/>
      <c r="I40" s="2197"/>
    </row>
    <row r="41" spans="1:16" ht="13.8">
      <c r="A41" s="2238" t="s">
        <v>1982</v>
      </c>
      <c r="B41" s="74"/>
      <c r="C41" s="75"/>
      <c r="D41" s="75"/>
      <c r="E41" s="76"/>
      <c r="F41" s="2231"/>
      <c r="G41" s="2197"/>
      <c r="H41" s="2197"/>
      <c r="I41" s="2197"/>
    </row>
    <row r="42" spans="1:16" ht="13.8">
      <c r="A42" s="2238" t="s">
        <v>1983</v>
      </c>
      <c r="B42" s="74"/>
      <c r="C42" s="75"/>
      <c r="D42" s="75"/>
      <c r="E42" s="76"/>
      <c r="F42" s="2231"/>
      <c r="G42" s="2197"/>
      <c r="H42" s="2197"/>
      <c r="I42" s="2197"/>
    </row>
    <row r="43" spans="1:16" ht="14.4" thickBot="1">
      <c r="A43" s="2239"/>
      <c r="B43" s="77"/>
      <c r="C43" s="78"/>
      <c r="D43" s="78"/>
      <c r="E43" s="79"/>
      <c r="F43" s="2231"/>
      <c r="G43" s="2197"/>
      <c r="H43" s="2197"/>
      <c r="I43" s="2197"/>
    </row>
    <row r="44" spans="1:16" ht="13.2">
      <c r="A44" s="2240"/>
      <c r="B44" s="2240"/>
      <c r="C44" s="2240"/>
      <c r="D44" s="2240"/>
      <c r="E44" s="2240"/>
      <c r="F44" s="2241"/>
      <c r="G44" s="2241"/>
      <c r="H44" s="2241"/>
      <c r="I44" s="2242"/>
    </row>
    <row r="45" spans="1:16" ht="17.399999999999999">
      <c r="A45" s="2243" t="s">
        <v>1984</v>
      </c>
      <c r="B45" s="2244"/>
      <c r="C45" s="2244"/>
      <c r="D45" s="2245"/>
      <c r="E45" s="2245"/>
      <c r="F45" s="2246"/>
      <c r="G45" s="2246"/>
      <c r="H45" s="2246"/>
      <c r="I45" s="2246"/>
      <c r="J45" s="2247" t="s">
        <v>1816</v>
      </c>
      <c r="K45" s="2248"/>
      <c r="L45" s="2248"/>
      <c r="M45" s="2248"/>
      <c r="N45" s="2248"/>
      <c r="O45" s="2248"/>
      <c r="P45" s="1839"/>
    </row>
    <row r="46" spans="1:16" ht="14.25" hidden="1" customHeight="1" thickBot="1">
      <c r="A46" s="2881" t="s">
        <v>1985</v>
      </c>
      <c r="B46" s="2882"/>
      <c r="C46" s="2883"/>
      <c r="D46" s="80">
        <f ca="1">ROUND(I103*F46,0)</f>
        <v>39246684</v>
      </c>
      <c r="E46" s="81" t="s">
        <v>1986</v>
      </c>
      <c r="F46" s="82">
        <v>1</v>
      </c>
      <c r="G46" s="83" t="s">
        <v>1987</v>
      </c>
      <c r="H46" s="2187"/>
      <c r="I46" s="2187"/>
      <c r="J46" s="2884" t="s">
        <v>1820</v>
      </c>
      <c r="K46" s="2884"/>
      <c r="L46" s="2884"/>
      <c r="M46" s="2884"/>
      <c r="N46" s="2884"/>
      <c r="O46" s="2884"/>
      <c r="P46" s="1839"/>
    </row>
    <row r="47" spans="1:16" ht="14.25" hidden="1" customHeight="1">
      <c r="A47" s="2885" t="s">
        <v>1821</v>
      </c>
      <c r="B47" s="2886"/>
      <c r="C47" s="2886"/>
      <c r="D47" s="2886"/>
      <c r="E47" s="2886"/>
      <c r="F47" s="2886"/>
      <c r="G47" s="2887"/>
      <c r="H47" s="2249"/>
      <c r="I47" s="1139"/>
      <c r="J47" s="1876">
        <v>1</v>
      </c>
      <c r="K47" s="2884" t="s">
        <v>1822</v>
      </c>
      <c r="L47" s="2884"/>
      <c r="M47" s="2991"/>
      <c r="N47" s="2991"/>
      <c r="O47" s="2991"/>
      <c r="P47" s="1839"/>
    </row>
    <row r="48" spans="1:16" ht="12" hidden="1" customHeight="1">
      <c r="A48" s="85" t="s">
        <v>1823</v>
      </c>
      <c r="B48" s="86"/>
      <c r="C48" s="87"/>
      <c r="D48" s="88" t="s">
        <v>1824</v>
      </c>
      <c r="E48" s="14" t="s">
        <v>1825</v>
      </c>
      <c r="F48" s="89" t="s">
        <v>1826</v>
      </c>
      <c r="G48" s="90" t="s">
        <v>1827</v>
      </c>
      <c r="H48" s="2249"/>
      <c r="I48" s="1139"/>
      <c r="J48" s="1876">
        <v>2</v>
      </c>
      <c r="K48" s="2884" t="s">
        <v>1828</v>
      </c>
      <c r="L48" s="2884"/>
      <c r="M48" s="2892">
        <f>'数据-取费表'!B2</f>
        <v>43924</v>
      </c>
      <c r="N48" s="2892"/>
      <c r="O48" s="2892"/>
      <c r="P48" s="1839"/>
    </row>
    <row r="49" spans="1:16" ht="26.4" hidden="1">
      <c r="A49" s="2893" t="s">
        <v>1829</v>
      </c>
      <c r="B49" s="2894"/>
      <c r="C49" s="2894"/>
      <c r="D49" s="56">
        <f ca="1">IF(H49="情况1",0,IF(H49="情况2",D53,IF(H49="情况3",D54,IF(H49="情况4",D55))))</f>
        <v>2093156</v>
      </c>
      <c r="E49" s="1886" t="str">
        <f>IF(H49="情况4","(销售额-原购置价)×税（费）率","销售额×税（费）率")</f>
        <v>销售额×税（费）率</v>
      </c>
      <c r="F49" s="91">
        <f>IF(H49="情况1","免征",'数据-取费表'!E29)</f>
        <v>5.6000000000000001E-2</v>
      </c>
      <c r="G49" s="2250" t="s">
        <v>1830</v>
      </c>
      <c r="H49" s="2251" t="s">
        <v>1831</v>
      </c>
      <c r="I49" s="2249"/>
      <c r="J49" s="1876">
        <v>3</v>
      </c>
      <c r="K49" s="2884" t="s">
        <v>1832</v>
      </c>
      <c r="L49" s="2884"/>
      <c r="M49" s="2888">
        <f ca="1">I103</f>
        <v>39246684</v>
      </c>
      <c r="N49" s="2888"/>
      <c r="O49" s="2888"/>
      <c r="P49" s="1839"/>
    </row>
    <row r="50" spans="1:16" ht="25.5" hidden="1" customHeight="1">
      <c r="A50" s="92" t="s">
        <v>1833</v>
      </c>
      <c r="B50" s="2889" t="s">
        <v>1834</v>
      </c>
      <c r="C50" s="2889"/>
      <c r="D50" s="93">
        <v>0</v>
      </c>
      <c r="E50" s="13" t="s">
        <v>1835</v>
      </c>
      <c r="F50" s="18" t="s">
        <v>48</v>
      </c>
      <c r="G50" s="2895"/>
      <c r="H50" s="2187"/>
      <c r="I50" s="2252"/>
      <c r="J50" s="1876">
        <v>4</v>
      </c>
      <c r="K50" s="2884" t="str">
        <f>IF(项目基本情况!F5="房地产抵押价值","房地产抵押价值","抵押担保权已注销时的房地产抵押价值")</f>
        <v>房地产抵押价值</v>
      </c>
      <c r="L50" s="2884"/>
      <c r="M50" s="2888">
        <f ca="1">IF(项目基本情况!F5="房地产抵押价值",I111,I113)</f>
        <v>39246684</v>
      </c>
      <c r="N50" s="2888"/>
      <c r="O50" s="2888"/>
      <c r="P50" s="1839"/>
    </row>
    <row r="51" spans="1:16" ht="25.5" hidden="1" customHeight="1">
      <c r="A51" s="94"/>
      <c r="B51" s="2889" t="s">
        <v>1836</v>
      </c>
      <c r="C51" s="2889"/>
      <c r="D51" s="95"/>
      <c r="E51" s="21"/>
      <c r="F51" s="96"/>
      <c r="G51" s="2896"/>
      <c r="H51" s="2187"/>
      <c r="I51" s="2252"/>
      <c r="J51" s="2884" t="s">
        <v>1837</v>
      </c>
      <c r="K51" s="2884"/>
      <c r="L51" s="2884"/>
      <c r="M51" s="2884"/>
      <c r="N51" s="2884"/>
      <c r="O51" s="2884"/>
      <c r="P51" s="1839"/>
    </row>
    <row r="52" spans="1:16" ht="12" hidden="1" customHeight="1">
      <c r="A52" s="97"/>
      <c r="B52" s="2889" t="s">
        <v>1838</v>
      </c>
      <c r="C52" s="2889"/>
      <c r="D52" s="98"/>
      <c r="E52" s="20"/>
      <c r="F52" s="96"/>
      <c r="G52" s="2897"/>
      <c r="H52" s="2187"/>
      <c r="I52" s="2252"/>
      <c r="J52" s="2253" t="s">
        <v>1839</v>
      </c>
      <c r="K52" s="2884" t="s">
        <v>1840</v>
      </c>
      <c r="L52" s="2884"/>
      <c r="M52" s="2253" t="s">
        <v>1841</v>
      </c>
      <c r="N52" s="2253" t="s">
        <v>1842</v>
      </c>
      <c r="O52" s="2253" t="s">
        <v>1843</v>
      </c>
      <c r="P52" s="1839"/>
    </row>
    <row r="53" spans="1:16" ht="24" hidden="1" customHeight="1">
      <c r="A53" s="99" t="s">
        <v>1844</v>
      </c>
      <c r="B53" s="2889" t="s">
        <v>1845</v>
      </c>
      <c r="C53" s="2889"/>
      <c r="D53" s="98">
        <f ca="1">ROUND(D46*'数据-取费表'!E29/(1+'数据-取费表'!F30),0)</f>
        <v>2093156</v>
      </c>
      <c r="E53" s="10" t="s">
        <v>1846</v>
      </c>
      <c r="F53" s="100">
        <f>'数据-取费表'!E29</f>
        <v>5.6000000000000001E-2</v>
      </c>
      <c r="G53" s="2254"/>
      <c r="H53" s="2187"/>
      <c r="I53" s="2252"/>
      <c r="J53" s="1876">
        <v>1</v>
      </c>
      <c r="K53" s="2890" t="s">
        <v>1847</v>
      </c>
      <c r="L53" s="2890"/>
      <c r="M53" s="777">
        <f ca="1">D49</f>
        <v>2093156</v>
      </c>
      <c r="N53" s="1876" t="str">
        <f>E49</f>
        <v>销售额×税（费）率</v>
      </c>
      <c r="O53" s="778">
        <f>F49</f>
        <v>5.6000000000000001E-2</v>
      </c>
      <c r="P53" s="1839"/>
    </row>
    <row r="54" spans="1:16" ht="12" hidden="1" customHeight="1">
      <c r="A54" s="99" t="s">
        <v>1848</v>
      </c>
      <c r="B54" s="2891" t="s">
        <v>1849</v>
      </c>
      <c r="C54" s="2836"/>
      <c r="D54" s="98">
        <f ca="1">ROUND(D46*'数据-取费表'!E29/(1+'数据-取费表'!F30),0)</f>
        <v>2093156</v>
      </c>
      <c r="E54" s="10" t="s">
        <v>1846</v>
      </c>
      <c r="F54" s="100">
        <f>'数据-取费表'!E29</f>
        <v>5.6000000000000001E-2</v>
      </c>
      <c r="G54" s="2254"/>
      <c r="H54" s="2187"/>
      <c r="I54" s="2252"/>
      <c r="J54" s="1876">
        <v>2</v>
      </c>
      <c r="K54" s="2890" t="s">
        <v>1850</v>
      </c>
      <c r="L54" s="2890"/>
      <c r="M54" s="777">
        <f t="shared" ref="M54:O55" ca="1" si="1">D56</f>
        <v>19623</v>
      </c>
      <c r="N54" s="1876" t="str">
        <f t="shared" si="1"/>
        <v>销售额×税（费）率</v>
      </c>
      <c r="O54" s="778">
        <f t="shared" si="1"/>
        <v>5.0000000000000001E-4</v>
      </c>
      <c r="P54" s="1839"/>
    </row>
    <row r="55" spans="1:16" ht="12" hidden="1" customHeight="1">
      <c r="A55" s="99" t="s">
        <v>1851</v>
      </c>
      <c r="B55" s="2891" t="s">
        <v>1852</v>
      </c>
      <c r="C55" s="2836"/>
      <c r="D55" s="98">
        <f ca="1">C69</f>
        <v>2093156</v>
      </c>
      <c r="E55" s="20" t="s">
        <v>1853</v>
      </c>
      <c r="F55" s="100">
        <f>'数据-取费表'!E29</f>
        <v>5.6000000000000001E-2</v>
      </c>
      <c r="G55" s="2254"/>
      <c r="H55" s="2255"/>
      <c r="I55" s="2252"/>
      <c r="J55" s="1876">
        <v>3</v>
      </c>
      <c r="K55" s="2890" t="s">
        <v>1854</v>
      </c>
      <c r="L55" s="2890"/>
      <c r="M55" s="777">
        <f t="shared" ca="1" si="1"/>
        <v>22213623</v>
      </c>
      <c r="N55" s="1876" t="str">
        <f t="shared" si="1"/>
        <v>增值额×税（费）率</v>
      </c>
      <c r="O55" s="779" t="str">
        <f t="shared" si="1"/>
        <v>——</v>
      </c>
      <c r="P55" s="1839"/>
    </row>
    <row r="56" spans="1:16" ht="24" hidden="1" customHeight="1">
      <c r="A56" s="2828" t="s">
        <v>1855</v>
      </c>
      <c r="B56" s="2894"/>
      <c r="C56" s="2894"/>
      <c r="D56" s="101">
        <f ca="1">IF(H56="个人住宅",0,ROUND(D46*I56,0))</f>
        <v>19623</v>
      </c>
      <c r="E56" s="10" t="s">
        <v>1856</v>
      </c>
      <c r="F56" s="100">
        <f>IF(H56="正常",I56,"免征")</f>
        <v>5.0000000000000001E-4</v>
      </c>
      <c r="G56" s="2254"/>
      <c r="H56" s="2251" t="s">
        <v>1857</v>
      </c>
      <c r="I56" s="102">
        <f>'数据-取费表'!E37</f>
        <v>5.0000000000000001E-4</v>
      </c>
      <c r="J56" s="1876" t="str">
        <f>IF(H60="非个人房产","",4)</f>
        <v/>
      </c>
      <c r="K56" s="2890" t="str">
        <f>IF(H60="非个人房产","——","个人所得税")</f>
        <v>——</v>
      </c>
      <c r="L56" s="2890"/>
      <c r="M56" s="780" t="str">
        <f>D60</f>
        <v>——</v>
      </c>
      <c r="N56" s="1879" t="str">
        <f>E60</f>
        <v>——</v>
      </c>
      <c r="O56" s="781" t="str">
        <f>F60</f>
        <v>——</v>
      </c>
      <c r="P56" s="1839"/>
    </row>
    <row r="57" spans="1:16" ht="25.2" hidden="1">
      <c r="A57" s="2828" t="s">
        <v>1858</v>
      </c>
      <c r="B57" s="2894"/>
      <c r="C57" s="2894"/>
      <c r="D57" s="101">
        <f ca="1">IF(H57="个人住宅",D58,D59)</f>
        <v>22213623</v>
      </c>
      <c r="E57" s="10" t="s">
        <v>1859</v>
      </c>
      <c r="F57" s="100" t="str">
        <f>IF(H57="正常",F59,"免征")</f>
        <v>——</v>
      </c>
      <c r="G57" s="2256" t="s">
        <v>1860</v>
      </c>
      <c r="H57" s="2257" t="s">
        <v>1857</v>
      </c>
      <c r="I57" s="1017"/>
      <c r="J57" s="1876" t="str">
        <f>IF(项目基本情况!I6="上海银行",IF(J56="",4,J56+1),"")</f>
        <v/>
      </c>
      <c r="K57" s="2902" t="str">
        <f>IF(项目基本情况!I6="上海银行","其他处置费用","")</f>
        <v/>
      </c>
      <c r="L57" s="2903"/>
      <c r="M57" s="777" t="str">
        <f>IF(项目基本情况!I6="上海银行",M70,"")</f>
        <v/>
      </c>
      <c r="N57" s="2898" t="str">
        <f>IF(项目基本情况!I6="上海银行","包含处置中涉及的律师、诉讼、拍卖、评估等费用","")</f>
        <v/>
      </c>
      <c r="O57" s="2899"/>
      <c r="P57" s="1839"/>
    </row>
    <row r="58" spans="1:16" ht="13.2" hidden="1">
      <c r="A58" s="99" t="s">
        <v>1833</v>
      </c>
      <c r="B58" s="2872" t="s">
        <v>1861</v>
      </c>
      <c r="C58" s="2874"/>
      <c r="D58" s="103">
        <v>0</v>
      </c>
      <c r="E58" s="13" t="s">
        <v>1835</v>
      </c>
      <c r="F58" s="70"/>
      <c r="G58" s="2254"/>
      <c r="H58" s="1017"/>
      <c r="I58" s="1017"/>
      <c r="J58" s="2890">
        <f>IF(AND(J56="",J57=""),4,IF(项目基本情况!I6="上海银行",J57+1,J56+1))</f>
        <v>4</v>
      </c>
      <c r="K58" s="2890" t="s">
        <v>1862</v>
      </c>
      <c r="L58" s="2258" t="s">
        <v>1863</v>
      </c>
      <c r="M58" s="782"/>
      <c r="N58" s="783">
        <f ca="1">SUMIF(M53:M57,"&lt;9e307")</f>
        <v>24326402</v>
      </c>
      <c r="O58" s="2259"/>
      <c r="P58" s="1835">
        <f ca="1">N58/M50</f>
        <v>0.61983330871978892</v>
      </c>
    </row>
    <row r="59" spans="1:16" ht="25.2" hidden="1">
      <c r="A59" s="99" t="s">
        <v>1844</v>
      </c>
      <c r="B59" s="2872" t="s">
        <v>1864</v>
      </c>
      <c r="C59" s="2873"/>
      <c r="D59" s="101">
        <f ca="1">IF(H59="转让取得",C82,C98)</f>
        <v>22213623</v>
      </c>
      <c r="E59" s="10" t="s">
        <v>1859</v>
      </c>
      <c r="F59" s="14" t="s">
        <v>48</v>
      </c>
      <c r="G59" s="2254"/>
      <c r="H59" s="2257" t="s">
        <v>1865</v>
      </c>
      <c r="I59" s="1017"/>
      <c r="J59" s="2890"/>
      <c r="K59" s="2890"/>
      <c r="L59" s="2258" t="s">
        <v>1866</v>
      </c>
      <c r="M59" s="784"/>
      <c r="N59" s="2260" t="str">
        <f ca="1">IF(H19="元",NUMBERSTRING(INT(N58),2)&amp;"元整",NUMBERSTRING(INT(N58*10000),2)&amp;"元整")</f>
        <v>贰仟肆佰叁拾贰万陆仟肆佰零贰元整</v>
      </c>
      <c r="O59" s="2261"/>
      <c r="P59" s="1839"/>
    </row>
    <row r="60" spans="1:16" ht="24.6" hidden="1" thickBot="1">
      <c r="A60" s="2829" t="s">
        <v>1867</v>
      </c>
      <c r="B60" s="2832"/>
      <c r="C60" s="2832"/>
      <c r="D60" s="104" t="str">
        <f>IF(H60="非个人房产","——",IF(H60="个人住宅",0,ROUND(D46*I60,0)))</f>
        <v>——</v>
      </c>
      <c r="E60" s="105" t="str">
        <f>IF(H60="非个人房产","——","销售额×税（费）率")</f>
        <v>——</v>
      </c>
      <c r="F60" s="106" t="str">
        <f>IF(H60="非个人房产","——",IF(H60="个人住宅","免征",I60))</f>
        <v>——</v>
      </c>
      <c r="G60" s="2262" t="s">
        <v>1860</v>
      </c>
      <c r="H60" s="2257" t="s">
        <v>1988</v>
      </c>
      <c r="I60" s="107">
        <v>0.01</v>
      </c>
      <c r="J60" s="2900">
        <f>J58+1</f>
        <v>5</v>
      </c>
      <c r="K60" s="2890" t="s">
        <v>1868</v>
      </c>
      <c r="L60" s="1876" t="s">
        <v>1863</v>
      </c>
      <c r="M60" s="785"/>
      <c r="N60" s="786">
        <f ca="1">M50-N58</f>
        <v>14920282</v>
      </c>
      <c r="O60" s="2263"/>
      <c r="P60" s="1839"/>
    </row>
    <row r="61" spans="1:16" ht="12" hidden="1" customHeight="1">
      <c r="A61" s="2058"/>
      <c r="B61" s="2187"/>
      <c r="C61" s="2187"/>
      <c r="D61" s="2187"/>
      <c r="E61" s="1017"/>
      <c r="F61" s="1017"/>
      <c r="G61" s="1017"/>
      <c r="H61" s="2240"/>
      <c r="I61" s="2187"/>
      <c r="J61" s="2901"/>
      <c r="K61" s="2890"/>
      <c r="L61" s="2258" t="s">
        <v>1866</v>
      </c>
      <c r="M61" s="784"/>
      <c r="N61" s="2260" t="str">
        <f ca="1">IF(H19="元",NUMBERSTRING(INT(N60),2)&amp;"元整",NUMBERSTRING(INT(N60*10000),2)&amp;"元整")</f>
        <v>壹仟肆佰玖拾贰万零贰佰捌拾贰元整</v>
      </c>
      <c r="O61" s="2261"/>
      <c r="P61" s="1839"/>
    </row>
    <row r="62" spans="1:16" ht="13.8" hidden="1" thickBot="1">
      <c r="A62" s="2912" t="s">
        <v>1869</v>
      </c>
      <c r="B62" s="2912"/>
      <c r="C62" s="2912"/>
      <c r="D62" s="2912"/>
      <c r="E62" s="2912"/>
      <c r="F62" s="1017"/>
      <c r="G62" s="1017"/>
      <c r="H62" s="2240"/>
      <c r="I62" s="2187"/>
      <c r="J62" s="1876">
        <f>J60+1</f>
        <v>6</v>
      </c>
      <c r="K62" s="2890" t="s">
        <v>1870</v>
      </c>
      <c r="L62" s="2890"/>
      <c r="M62" s="787"/>
      <c r="N62" s="788">
        <f ca="1">IF(H19="元",ROUND(N60/项目基本情况!C12,0),ROUND(N60*10000/项目基本情况!C12,0))</f>
        <v>13153</v>
      </c>
      <c r="O62" s="2264"/>
      <c r="P62" s="1839"/>
    </row>
    <row r="63" spans="1:16" ht="13.2" hidden="1">
      <c r="A63" s="2910" t="s">
        <v>1871</v>
      </c>
      <c r="B63" s="2911"/>
      <c r="C63" s="1878"/>
      <c r="D63" s="1878" t="s">
        <v>1872</v>
      </c>
      <c r="E63" s="108" t="s">
        <v>1873</v>
      </c>
      <c r="F63" s="1017"/>
      <c r="G63" s="1017"/>
      <c r="H63" s="2240"/>
      <c r="I63" s="2187"/>
      <c r="J63" s="1839"/>
      <c r="K63" s="1839"/>
      <c r="L63" s="1839"/>
      <c r="M63" s="1839"/>
      <c r="N63" s="1839"/>
      <c r="O63" s="1839"/>
      <c r="P63" s="1839"/>
    </row>
    <row r="64" spans="1:16" ht="13.2" hidden="1">
      <c r="A64" s="109">
        <v>1</v>
      </c>
      <c r="B64" s="110" t="s">
        <v>1874</v>
      </c>
      <c r="C64" s="111">
        <f ca="1">ROUND((C65+C66)/(1+'数据-取费表'!F30),0)</f>
        <v>37377794</v>
      </c>
      <c r="D64" s="112"/>
      <c r="E64" s="113"/>
      <c r="F64" s="1017"/>
      <c r="G64" s="1017"/>
      <c r="H64" s="2240"/>
      <c r="I64" s="2187"/>
      <c r="J64" s="2913" t="s">
        <v>1875</v>
      </c>
      <c r="K64" s="2265" t="s">
        <v>1876</v>
      </c>
      <c r="L64" s="1838">
        <f ca="1">IF(M50&gt;10000,M50*0.5%,IF(AND(M50&gt;1000,M50&lt;=10000),M50*1%,IF(AND(M50&gt;100,M50&lt;=1000),M50*3%,IF(AND(M50&gt;10,M50&lt;=100),M50*5%,M50*8%))))</f>
        <v>196233.42</v>
      </c>
      <c r="M64" s="14">
        <f ca="1">ROUND(L64,1)</f>
        <v>196233.4</v>
      </c>
      <c r="N64" s="1839"/>
      <c r="O64" s="1839"/>
      <c r="P64" s="1839"/>
    </row>
    <row r="65" spans="1:35" ht="13.2" hidden="1">
      <c r="A65" s="114" t="s">
        <v>71</v>
      </c>
      <c r="B65" s="115" t="s">
        <v>1877</v>
      </c>
      <c r="C65" s="116">
        <f ca="1">D46</f>
        <v>39246684</v>
      </c>
      <c r="D65" s="117" t="s">
        <v>41</v>
      </c>
      <c r="E65" s="118"/>
      <c r="F65" s="1017"/>
      <c r="G65" s="1017"/>
      <c r="H65" s="2240"/>
      <c r="I65" s="2187"/>
      <c r="J65" s="2913"/>
      <c r="K65" s="2265" t="s">
        <v>1878</v>
      </c>
      <c r="L65" s="1838">
        <f ca="1">IF(M50&gt;2000,M50*0.5%,IF(AND(M50&gt;1000,M50&lt;=2000),M50*0.6%,IF(AND(M50&gt;500,M50&lt;=1000),M50*0.7%,IF(AND(M50&gt;200,M50&lt;=500),M50*0.8%,IF(AND(M50&gt;100,M50&lt;=200),M50*0.9%,IF(AND(M50&gt;50,M50&lt;=100),M50*1%,IF(AND(M50&gt;20,M50&lt;=50),M50*1.5%,IF(AND(M50&gt;10,M50&lt;=20),M50*2%,IF(AND(M50&gt;1,M50&lt;=10),M50*2.5%)))))))))</f>
        <v>196233.42</v>
      </c>
      <c r="M65" s="14">
        <f t="shared" ref="M65:M66" ca="1" si="2">ROUND(L65,1)</f>
        <v>196233.4</v>
      </c>
      <c r="N65" s="1839" t="s">
        <v>1879</v>
      </c>
      <c r="O65" s="1839"/>
      <c r="P65" s="1839"/>
    </row>
    <row r="66" spans="1:35" ht="13.2" hidden="1">
      <c r="A66" s="114" t="s">
        <v>72</v>
      </c>
      <c r="B66" s="115" t="s">
        <v>1880</v>
      </c>
      <c r="C66" s="119"/>
      <c r="D66" s="117"/>
      <c r="E66" s="118"/>
      <c r="F66" s="1017"/>
      <c r="G66" s="1017"/>
      <c r="H66" s="2240"/>
      <c r="I66" s="2187"/>
      <c r="J66" s="2913"/>
      <c r="K66" s="2265" t="s">
        <v>1881</v>
      </c>
      <c r="L66" s="1838">
        <f ca="1">IF(M50&gt;1000,M50*0.1%,IF(AND(M50&gt;500,M50&lt;=1000),M50*0.5%,IF(AND(M50&gt;50,M50&lt;=500),M50*1%,IF(AND(M50&gt;1,M50&lt;=50),M50*1.5%))))</f>
        <v>39246.684000000001</v>
      </c>
      <c r="M66" s="14">
        <f t="shared" ca="1" si="2"/>
        <v>39246.699999999997</v>
      </c>
      <c r="N66" s="1839" t="s">
        <v>1879</v>
      </c>
      <c r="O66" s="1839"/>
      <c r="P66" s="1839"/>
    </row>
    <row r="67" spans="1:35" ht="13.2" hidden="1">
      <c r="A67" s="120" t="s">
        <v>47</v>
      </c>
      <c r="B67" s="121" t="s">
        <v>1882</v>
      </c>
      <c r="C67" s="122"/>
      <c r="D67" s="123" t="s">
        <v>41</v>
      </c>
      <c r="E67" s="1855" t="s">
        <v>1883</v>
      </c>
      <c r="F67" s="1017"/>
      <c r="G67" s="1017"/>
      <c r="H67" s="2240"/>
      <c r="I67" s="2187"/>
      <c r="J67" s="2913"/>
      <c r="K67" s="2265" t="s">
        <v>1884</v>
      </c>
      <c r="L67" s="1838">
        <f ca="1">M50*0.5%</f>
        <v>196233.42</v>
      </c>
      <c r="M67" s="14">
        <f ca="1">IF(L67&gt;0.5,0.5,ROUND(L67,0))</f>
        <v>0.5</v>
      </c>
      <c r="N67" s="1839" t="s">
        <v>1885</v>
      </c>
      <c r="O67" s="1839"/>
      <c r="P67" s="1839"/>
    </row>
    <row r="68" spans="1:35" ht="13.2" hidden="1">
      <c r="A68" s="120" t="s">
        <v>42</v>
      </c>
      <c r="B68" s="121" t="s">
        <v>1886</v>
      </c>
      <c r="C68" s="124">
        <f ca="1">C64-C67</f>
        <v>37377794</v>
      </c>
      <c r="D68" s="117" t="s">
        <v>41</v>
      </c>
      <c r="E68" s="118"/>
      <c r="F68" s="1017"/>
      <c r="G68" s="1017"/>
      <c r="H68" s="2240"/>
      <c r="I68" s="2187"/>
      <c r="J68" s="2913"/>
      <c r="K68" s="2265" t="s">
        <v>1887</v>
      </c>
      <c r="L68" s="1838">
        <f ca="1">IF(M50&gt;=10000,(8.25+(M50-10000)*0.01%),IF(AND(M50&gt;=8000,M50&lt;10000),(7.85+(M50-8000)*0.02%),IF(AND(M50&gt;=5000,M50&lt;8000),(6.65+(M50-5000)*0.04%),IF(AND(M50&gt;=2000,M50&lt;5000),(4.25+(PM50-2000)*0.08%),IF(AND(M50&gt;=1000,M50&lt;2000),(2.75+(M50-1000)*0.15%),IF(AND(M50&gt;=100,M50&lt;1000),(0.5+(M50-100)*0.25%),IF(AND(M50&gt;0,M50&lt;100),M50*0.5%)))))))</f>
        <v>3931.9184</v>
      </c>
      <c r="M68" s="14">
        <f ca="1">ROUND(L68*0.9,1)</f>
        <v>3538.7</v>
      </c>
      <c r="N68" s="1839"/>
      <c r="O68" s="1839"/>
      <c r="P68" s="1839"/>
    </row>
    <row r="69" spans="1:35" ht="13.8" hidden="1" thickBot="1">
      <c r="A69" s="125" t="s">
        <v>46</v>
      </c>
      <c r="B69" s="126" t="s">
        <v>1888</v>
      </c>
      <c r="C69" s="127">
        <f ca="1">IF(C68&lt;=0,0,ROUND(C68*D69,0))</f>
        <v>2093156</v>
      </c>
      <c r="D69" s="128">
        <f>'数据-取费表'!E29</f>
        <v>5.6000000000000001E-2</v>
      </c>
      <c r="E69" s="129"/>
      <c r="F69" s="1017"/>
      <c r="G69" s="1017"/>
      <c r="H69" s="2240"/>
      <c r="I69" s="2187"/>
      <c r="J69" s="2913"/>
      <c r="K69" s="2265" t="s">
        <v>1889</v>
      </c>
      <c r="L69" s="1838">
        <f ca="1">IF(M50&gt;10000,M50*0.5%,IF(AND(M50&gt;5000,M50&lt;=10000),M50*1%,IF(AND(M50&gt;1000,M50&lt;=5000),M50*2%,IF(AND(M50&gt;200,M50&lt;=1000),M50*3%,M50*5%))))</f>
        <v>196233.42</v>
      </c>
      <c r="M69" s="14">
        <f ca="1">ROUND(L69,1)</f>
        <v>196233.4</v>
      </c>
      <c r="N69" s="1839"/>
      <c r="O69" s="1839"/>
      <c r="P69" s="1839"/>
    </row>
    <row r="70" spans="1:35" s="2214" customFormat="1" ht="7.5" hidden="1" customHeight="1">
      <c r="A70" s="2266"/>
      <c r="B70" s="2267"/>
      <c r="C70" s="2268"/>
      <c r="D70" s="2269"/>
      <c r="E70" s="2270"/>
      <c r="F70" s="1017"/>
      <c r="G70" s="1017"/>
      <c r="H70" s="2240"/>
      <c r="I70" s="2187"/>
      <c r="J70" s="2913"/>
      <c r="K70" s="2265" t="s">
        <v>1890</v>
      </c>
      <c r="L70" s="2271"/>
      <c r="M70" s="14">
        <f ca="1">ROUND(SUM(M64:M69),0)</f>
        <v>631486</v>
      </c>
      <c r="N70" s="1835">
        <f ca="1">M70/M50</f>
        <v>1.6090174650169171E-2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3" customFormat="1" ht="14.4" hidden="1" thickBot="1">
      <c r="A71" s="2908" t="s">
        <v>1891</v>
      </c>
      <c r="B71" s="2909"/>
      <c r="C71" s="2909"/>
      <c r="D71" s="2909"/>
      <c r="E71" s="2909"/>
      <c r="F71" s="2909"/>
      <c r="G71" s="2909"/>
      <c r="H71" s="2909"/>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hidden="1">
      <c r="A72" s="2910" t="s">
        <v>1871</v>
      </c>
      <c r="B72" s="2911"/>
      <c r="C72" s="1878"/>
      <c r="D72" s="1878" t="s">
        <v>1872</v>
      </c>
      <c r="E72" s="130" t="s">
        <v>1873</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hidden="1">
      <c r="A73" s="133">
        <v>1</v>
      </c>
      <c r="B73" s="121" t="s">
        <v>1892</v>
      </c>
      <c r="C73" s="124">
        <f ca="1">ROUND(D46/(1+'数据-取费表'!F30),0)</f>
        <v>37377794</v>
      </c>
      <c r="D73" s="117" t="s">
        <v>41</v>
      </c>
      <c r="E73" s="1881"/>
      <c r="F73" s="1882"/>
      <c r="G73" s="1882"/>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3.8" hidden="1">
      <c r="A74" s="135">
        <v>2</v>
      </c>
      <c r="B74" s="89" t="s">
        <v>1894</v>
      </c>
      <c r="C74" s="124">
        <f ca="1">C75+C79</f>
        <v>224267</v>
      </c>
      <c r="D74" s="117" t="s">
        <v>41</v>
      </c>
      <c r="E74" s="1881"/>
      <c r="F74" s="1882"/>
      <c r="G74" s="1882"/>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4" hidden="1">
      <c r="A75" s="136" t="s">
        <v>73</v>
      </c>
      <c r="B75" s="115" t="s">
        <v>1895</v>
      </c>
      <c r="C75" s="117">
        <f>ROUND(IF(G78="2016年5月1日后购买",C76/(1+'数据-取费表'!F30)+C77+C78,C76+C77+C78),0)</f>
        <v>0</v>
      </c>
      <c r="D75" s="117" t="s">
        <v>41</v>
      </c>
      <c r="E75" s="1881"/>
      <c r="F75" s="1882"/>
      <c r="G75" s="1882"/>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8.8" hidden="1">
      <c r="A76" s="136" t="s">
        <v>74</v>
      </c>
      <c r="B76" s="115" t="s">
        <v>1896</v>
      </c>
      <c r="C76" s="137"/>
      <c r="D76" s="117" t="s">
        <v>41</v>
      </c>
      <c r="E76" s="138" t="s">
        <v>1897</v>
      </c>
      <c r="F76" s="2276" t="s">
        <v>1898</v>
      </c>
      <c r="G76" s="138" t="s">
        <v>1899</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hidden="1" customHeight="1">
      <c r="A77" s="136" t="s">
        <v>75</v>
      </c>
      <c r="B77" s="140" t="s">
        <v>1900</v>
      </c>
      <c r="C77" s="117">
        <f>IF(F76="购房发票",ROUND(C76*H76*D77,0),0)</f>
        <v>0</v>
      </c>
      <c r="D77" s="141">
        <v>0.05</v>
      </c>
      <c r="E77" s="2891" t="s">
        <v>1901</v>
      </c>
      <c r="F77" s="2889"/>
      <c r="G77" s="2889"/>
      <c r="H77" s="2904"/>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hidden="1"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7" t="s">
        <v>1904</v>
      </c>
      <c r="H78" s="1883"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hidden="1" customHeight="1">
      <c r="A79" s="136" t="s">
        <v>77</v>
      </c>
      <c r="B79" s="115" t="s">
        <v>1905</v>
      </c>
      <c r="C79" s="144">
        <f ca="1">ROUND(D46*D79/(1+'数据-取费表'!F30),0)</f>
        <v>224267</v>
      </c>
      <c r="D79" s="145">
        <f>'数据-取费表'!E31</f>
        <v>6.000000000000001E-3</v>
      </c>
      <c r="E79" s="2905" t="s">
        <v>1906</v>
      </c>
      <c r="F79" s="2906"/>
      <c r="G79" s="2906"/>
      <c r="H79" s="2907"/>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3.8" hidden="1">
      <c r="A80" s="146" t="s">
        <v>42</v>
      </c>
      <c r="B80" s="121" t="s">
        <v>1907</v>
      </c>
      <c r="C80" s="124">
        <f ca="1">C73-C74</f>
        <v>37153527</v>
      </c>
      <c r="D80" s="117" t="s">
        <v>41</v>
      </c>
      <c r="E80" s="1881"/>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 hidden="1">
      <c r="A81" s="146" t="s">
        <v>43</v>
      </c>
      <c r="B81" s="121" t="s">
        <v>1908</v>
      </c>
      <c r="C81" s="147">
        <f ca="1">IF(C80&lt;=0,0,C80/C74)</f>
        <v>165.66649128048263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4.4" hidden="1" thickBot="1">
      <c r="A82" s="148" t="s">
        <v>44</v>
      </c>
      <c r="B82" s="126" t="s">
        <v>1909</v>
      </c>
      <c r="C82" s="149">
        <f ca="1">ROUND(IF(C80&lt;=0,0,IF(C81&gt;=200%,C80*60%-C74*35%,IF(C81&gt;=100%,C80*50%-C74*15%,IF(C81&gt;=50%,C80*40%-C74*5%,IF(C81&lt;50%,C80*30%,0))))),0)</f>
        <v>22213623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hidden="1"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4" hidden="1" thickBot="1">
      <c r="A84" s="2908" t="s">
        <v>1910</v>
      </c>
      <c r="B84" s="2909"/>
      <c r="C84" s="2909"/>
      <c r="D84" s="2909"/>
      <c r="E84" s="2909"/>
      <c r="F84" s="2909"/>
      <c r="G84" s="2909"/>
      <c r="H84" s="2909"/>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3.8" hidden="1">
      <c r="A85" s="2910" t="s">
        <v>1871</v>
      </c>
      <c r="B85" s="2911"/>
      <c r="C85" s="1878"/>
      <c r="D85" s="1878" t="s">
        <v>1872</v>
      </c>
      <c r="E85" s="130" t="s">
        <v>1873</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hidden="1">
      <c r="A86" s="133">
        <v>1</v>
      </c>
      <c r="B86" s="121" t="s">
        <v>1892</v>
      </c>
      <c r="C86" s="124">
        <f ca="1">ROUND(D46/(1+'数据-取费表'!F30),0)</f>
        <v>37377794</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hidden="1">
      <c r="A87" s="135">
        <v>2</v>
      </c>
      <c r="B87" s="89" t="s">
        <v>1894</v>
      </c>
      <c r="C87" s="124">
        <f ca="1">IF(H89="仅含出让金",C88+C91+C92+C93+C94+C95,C88+C92+C93+C94+C95)</f>
        <v>224267</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hidden="1">
      <c r="A88" s="136" t="s">
        <v>73</v>
      </c>
      <c r="B88" s="115" t="s">
        <v>1911</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hidden="1">
      <c r="A89" s="136" t="s">
        <v>74</v>
      </c>
      <c r="B89" s="115" t="s">
        <v>1912</v>
      </c>
      <c r="C89" s="157"/>
      <c r="D89" s="145"/>
      <c r="E89" s="158" t="s">
        <v>1913</v>
      </c>
      <c r="F89" s="1875"/>
      <c r="G89" s="159" t="s">
        <v>1914</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hidden="1">
      <c r="A90" s="136" t="s">
        <v>75</v>
      </c>
      <c r="B90" s="115" t="s">
        <v>1902</v>
      </c>
      <c r="C90" s="144">
        <f>ROUND(C89*D90,0)</f>
        <v>0</v>
      </c>
      <c r="D90" s="145">
        <f>'数据-取费表'!E36+'数据-取费表'!E37</f>
        <v>3.0499999999999999E-2</v>
      </c>
      <c r="E90" s="158" t="s">
        <v>1915</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3.8" hidden="1">
      <c r="A91" s="136" t="s">
        <v>77</v>
      </c>
      <c r="B91" s="115" t="s">
        <v>1916</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hidden="1" customHeight="1">
      <c r="A92" s="136" t="s">
        <v>78</v>
      </c>
      <c r="B92" s="115" t="s">
        <v>1917</v>
      </c>
      <c r="C92" s="144">
        <f>IF(H92="——",成本法!C33,I92)</f>
        <v>0</v>
      </c>
      <c r="D92" s="145"/>
      <c r="E92" s="2905" t="s">
        <v>1918</v>
      </c>
      <c r="F92" s="2906"/>
      <c r="G92" s="2906"/>
      <c r="H92" s="2280" t="s">
        <v>1919</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hidden="1" customHeight="1">
      <c r="A93" s="136" t="s">
        <v>79</v>
      </c>
      <c r="B93" s="115" t="s">
        <v>1920</v>
      </c>
      <c r="C93" s="144">
        <f>ROUND((C88+C91+C92)*D93,0)</f>
        <v>0</v>
      </c>
      <c r="D93" s="145">
        <v>0.1</v>
      </c>
      <c r="E93" s="2905" t="s">
        <v>1921</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hidden="1" customHeight="1">
      <c r="A94" s="136" t="s">
        <v>80</v>
      </c>
      <c r="B94" s="115" t="s">
        <v>1905</v>
      </c>
      <c r="C94" s="144">
        <f ca="1">ROUND(D46*D94/(1+'数据-取费表'!F30),0)</f>
        <v>224267</v>
      </c>
      <c r="D94" s="145">
        <f>'数据-取费表'!E31</f>
        <v>6.000000000000001E-3</v>
      </c>
      <c r="E94" s="2905" t="s">
        <v>1906</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hidden="1" customHeight="1">
      <c r="A95" s="136" t="s">
        <v>81</v>
      </c>
      <c r="B95" s="115" t="s">
        <v>1922</v>
      </c>
      <c r="C95" s="144">
        <f>ROUND((C88+C91+C92)*D95,0)</f>
        <v>0</v>
      </c>
      <c r="D95" s="145">
        <v>0.2</v>
      </c>
      <c r="E95" s="2905" t="s">
        <v>1923</v>
      </c>
      <c r="F95" s="2906"/>
      <c r="G95" s="2906"/>
      <c r="H95" s="2907"/>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3.8" hidden="1">
      <c r="A96" s="146" t="s">
        <v>42</v>
      </c>
      <c r="B96" s="121" t="s">
        <v>1907</v>
      </c>
      <c r="C96" s="124">
        <f ca="1">ROUND(C86-C87,0)</f>
        <v>37153527</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 hidden="1">
      <c r="A97" s="146" t="s">
        <v>43</v>
      </c>
      <c r="B97" s="121" t="s">
        <v>1908</v>
      </c>
      <c r="C97" s="147">
        <f ca="1">IF(C96&lt;=0,0,C96/C87)</f>
        <v>165.66649128048263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4.4" hidden="1" thickBot="1">
      <c r="A98" s="148" t="s">
        <v>44</v>
      </c>
      <c r="B98" s="126" t="s">
        <v>1909</v>
      </c>
      <c r="C98" s="149">
        <f ca="1">ROUND(IF(C96&lt;=0,0,IF(C97&gt;=200%,C96*60%-C87*35%,IF(C97&gt;=100%,C96*50%-C87*15%,IF(C97&gt;=50%,C96*40%-C87*5%,IF(C97&lt;50%,C96*30%,0))))),0)</f>
        <v>22213623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1924</v>
      </c>
      <c r="B99" s="2187"/>
      <c r="C99" s="2187"/>
      <c r="D99" s="2187"/>
      <c r="E99" s="1017"/>
      <c r="F99" s="1017"/>
      <c r="G99" s="1017"/>
      <c r="H99" s="2240"/>
      <c r="I99" s="2187"/>
    </row>
    <row r="100" spans="1:35" ht="15.6">
      <c r="A100" s="2924" t="s">
        <v>1925</v>
      </c>
      <c r="B100" s="2925"/>
      <c r="C100" s="2925"/>
      <c r="D100" s="2926"/>
      <c r="E100" s="2187"/>
      <c r="F100" s="2927" t="s">
        <v>1926</v>
      </c>
      <c r="G100" s="2928"/>
      <c r="H100" s="2928"/>
      <c r="I100" s="2929"/>
    </row>
    <row r="101" spans="1:35" ht="30">
      <c r="A101" s="2930" t="s">
        <v>1927</v>
      </c>
      <c r="B101" s="2931"/>
      <c r="C101" s="719" t="str">
        <f>C4</f>
        <v>典型户型修正</v>
      </c>
      <c r="D101" s="720" t="str">
        <f>D4</f>
        <v>典型户型修正</v>
      </c>
      <c r="E101" s="2187"/>
      <c r="F101" s="2932" t="s">
        <v>1928</v>
      </c>
      <c r="G101" s="2933"/>
      <c r="H101" s="2993" t="s">
        <v>1929</v>
      </c>
      <c r="I101" s="2915"/>
    </row>
    <row r="102" spans="1:35" ht="15.6">
      <c r="A102" s="2994" t="s">
        <v>1989</v>
      </c>
      <c r="B102" s="2282" t="str">
        <f>IF(H19="元","总价（元）","总价（万元）")</f>
        <v>总价（元）</v>
      </c>
      <c r="C102" s="719">
        <f ca="1">C19</f>
        <v>39246684</v>
      </c>
      <c r="D102" s="720">
        <f ca="1">D19</f>
        <v>39246684</v>
      </c>
      <c r="E102" s="2187"/>
      <c r="F102" s="2995"/>
      <c r="G102" s="2996"/>
      <c r="H102" s="2914">
        <f>典型户型修正!B25</f>
        <v>1134.3300000000002</v>
      </c>
      <c r="I102" s="2915"/>
    </row>
    <row r="103" spans="1:35" ht="15.6">
      <c r="A103" s="2994"/>
      <c r="B103" s="2282" t="s">
        <v>1931</v>
      </c>
      <c r="C103" s="721">
        <f ca="1">C20</f>
        <v>34599</v>
      </c>
      <c r="D103" s="722">
        <f ca="1">D20</f>
        <v>34599</v>
      </c>
      <c r="E103" s="2187"/>
      <c r="F103" s="2916" t="s">
        <v>1932</v>
      </c>
      <c r="G103" s="2917"/>
      <c r="H103" s="2283" t="str">
        <f>C109</f>
        <v>总价（元）</v>
      </c>
      <c r="I103" s="1856">
        <f ca="1">H124</f>
        <v>39246684</v>
      </c>
    </row>
    <row r="104" spans="1:35" ht="15.6">
      <c r="A104" s="2994" t="s">
        <v>1990</v>
      </c>
      <c r="B104" s="2284" t="str">
        <f>B102</f>
        <v>总价（元）</v>
      </c>
      <c r="C104" s="1185">
        <f ca="1">ROUND(IF('数据-取费表'!B4="总价",G19,IF(H19="元",G20*'数据-取费表'!E5,G20*'数据-取费表'!E5/10000)),0)</f>
        <v>5209225</v>
      </c>
      <c r="D104" s="724"/>
      <c r="E104" s="2187"/>
      <c r="F104" s="2916"/>
      <c r="G104" s="2917"/>
      <c r="H104" s="2283" t="s">
        <v>1931</v>
      </c>
      <c r="I104" s="1045">
        <f ca="1">I124</f>
        <v>34599</v>
      </c>
    </row>
    <row r="105" spans="1:35" ht="15.6">
      <c r="A105" s="2994"/>
      <c r="B105" s="2282" t="s">
        <v>1931</v>
      </c>
      <c r="C105" s="1186">
        <f ca="1">ROUND(IF('数据-取费表'!B4="楼面单价",G20,IF(H19="元",G19/'数据-取费表'!E5,G19*10000/'数据-取费表'!E5)),0)</f>
        <v>34599</v>
      </c>
      <c r="D105" s="724"/>
      <c r="E105" s="2187"/>
      <c r="F105" s="2920"/>
      <c r="G105" s="2921"/>
      <c r="H105" s="2922"/>
      <c r="I105" s="2923"/>
    </row>
    <row r="106" spans="1:35" ht="15.6">
      <c r="A106" s="3001" t="s">
        <v>1991</v>
      </c>
      <c r="B106" s="2322" t="str">
        <f>B102</f>
        <v>总价（元）</v>
      </c>
      <c r="C106" s="723">
        <f ca="1">H124</f>
        <v>39246684</v>
      </c>
      <c r="D106" s="1184"/>
      <c r="E106" s="2187"/>
      <c r="F106" s="2934" t="s">
        <v>1935</v>
      </c>
      <c r="G106" s="2935"/>
      <c r="H106" s="2286" t="str">
        <f>C111</f>
        <v>总额（元）</v>
      </c>
      <c r="I106" s="1856">
        <f>SUMIF(I107:I109,"&lt;9E307")</f>
        <v>0</v>
      </c>
    </row>
    <row r="107" spans="1:35" ht="16.2" thickBot="1">
      <c r="A107" s="2919"/>
      <c r="B107" s="2285" t="s">
        <v>1931</v>
      </c>
      <c r="C107" s="725">
        <f ca="1">I124</f>
        <v>34599</v>
      </c>
      <c r="D107" s="726"/>
      <c r="E107" s="2187"/>
      <c r="F107" s="2938" t="s">
        <v>1937</v>
      </c>
      <c r="G107" s="2939"/>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6">
      <c r="A108" s="2997" t="s">
        <v>1934</v>
      </c>
      <c r="B108" s="2998"/>
      <c r="C108" s="2998"/>
      <c r="D108" s="2999"/>
      <c r="E108" s="2187"/>
      <c r="F108" s="2938" t="s">
        <v>1938</v>
      </c>
      <c r="G108" s="2939"/>
      <c r="H108" s="2286" t="str">
        <f>C113</f>
        <v>总额（元）</v>
      </c>
      <c r="I108" s="1045">
        <f>C38</f>
        <v>0</v>
      </c>
      <c r="K108" s="2287"/>
    </row>
    <row r="109" spans="1:35" ht="15.6">
      <c r="A109" s="2936" t="s">
        <v>1992</v>
      </c>
      <c r="B109" s="2937"/>
      <c r="C109" s="2283" t="str">
        <f>B102</f>
        <v>总价（元）</v>
      </c>
      <c r="D109" s="1046">
        <f ca="1">H124</f>
        <v>39246684</v>
      </c>
      <c r="E109" s="2187"/>
      <c r="F109" s="2938" t="s">
        <v>1940</v>
      </c>
      <c r="G109" s="2939"/>
      <c r="H109" s="2286" t="str">
        <f>C114</f>
        <v>总额（元）</v>
      </c>
      <c r="I109" s="1045">
        <f>C39</f>
        <v>0</v>
      </c>
    </row>
    <row r="110" spans="1:35" ht="15.6">
      <c r="A110" s="2936"/>
      <c r="B110" s="2937"/>
      <c r="C110" s="2283" t="s">
        <v>1931</v>
      </c>
      <c r="D110" s="1047">
        <f ca="1">I124</f>
        <v>34599</v>
      </c>
      <c r="E110" s="2187"/>
      <c r="F110" s="2920"/>
      <c r="G110" s="2921"/>
      <c r="H110" s="2951"/>
      <c r="I110" s="2952"/>
    </row>
    <row r="111" spans="1:35" ht="28.5" customHeight="1">
      <c r="A111" s="2940" t="s">
        <v>1939</v>
      </c>
      <c r="B111" s="2941"/>
      <c r="C111" s="2286" t="str">
        <f>IF(H19="元","总额（元）","总额（万元）")</f>
        <v>总额（元）</v>
      </c>
      <c r="D111" s="1046">
        <f>IF(D37="正常操作",I107+I108+I109,I108+I109)</f>
        <v>0</v>
      </c>
      <c r="E111" s="2187"/>
      <c r="F111" s="2942" t="str">
        <f>IF(项目基本情况!F5="已注销","——","3.房地产抵押价值")</f>
        <v>3.房地产抵押价值</v>
      </c>
      <c r="G111" s="2943"/>
      <c r="H111" s="2323" t="str">
        <f>C115</f>
        <v>总价（元）</v>
      </c>
      <c r="I111" s="1856">
        <f ca="1">IF(F111="——","——",I103-I106)</f>
        <v>39246684</v>
      </c>
    </row>
    <row r="112" spans="1:35" ht="15.6">
      <c r="A112" s="2938" t="s">
        <v>1937</v>
      </c>
      <c r="B112" s="2939"/>
      <c r="C112" s="2286" t="str">
        <f>C111</f>
        <v>总额（元）</v>
      </c>
      <c r="D112" s="637">
        <f>IF(D37="同一抵押权人同一抵押物续贷",C37&amp;"（未扣减，详见特别提示）",C37)</f>
        <v>0</v>
      </c>
      <c r="E112" s="2187"/>
      <c r="F112" s="2944"/>
      <c r="G112" s="2945"/>
      <c r="H112" s="2283" t="s">
        <v>1931</v>
      </c>
      <c r="I112" s="2289">
        <f ca="1">D116</f>
        <v>34599</v>
      </c>
    </row>
    <row r="113" spans="1:26" ht="15.6">
      <c r="A113" s="2938" t="s">
        <v>1938</v>
      </c>
      <c r="B113" s="2939"/>
      <c r="C113" s="2286" t="str">
        <f>C111</f>
        <v>总额（元）</v>
      </c>
      <c r="D113" s="637">
        <f>C38</f>
        <v>0</v>
      </c>
      <c r="E113" s="2187"/>
      <c r="F113" s="2942" t="str">
        <f>IF(项目基本情况!F5="已注销及未注销","4.抵押担保权已注销时的房地产抵押价值",IF(项目基本情况!F5="已注销","3.抵押担保权已注销时的房地产抵押价值","——"))</f>
        <v>——</v>
      </c>
      <c r="G113" s="2943"/>
      <c r="H113" s="2323" t="str">
        <f>C117</f>
        <v>总价（元）</v>
      </c>
      <c r="I113" s="1856" t="str">
        <f>IF(F113="——","——",I103-I108-I109)</f>
        <v>——</v>
      </c>
    </row>
    <row r="114" spans="1:26" ht="15.6">
      <c r="A114" s="2938" t="s">
        <v>1940</v>
      </c>
      <c r="B114" s="2939"/>
      <c r="C114" s="2286" t="str">
        <f>C111</f>
        <v>总额（元）</v>
      </c>
      <c r="D114" s="637">
        <f>C39</f>
        <v>0</v>
      </c>
      <c r="E114" s="2187"/>
      <c r="F114" s="2944"/>
      <c r="G114" s="2945"/>
      <c r="H114" s="2283" t="s">
        <v>1931</v>
      </c>
      <c r="I114" s="1045" t="str">
        <f>D118</f>
        <v>——</v>
      </c>
    </row>
    <row r="115" spans="1:26" ht="15.6">
      <c r="A115" s="2936" t="str">
        <f>IF(项目基本情况!F5="已注销","——","3.房地产抵押价值")</f>
        <v>3.房地产抵押价值</v>
      </c>
      <c r="B115" s="2937"/>
      <c r="C115" s="2283" t="str">
        <f>B102</f>
        <v>总价（元）</v>
      </c>
      <c r="D115" s="1046">
        <f ca="1">IF(A115="——","——",D109-D111)</f>
        <v>39246684</v>
      </c>
      <c r="E115" s="2187"/>
      <c r="F115" s="2942" t="str">
        <f>IF(项目基本情况!G5="抵押净值",IF(OR(项目基本情况!F5="已注销",项目基本情况!F5="房地产抵押价值"),"4.抵押净值","5.抵押净值"),"——")</f>
        <v>——</v>
      </c>
      <c r="G115" s="2943"/>
      <c r="H115" s="2283" t="str">
        <f>C119</f>
        <v>总价（元）</v>
      </c>
      <c r="I115" s="1856" t="str">
        <f>IF(F115="——","——",N60)</f>
        <v>——</v>
      </c>
    </row>
    <row r="116" spans="1:26" ht="16.2" thickBot="1">
      <c r="A116" s="2936"/>
      <c r="B116" s="2937"/>
      <c r="C116" s="2283" t="s">
        <v>1993</v>
      </c>
      <c r="D116" s="1047">
        <f ca="1">ROUND(IF(D115=D109,D110,IF(H19="元",D115/B124,D115*10000/B124)),0)</f>
        <v>34599</v>
      </c>
      <c r="E116" s="2187"/>
      <c r="F116" s="2946"/>
      <c r="G116" s="2947"/>
      <c r="H116" s="2291" t="s">
        <v>1993</v>
      </c>
      <c r="I116" s="1858" t="str">
        <f ca="1">D120</f>
        <v>——</v>
      </c>
    </row>
    <row r="117" spans="1:26" ht="15.6">
      <c r="A117" s="2936" t="str">
        <f>IF(项目基本情况!F5="已注销及未注销","4.抵押担保权已注销时的房地产抵押价值",IF(项目基本情况!F5="已注销","3.抵押担保权已注销时的房地产抵押价值","——"))</f>
        <v>——</v>
      </c>
      <c r="B117" s="2937"/>
      <c r="C117" s="2283" t="str">
        <f>B102</f>
        <v>总价（元）</v>
      </c>
      <c r="D117" s="1046" t="str">
        <f>IF(A117="——","——",D109-D113-D114)</f>
        <v>——</v>
      </c>
      <c r="E117" s="2187"/>
      <c r="F117" s="2950"/>
      <c r="G117" s="2950"/>
      <c r="H117" s="2953"/>
      <c r="I117" s="2953"/>
      <c r="N117" s="55"/>
      <c r="O117" s="55"/>
    </row>
    <row r="118" spans="1:26" s="1839" customFormat="1" ht="15.6">
      <c r="A118" s="2936"/>
      <c r="B118" s="2937"/>
      <c r="C118" s="2283" t="s">
        <v>1993</v>
      </c>
      <c r="D118" s="1047" t="str">
        <f>IF(A117="——","——",IF(H19="元",ROUND(D117/B124,0),ROUND(D117*10000/B124,0)))</f>
        <v>——</v>
      </c>
      <c r="E118" s="2187"/>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7"/>
      <c r="K118" s="797"/>
      <c r="L118" s="797"/>
      <c r="M118" s="797"/>
      <c r="N118" s="55"/>
      <c r="O118" s="55"/>
      <c r="P118" s="797"/>
      <c r="Q118" s="797"/>
      <c r="R118" s="797"/>
      <c r="S118" s="797"/>
      <c r="T118" s="797"/>
      <c r="U118" s="797"/>
      <c r="V118" s="797"/>
      <c r="W118" s="797"/>
      <c r="X118" s="797"/>
      <c r="Y118" s="797"/>
      <c r="Z118" s="797"/>
    </row>
    <row r="119" spans="1:26" s="1839" customFormat="1" ht="15">
      <c r="A119" s="2936" t="str">
        <f>IF(项目基本情况!G5="抵押净值",IF(OR(项目基本情况!F5="已注销",项目基本情况!F5="房地产抵押价值"),"4.抵押净值","5.抵押净值"),"——")</f>
        <v>——</v>
      </c>
      <c r="B119" s="2937"/>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39" customFormat="1" ht="16.2" thickBot="1">
      <c r="A120" s="2948"/>
      <c r="B120" s="2949"/>
      <c r="C120" s="2291" t="s">
        <v>1993</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39" customFormat="1" ht="14.4">
      <c r="A121" s="2955" t="s">
        <v>1994</v>
      </c>
      <c r="B121" s="2956"/>
      <c r="C121" s="2956"/>
      <c r="D121" s="2956"/>
      <c r="E121" s="2956"/>
      <c r="F121" s="2956"/>
      <c r="G121" s="2956"/>
      <c r="H121" s="2956"/>
      <c r="I121" s="2956"/>
      <c r="J121" s="797"/>
      <c r="K121" s="797"/>
      <c r="L121" s="797"/>
      <c r="M121" s="797"/>
      <c r="N121" s="797"/>
      <c r="O121" s="797"/>
      <c r="P121" s="797"/>
      <c r="Q121" s="797"/>
      <c r="R121" s="797"/>
      <c r="S121" s="797"/>
      <c r="T121" s="797"/>
      <c r="U121" s="797"/>
      <c r="V121" s="797"/>
      <c r="W121" s="797"/>
      <c r="X121" s="797"/>
      <c r="Y121" s="797"/>
      <c r="Z121" s="797"/>
    </row>
    <row r="122" spans="1:26" s="1839" customFormat="1" ht="13.8">
      <c r="A122" s="2957" t="s">
        <v>1942</v>
      </c>
      <c r="B122" s="2958" t="s">
        <v>1995</v>
      </c>
      <c r="C122" s="2958" t="s">
        <v>1996</v>
      </c>
      <c r="D122" s="2960" t="s">
        <v>1945</v>
      </c>
      <c r="E122" s="2961"/>
      <c r="F122" s="2865" t="s">
        <v>1997</v>
      </c>
      <c r="G122" s="2865"/>
      <c r="H122" s="2865" t="s">
        <v>1946</v>
      </c>
      <c r="I122" s="2962"/>
      <c r="J122" s="797"/>
      <c r="K122" s="797"/>
      <c r="L122" s="797"/>
      <c r="M122" s="797"/>
      <c r="N122" s="797"/>
      <c r="O122" s="797"/>
      <c r="P122" s="797"/>
      <c r="Q122" s="797"/>
      <c r="R122" s="797"/>
      <c r="S122" s="797"/>
      <c r="T122" s="797"/>
      <c r="U122" s="797"/>
      <c r="V122" s="797"/>
      <c r="W122" s="797"/>
      <c r="X122" s="797"/>
      <c r="Y122" s="797"/>
      <c r="Z122" s="797"/>
    </row>
    <row r="123" spans="1:26" s="1839" customFormat="1" ht="14.4">
      <c r="A123" s="2957"/>
      <c r="B123" s="2959"/>
      <c r="C123" s="2959"/>
      <c r="D123" s="1880" t="s">
        <v>1947</v>
      </c>
      <c r="E123" s="1880" t="s">
        <v>1948</v>
      </c>
      <c r="F123" s="1880" t="s">
        <v>1947</v>
      </c>
      <c r="G123" s="1880" t="s">
        <v>1949</v>
      </c>
      <c r="H123" s="1880" t="s">
        <v>1947</v>
      </c>
      <c r="I123" s="637" t="s">
        <v>1949</v>
      </c>
      <c r="J123" s="797"/>
      <c r="K123" s="797"/>
      <c r="L123" s="797"/>
      <c r="M123" s="797"/>
      <c r="N123" s="797"/>
      <c r="O123" s="797"/>
      <c r="P123" s="797"/>
      <c r="Q123" s="797"/>
      <c r="R123" s="797"/>
      <c r="S123" s="797"/>
      <c r="T123" s="797"/>
      <c r="U123" s="797"/>
      <c r="V123" s="797"/>
      <c r="W123" s="797"/>
      <c r="X123" s="797"/>
      <c r="Y123" s="797"/>
      <c r="Z123" s="797"/>
    </row>
    <row r="124" spans="1:26" s="1839" customFormat="1" ht="96.6">
      <c r="A124" s="2173" t="str">
        <f>项目基本情况!I1</f>
        <v>北京市海淀区花园东路15号9层2901至2903、2905至2907共6套办公用房房地产</v>
      </c>
      <c r="B124" s="1880">
        <f>典型户型修正!B25</f>
        <v>1134.3300000000002</v>
      </c>
      <c r="C124" s="400"/>
      <c r="D124" s="1880">
        <f>C35</f>
        <v>0</v>
      </c>
      <c r="E124" s="1880">
        <f>ROUND(IF(H19="元",D124/B124,D124*10000/B124),0)</f>
        <v>0</v>
      </c>
      <c r="F124" s="1880">
        <f>C36</f>
        <v>0</v>
      </c>
      <c r="G124" s="1880">
        <f>ROUND(IF(H19="元",F124/B124,F124*10000/B124),0)</f>
        <v>0</v>
      </c>
      <c r="H124" s="1880">
        <f ca="1">C33</f>
        <v>39246684</v>
      </c>
      <c r="I124" s="637">
        <f ca="1">C34</f>
        <v>34599</v>
      </c>
      <c r="J124" s="797"/>
      <c r="K124" s="797"/>
      <c r="L124" s="797"/>
      <c r="M124" s="797"/>
      <c r="N124" s="797"/>
      <c r="O124" s="797"/>
      <c r="P124" s="797"/>
      <c r="Q124" s="797"/>
      <c r="R124" s="797"/>
      <c r="S124" s="797"/>
      <c r="T124" s="797"/>
      <c r="U124" s="797"/>
      <c r="V124" s="797"/>
      <c r="W124" s="797"/>
      <c r="X124" s="797"/>
      <c r="Y124" s="797"/>
      <c r="Z124" s="797"/>
    </row>
    <row r="125" spans="1:26" s="1839" customFormat="1" ht="13.8">
      <c r="A125" s="2957" t="s">
        <v>1950</v>
      </c>
      <c r="B125" s="2865"/>
      <c r="C125" s="2865"/>
      <c r="D125" s="2974" t="str">
        <f>IF(H19="元",NUMBERSTRING(INT(D124),2)&amp;"元整",NUMBERSTRING(INT(D124*10000),2)&amp;"元整")</f>
        <v>零元整</v>
      </c>
      <c r="E125" s="2975"/>
      <c r="F125" s="2974" t="str">
        <f>IF(H19="元",NUMBERSTRING(INT(F124),2)&amp;"元整",NUMBERSTRING(INT(F124*10000),2)&amp;"元整")</f>
        <v>零元整</v>
      </c>
      <c r="G125" s="2975"/>
      <c r="H125" s="2974" t="str">
        <f ca="1">IF(H19="元",NUMBERSTRING(INT(H124),2)&amp;"元整",NUMBERSTRING(INT(H124*10000),2)&amp;"元整")</f>
        <v>叁仟玖佰贰拾肆万陆仟陆佰捌拾肆元整</v>
      </c>
      <c r="I125" s="2976"/>
      <c r="J125" s="797"/>
      <c r="K125" s="797"/>
      <c r="L125" s="797"/>
      <c r="M125" s="797"/>
      <c r="N125" s="797"/>
      <c r="O125" s="797"/>
      <c r="P125" s="797"/>
      <c r="Q125" s="797"/>
      <c r="R125" s="797"/>
      <c r="S125" s="797"/>
      <c r="T125" s="797"/>
      <c r="U125" s="797"/>
      <c r="V125" s="797"/>
      <c r="W125" s="797"/>
      <c r="X125" s="797"/>
      <c r="Y125" s="797"/>
      <c r="Z125" s="797"/>
    </row>
    <row r="126" spans="1:26" s="1839" customFormat="1" ht="13.8">
      <c r="A126" s="2977" t="str">
        <f>IF(项目基本情况!D5="房地产市场价值","——",MID(A111,3,LEN(A111)-2))</f>
        <v>估价师所知悉的法定优先受偿款</v>
      </c>
      <c r="B126" s="2972"/>
      <c r="C126" s="2978"/>
      <c r="D126" s="2971">
        <f>I106</f>
        <v>0</v>
      </c>
      <c r="E126" s="2972"/>
      <c r="F126" s="2972"/>
      <c r="G126" s="2972"/>
      <c r="H126" s="2972"/>
      <c r="I126" s="2973"/>
      <c r="J126" s="797"/>
      <c r="K126" s="797"/>
      <c r="L126" s="797"/>
      <c r="M126" s="797"/>
      <c r="N126" s="797"/>
      <c r="O126" s="797"/>
      <c r="P126" s="797"/>
      <c r="Q126" s="797"/>
      <c r="R126" s="797"/>
      <c r="S126" s="797"/>
      <c r="T126" s="797"/>
      <c r="U126" s="797"/>
      <c r="V126" s="797"/>
      <c r="W126" s="797"/>
      <c r="X126" s="797"/>
      <c r="Y126" s="797"/>
      <c r="Z126" s="797"/>
    </row>
    <row r="127" spans="1:26" s="1839" customFormat="1" ht="13.8">
      <c r="A127" s="2963" t="s">
        <v>1950</v>
      </c>
      <c r="B127" s="2964"/>
      <c r="C127" s="2965"/>
      <c r="D127" s="2966">
        <f>H110</f>
        <v>0</v>
      </c>
      <c r="E127" s="2967"/>
      <c r="F127" s="2967"/>
      <c r="G127" s="2967"/>
      <c r="H127" s="2967"/>
      <c r="I127" s="2968"/>
      <c r="J127" s="797"/>
      <c r="K127" s="797"/>
      <c r="L127" s="797"/>
      <c r="M127" s="797"/>
      <c r="N127" s="797"/>
      <c r="O127" s="797"/>
      <c r="P127" s="797"/>
      <c r="Q127" s="797"/>
      <c r="R127" s="797"/>
      <c r="S127" s="797"/>
      <c r="T127" s="797"/>
      <c r="U127" s="797"/>
      <c r="V127" s="797"/>
      <c r="W127" s="797"/>
      <c r="X127" s="797"/>
      <c r="Y127" s="797"/>
      <c r="Z127" s="797"/>
    </row>
    <row r="128" spans="1:26" s="1839" customFormat="1" ht="13.8">
      <c r="A128" s="2969" t="str">
        <f>IF(项目基本情况!D5="房地产市场价值","——",MID(A115,3,LEN(A115)-2))</f>
        <v>房地产抵押价值</v>
      </c>
      <c r="B128" s="2970"/>
      <c r="C128" s="2970"/>
      <c r="D128" s="2971">
        <f ca="1">I111</f>
        <v>39246684</v>
      </c>
      <c r="E128" s="2972"/>
      <c r="F128" s="2972"/>
      <c r="G128" s="2972"/>
      <c r="H128" s="2972"/>
      <c r="I128" s="2973"/>
      <c r="J128" s="797"/>
      <c r="K128" s="797"/>
      <c r="L128" s="797"/>
      <c r="M128" s="797"/>
      <c r="N128" s="797"/>
      <c r="O128" s="797"/>
      <c r="P128" s="797"/>
      <c r="Q128" s="797"/>
      <c r="R128" s="797"/>
      <c r="S128" s="797"/>
      <c r="T128" s="797"/>
      <c r="U128" s="797"/>
      <c r="V128" s="797"/>
      <c r="W128" s="797"/>
      <c r="X128" s="797"/>
      <c r="Y128" s="797"/>
      <c r="Z128" s="797"/>
    </row>
    <row r="129" spans="1:26" s="1839" customFormat="1" ht="13.8">
      <c r="A129" s="2957" t="s">
        <v>1950</v>
      </c>
      <c r="B129" s="2865"/>
      <c r="C129" s="2865"/>
      <c r="D129" s="2966">
        <f ca="1">I112</f>
        <v>34599</v>
      </c>
      <c r="E129" s="2967"/>
      <c r="F129" s="2967"/>
      <c r="G129" s="2967"/>
      <c r="H129" s="2967"/>
      <c r="I129" s="2968"/>
      <c r="J129" s="797"/>
      <c r="K129" s="797"/>
      <c r="L129" s="797"/>
      <c r="M129" s="797"/>
      <c r="N129" s="797"/>
      <c r="O129" s="797"/>
      <c r="P129" s="797"/>
      <c r="Q129" s="797"/>
      <c r="R129" s="797"/>
      <c r="S129" s="797"/>
      <c r="T129" s="797"/>
      <c r="U129" s="797"/>
      <c r="V129" s="797"/>
      <c r="W129" s="797"/>
      <c r="X129" s="797"/>
      <c r="Y129" s="797"/>
      <c r="Z129" s="797"/>
    </row>
    <row r="130" spans="1:26" s="1839" customFormat="1" ht="14.4" thickBot="1">
      <c r="A130" s="2969" t="str">
        <f>IF(项目基本情况!D5="房地产市场价值","——",MID(A117,3,LEN(A117)-2))</f>
        <v/>
      </c>
      <c r="B130" s="2970"/>
      <c r="C130" s="2970"/>
      <c r="D130" s="2985" t="str">
        <f>I113</f>
        <v>——</v>
      </c>
      <c r="E130" s="2986"/>
      <c r="F130" s="2986"/>
      <c r="G130" s="2986"/>
      <c r="H130" s="2986"/>
      <c r="I130" s="2987"/>
      <c r="J130" s="797"/>
      <c r="K130" s="797"/>
      <c r="L130" s="797"/>
      <c r="M130" s="797"/>
      <c r="N130" s="797"/>
      <c r="O130" s="797"/>
      <c r="P130" s="797"/>
      <c r="Q130" s="797"/>
      <c r="R130" s="797"/>
      <c r="S130" s="797"/>
      <c r="T130" s="797"/>
      <c r="U130" s="797"/>
      <c r="V130" s="797"/>
      <c r="W130" s="797"/>
      <c r="X130" s="797"/>
      <c r="Y130" s="797"/>
      <c r="Z130" s="797"/>
    </row>
    <row r="131" spans="1:26" s="1839" customFormat="1" ht="15" thickTop="1" thickBot="1">
      <c r="A131" s="2957" t="s">
        <v>1950</v>
      </c>
      <c r="B131" s="2865"/>
      <c r="C131" s="2988"/>
      <c r="D131" s="2989" t="str">
        <f>I114</f>
        <v>——</v>
      </c>
      <c r="E131" s="2989"/>
      <c r="F131" s="2989"/>
      <c r="G131" s="2989"/>
      <c r="H131" s="2989"/>
      <c r="I131" s="2989"/>
      <c r="J131" s="797"/>
      <c r="K131" s="797"/>
      <c r="L131" s="797"/>
      <c r="M131" s="797"/>
      <c r="N131" s="797"/>
      <c r="O131" s="797"/>
      <c r="P131" s="797"/>
      <c r="Q131" s="797"/>
      <c r="R131" s="797"/>
      <c r="S131" s="797"/>
      <c r="T131" s="797"/>
      <c r="U131" s="797"/>
      <c r="V131" s="797"/>
      <c r="W131" s="797"/>
      <c r="X131" s="797"/>
      <c r="Y131" s="797"/>
      <c r="Z131" s="797"/>
    </row>
    <row r="132" spans="1:26" s="1839" customFormat="1" ht="15" thickTop="1" thickBot="1">
      <c r="A132" s="2969" t="str">
        <f>IF(项目基本情况!D5="房地产市场价值","——",MID(F115,3,LEN(F115)-2))</f>
        <v/>
      </c>
      <c r="B132" s="2970"/>
      <c r="C132" s="2971"/>
      <c r="D132" s="2990" t="str">
        <f>I115</f>
        <v>——</v>
      </c>
      <c r="E132" s="2990"/>
      <c r="F132" s="2990"/>
      <c r="G132" s="2990"/>
      <c r="H132" s="2990"/>
      <c r="I132" s="2990"/>
      <c r="J132" s="797"/>
      <c r="K132" s="797"/>
      <c r="L132" s="797"/>
      <c r="M132" s="797"/>
      <c r="N132" s="797"/>
      <c r="O132" s="797"/>
      <c r="P132" s="797"/>
      <c r="Q132" s="797"/>
      <c r="R132" s="797"/>
      <c r="S132" s="797"/>
      <c r="T132" s="797"/>
      <c r="U132" s="797"/>
      <c r="V132" s="797"/>
      <c r="W132" s="797"/>
      <c r="X132" s="797"/>
      <c r="Y132" s="797"/>
      <c r="Z132" s="797"/>
    </row>
    <row r="133" spans="1:26" s="1839" customFormat="1" ht="15" thickTop="1" thickBot="1">
      <c r="A133" s="2979" t="s">
        <v>1950</v>
      </c>
      <c r="B133" s="2980"/>
      <c r="C133" s="2980"/>
      <c r="D133" s="2981">
        <f>H117</f>
        <v>0</v>
      </c>
      <c r="E133" s="2982"/>
      <c r="F133" s="2982"/>
      <c r="G133" s="2982"/>
      <c r="H133" s="2982"/>
      <c r="I133" s="2983"/>
      <c r="J133" s="797"/>
      <c r="K133" s="797"/>
      <c r="L133" s="797"/>
      <c r="M133" s="797"/>
      <c r="N133" s="797"/>
      <c r="O133" s="797"/>
      <c r="P133" s="797"/>
      <c r="Q133" s="797"/>
      <c r="R133" s="797"/>
      <c r="S133" s="797"/>
      <c r="T133" s="797"/>
      <c r="U133" s="797"/>
      <c r="V133" s="797"/>
      <c r="W133" s="797"/>
      <c r="X133" s="797"/>
      <c r="Y133" s="797"/>
      <c r="Z133" s="797"/>
    </row>
    <row r="134" spans="1:26" s="1839" customFormat="1" ht="13.2">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39" customFormat="1" ht="13.8" thickBot="1">
      <c r="A135" s="2984" t="str">
        <f>IF(B32="总价","（以上估价结果中楼面单价为总价除以建筑面积得出）","（以上估价结果中总价为楼面单价乘以建筑面积得出）")</f>
        <v>（以上估价结果中总价为楼面单价乘以建筑面积得出）</v>
      </c>
      <c r="B135" s="2984"/>
      <c r="C135" s="2984"/>
      <c r="D135" s="2984"/>
      <c r="E135" s="2984"/>
      <c r="F135" s="2984"/>
      <c r="G135" s="2984"/>
      <c r="H135" s="2984"/>
      <c r="I135" s="2984"/>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2" t="s">
        <v>1951</v>
      </c>
      <c r="B136" s="2293"/>
      <c r="C136" s="2294" t="s">
        <v>1952</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5" t="s">
        <v>1953</v>
      </c>
      <c r="G142" s="2306"/>
      <c r="H142" s="2306"/>
      <c r="I142" s="2307" t="s">
        <v>1954</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8" t="s">
        <v>1955</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6"/>
      <c r="C145" s="2306"/>
      <c r="D145" s="2306"/>
      <c r="E145" s="2306"/>
      <c r="F145" s="2306"/>
      <c r="G145" s="2306"/>
      <c r="H145" s="2306"/>
      <c r="I145" s="2307" t="s">
        <v>1956</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8" t="s">
        <v>1957</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6"/>
      <c r="C148" s="2306"/>
      <c r="D148" s="2306"/>
      <c r="E148" s="2306"/>
      <c r="F148" s="2306"/>
      <c r="G148" s="2306"/>
      <c r="H148" s="2306"/>
      <c r="I148" s="2307" t="s">
        <v>1956</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N1" zoomScale="95" zoomScaleNormal="90" zoomScaleSheetLayoutView="95" workbookViewId="0">
      <pane ySplit="27" topLeftCell="A28" activePane="bottomLeft" state="frozen"/>
      <selection activeCell="A11" sqref="A11:D11"/>
      <selection pane="bottomLeft" activeCell="AA33" sqref="AA33"/>
    </sheetView>
  </sheetViews>
  <sheetFormatPr defaultColWidth="9" defaultRowHeight="13.2"/>
  <cols>
    <col min="1" max="1" width="12.33203125" style="55" customWidth="1"/>
    <col min="2" max="2" width="10.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1.44140625" style="55" customWidth="1"/>
    <col min="20" max="20" width="9" style="797"/>
    <col min="21" max="22" width="0" style="1310" hidden="1" customWidth="1"/>
    <col min="23" max="23" width="0" style="797" hidden="1" customWidth="1"/>
    <col min="24" max="25" width="0" style="1310" hidden="1" customWidth="1"/>
    <col min="26" max="26" width="0" style="797" hidden="1" customWidth="1"/>
    <col min="27" max="28" width="9" style="797"/>
    <col min="29" max="29" width="10" style="797" bestFit="1" customWidth="1"/>
    <col min="30" max="44" width="9" style="797"/>
    <col min="45" max="16384" width="9" style="55"/>
  </cols>
  <sheetData>
    <row r="1" spans="1:44" ht="21">
      <c r="A1" s="373" t="s">
        <v>2293</v>
      </c>
      <c r="B1" s="1139"/>
      <c r="C1" s="84"/>
      <c r="D1" s="84"/>
      <c r="E1" s="84"/>
      <c r="F1" s="84"/>
      <c r="G1" s="84"/>
      <c r="H1" s="84"/>
      <c r="I1" s="84"/>
      <c r="J1" s="84"/>
      <c r="K1" s="84"/>
      <c r="L1" s="84"/>
      <c r="M1" s="84"/>
      <c r="N1" s="84"/>
      <c r="O1" s="84"/>
      <c r="P1" s="84"/>
      <c r="Q1" s="84"/>
      <c r="R1" s="768"/>
      <c r="S1" s="54"/>
      <c r="T1" s="54"/>
      <c r="U1" s="1307"/>
      <c r="V1" s="1307"/>
      <c r="X1" s="1307"/>
      <c r="Y1" s="1307"/>
    </row>
    <row r="2" spans="1:44" ht="15.6">
      <c r="A2" s="165" t="s">
        <v>2294</v>
      </c>
      <c r="B2" s="334">
        <f ca="1">B23</f>
        <v>39246684</v>
      </c>
      <c r="C2" s="1178" t="str">
        <f>C23</f>
        <v>元</v>
      </c>
      <c r="D2" s="84"/>
      <c r="E2" s="84"/>
      <c r="F2" s="84"/>
      <c r="G2" s="84"/>
      <c r="H2" s="84"/>
      <c r="I2" s="84"/>
      <c r="J2" s="84"/>
      <c r="K2" s="84"/>
      <c r="L2" s="84"/>
      <c r="M2" s="84"/>
      <c r="N2" s="84"/>
      <c r="O2" s="84"/>
      <c r="P2" s="84"/>
      <c r="Q2" s="84"/>
      <c r="R2" s="768"/>
      <c r="S2" s="54"/>
      <c r="T2" s="54"/>
      <c r="U2" s="1307"/>
      <c r="V2" s="1307"/>
      <c r="X2" s="1307"/>
      <c r="Y2" s="1307"/>
    </row>
    <row r="3" spans="1:44" ht="15.6">
      <c r="A3" s="167" t="s">
        <v>2295</v>
      </c>
      <c r="B3" s="334">
        <f ca="1">B24</f>
        <v>34599</v>
      </c>
      <c r="C3" s="1178" t="s">
        <v>2296</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2297</v>
      </c>
      <c r="C4" s="3009" t="s">
        <v>2298</v>
      </c>
      <c r="D4" s="3010"/>
      <c r="E4" s="3010"/>
      <c r="F4" s="3010"/>
      <c r="G4" s="3010"/>
      <c r="H4" s="3010"/>
      <c r="I4" s="3010"/>
      <c r="J4" s="3010"/>
      <c r="K4" s="3010"/>
      <c r="L4" s="3010"/>
      <c r="M4" s="3010"/>
      <c r="N4" s="3010"/>
      <c r="O4" s="3010"/>
      <c r="P4" s="3010"/>
      <c r="Q4" s="3010"/>
      <c r="R4" s="3010"/>
      <c r="S4" s="3011"/>
      <c r="T4" s="678" t="s">
        <v>2299</v>
      </c>
      <c r="U4" s="1307"/>
      <c r="V4" s="1307"/>
      <c r="X4" s="1307"/>
      <c r="Y4" s="1307"/>
    </row>
    <row r="5" spans="1:44" s="692" customFormat="1" ht="39.6">
      <c r="A5" s="1317"/>
      <c r="B5" s="687" t="s">
        <v>2300</v>
      </c>
      <c r="C5" s="688" t="str">
        <f t="shared" ref="C5:L5" si="0">C6&amp;"(含)"&amp;"-"&amp;D6</f>
        <v>0(含)-300</v>
      </c>
      <c r="D5" s="689" t="str">
        <f t="shared" si="0"/>
        <v>300(含)-500</v>
      </c>
      <c r="E5" s="689" t="str">
        <f t="shared" si="0"/>
        <v>500(含)-1000</v>
      </c>
      <c r="F5" s="689" t="str">
        <f t="shared" si="0"/>
        <v>1000(含)-2500</v>
      </c>
      <c r="G5" s="689" t="str">
        <f t="shared" si="0"/>
        <v>2500(含)-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3.8">
      <c r="A6" s="1318"/>
      <c r="B6" s="693"/>
      <c r="C6" s="579">
        <v>0</v>
      </c>
      <c r="D6" s="579">
        <v>300</v>
      </c>
      <c r="E6" s="579">
        <v>500</v>
      </c>
      <c r="F6" s="579">
        <v>1000</v>
      </c>
      <c r="G6" s="579">
        <v>2500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4.4" thickBot="1">
      <c r="A7" s="1319"/>
      <c r="B7" s="1158"/>
      <c r="C7" s="544">
        <v>98</v>
      </c>
      <c r="D7" s="518">
        <v>100</v>
      </c>
      <c r="E7" s="518">
        <v>98</v>
      </c>
      <c r="F7" s="518">
        <v>96</v>
      </c>
      <c r="G7" s="518"/>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13.8" hidden="1" thickTop="1">
      <c r="A8" s="1320"/>
      <c r="B8" s="1171" t="s">
        <v>2301</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8" hidden="1"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0"/>
      <c r="B10" s="1152" t="s">
        <v>2302</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hidden="1"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0"/>
      <c r="B12" s="1152" t="s">
        <v>2303</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hidden="1"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2304</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2305</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2306</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13.8" thickTop="1">
      <c r="A20" s="2361" t="s">
        <v>2307</v>
      </c>
      <c r="B20" s="2362" t="s">
        <v>2308</v>
      </c>
      <c r="C20" s="2772" t="s">
        <v>2900</v>
      </c>
      <c r="D20" s="2773" t="s">
        <v>2901</v>
      </c>
      <c r="E20" s="2773" t="s">
        <v>2902</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v>100</v>
      </c>
      <c r="D21" s="1333">
        <f>C21-1</f>
        <v>99</v>
      </c>
      <c r="E21" s="1333">
        <f>D21-1</f>
        <v>98</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3" t="s">
        <v>2309</v>
      </c>
      <c r="G22" s="1871"/>
      <c r="H22" s="1871"/>
      <c r="I22" s="1871"/>
      <c r="J22" s="1872"/>
      <c r="K22" s="84"/>
      <c r="L22" s="84"/>
      <c r="M22" s="84"/>
      <c r="N22" s="84"/>
      <c r="O22" s="84"/>
      <c r="P22" s="84"/>
      <c r="Q22" s="84"/>
      <c r="R22" s="768"/>
      <c r="S22" s="54"/>
      <c r="T22" s="54"/>
      <c r="U22" s="1307"/>
      <c r="V22" s="1308"/>
      <c r="W22" s="800"/>
      <c r="X22" s="36"/>
      <c r="Y22" s="36"/>
      <c r="Z22" s="800"/>
    </row>
    <row r="23" spans="1:45" ht="16.2" thickBot="1">
      <c r="A23" s="165" t="s">
        <v>2310</v>
      </c>
      <c r="B23" s="308">
        <f ca="1">IF(F23="——",IF(C23="万元",T25,S25),IF(C23="万元",T25-H23,S25-H23))</f>
        <v>39246684</v>
      </c>
      <c r="C23" s="2364" t="str">
        <f>'数据-取费表'!B3</f>
        <v>元</v>
      </c>
      <c r="D23" s="84"/>
      <c r="E23" s="84"/>
      <c r="F23" s="2365" t="s">
        <v>1248</v>
      </c>
      <c r="G23" s="1873"/>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6">
      <c r="A24" s="2364" t="s">
        <v>2311</v>
      </c>
      <c r="B24" s="308">
        <f ca="1">R25</f>
        <v>34599</v>
      </c>
      <c r="C24" s="1139"/>
      <c r="D24" s="84"/>
      <c r="E24" s="84"/>
      <c r="F24" s="84"/>
      <c r="G24" s="84"/>
      <c r="H24" s="84"/>
      <c r="I24" s="84"/>
      <c r="J24" s="84"/>
      <c r="K24" s="84"/>
      <c r="L24" s="84"/>
      <c r="M24" s="84"/>
      <c r="N24" s="84"/>
      <c r="O24" s="84"/>
      <c r="P24" s="84"/>
      <c r="Q24" s="84"/>
      <c r="R24" s="768"/>
      <c r="S24" s="14" t="s">
        <v>2312</v>
      </c>
      <c r="T24" s="1890" t="s">
        <v>2313</v>
      </c>
      <c r="U24" s="2367" t="s">
        <v>2314</v>
      </c>
      <c r="V24" s="1336"/>
      <c r="W24" s="2368" t="s">
        <v>2315</v>
      </c>
      <c r="X24" s="2367" t="s">
        <v>2316</v>
      </c>
      <c r="Y24" s="1336"/>
      <c r="Z24" s="2369" t="s">
        <v>2315</v>
      </c>
      <c r="AA24" s="2774" t="s">
        <v>2911</v>
      </c>
      <c r="AB24" s="3139" t="s">
        <v>2908</v>
      </c>
      <c r="AC24" s="3139"/>
      <c r="AD24" s="3140"/>
    </row>
    <row r="25" spans="1:45">
      <c r="A25" s="334" t="s">
        <v>2317</v>
      </c>
      <c r="B25" s="14">
        <f>SUM(B27:B10000)</f>
        <v>1134.3300000000002</v>
      </c>
      <c r="C25" s="3006" t="s">
        <v>45</v>
      </c>
      <c r="D25" s="3007"/>
      <c r="E25" s="3007"/>
      <c r="F25" s="3007"/>
      <c r="G25" s="3007"/>
      <c r="H25" s="3007"/>
      <c r="I25" s="3007"/>
      <c r="J25" s="3007"/>
      <c r="K25" s="3007"/>
      <c r="L25" s="3007"/>
      <c r="M25" s="3007"/>
      <c r="N25" s="3007"/>
      <c r="O25" s="3007"/>
      <c r="P25" s="3007"/>
      <c r="Q25" s="3008"/>
      <c r="R25" s="702">
        <f ca="1">IF(C23="万元",ROUND(T25*10000/B25,0),ROUND(S25/B25,0))</f>
        <v>34599</v>
      </c>
      <c r="S25" s="14">
        <f ca="1">SUM(S27:S10000)</f>
        <v>39246684</v>
      </c>
      <c r="T25" s="14">
        <f ca="1">SUM(T27:T10000)</f>
        <v>3925</v>
      </c>
      <c r="U25" s="19">
        <f>SUM(U27:U10000)</f>
        <v>0</v>
      </c>
      <c r="V25" s="19">
        <f>SUM(V27:V10000)</f>
        <v>0</v>
      </c>
      <c r="W25" s="14"/>
      <c r="X25" s="19">
        <f>SUM(X27:X10000)</f>
        <v>0</v>
      </c>
      <c r="Y25" s="19">
        <f>SUM(Y27:Y10000)</f>
        <v>0</v>
      </c>
      <c r="Z25" s="2370"/>
      <c r="AA25" s="797">
        <f ca="1">SUM(AA27:AA32)</f>
        <v>3226652</v>
      </c>
      <c r="AB25" s="797">
        <v>31754</v>
      </c>
      <c r="AC25" s="797">
        <f ca="1">SUM(AC27:AC32)</f>
        <v>36020032</v>
      </c>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6" t="s">
        <v>2323</v>
      </c>
      <c r="V26" s="2371" t="s">
        <v>2324</v>
      </c>
      <c r="W26" s="2372" t="s">
        <v>2325</v>
      </c>
      <c r="X26" s="1876" t="s">
        <v>2323</v>
      </c>
      <c r="Y26" s="2371" t="s">
        <v>2324</v>
      </c>
      <c r="Z26" s="2372" t="s">
        <v>2325</v>
      </c>
      <c r="AA26" s="2775"/>
      <c r="AB26" s="2775" t="s">
        <v>2909</v>
      </c>
      <c r="AC26" s="2775" t="s">
        <v>2910</v>
      </c>
      <c r="AD26" s="801"/>
      <c r="AE26" s="801"/>
      <c r="AF26" s="801"/>
      <c r="AG26" s="801"/>
      <c r="AH26" s="801"/>
      <c r="AI26" s="801"/>
      <c r="AJ26" s="801"/>
      <c r="AK26" s="801"/>
      <c r="AL26" s="801"/>
      <c r="AM26" s="801"/>
      <c r="AN26" s="801"/>
      <c r="AO26" s="801"/>
      <c r="AP26" s="801"/>
      <c r="AQ26" s="801"/>
      <c r="AR26" s="801"/>
    </row>
    <row r="27" spans="1:45" s="707" customFormat="1">
      <c r="A27" s="704">
        <v>2901</v>
      </c>
      <c r="B27" s="705">
        <f>'数据-取费表'!E5</f>
        <v>150.56</v>
      </c>
      <c r="C27" s="705">
        <v>1</v>
      </c>
      <c r="D27" s="706"/>
      <c r="E27" s="705">
        <v>1</v>
      </c>
      <c r="F27" s="706"/>
      <c r="G27" s="705">
        <v>1</v>
      </c>
      <c r="H27" s="706"/>
      <c r="I27" s="705">
        <v>1</v>
      </c>
      <c r="J27" s="706"/>
      <c r="K27" s="705">
        <v>1</v>
      </c>
      <c r="L27" s="706"/>
      <c r="M27" s="705">
        <v>1</v>
      </c>
      <c r="N27" s="706"/>
      <c r="O27" s="705">
        <v>1</v>
      </c>
      <c r="P27" s="706" t="s">
        <v>2871</v>
      </c>
      <c r="Q27" s="705">
        <v>1</v>
      </c>
      <c r="R27" s="1187">
        <f ca="1">'结果表（2901）'!I121</f>
        <v>34599</v>
      </c>
      <c r="S27" s="705">
        <f ca="1">ROUND(R27*B27,0)</f>
        <v>5209225</v>
      </c>
      <c r="T27" s="705">
        <f ca="1">ROUND(R27*B27/10000,0)</f>
        <v>521</v>
      </c>
      <c r="U27" s="1309">
        <f>ROUND(W27*B27,0)</f>
        <v>0</v>
      </c>
      <c r="V27" s="1309">
        <f>ROUND(W27*B27/10000,0)</f>
        <v>0</v>
      </c>
      <c r="W27" s="1305"/>
      <c r="X27" s="1309">
        <f>ROUND(Z27*B27,0)</f>
        <v>0</v>
      </c>
      <c r="Y27" s="1309">
        <f>ROUND(Z27*B27/10000,0)</f>
        <v>0</v>
      </c>
      <c r="Z27" s="1305"/>
      <c r="AA27" s="802">
        <f ca="1">'结果表（2901）'!N57</f>
        <v>428275</v>
      </c>
      <c r="AB27" s="802">
        <f ca="1">'结果表（2901）'!N61</f>
        <v>31754</v>
      </c>
      <c r="AC27" s="802">
        <f ca="1">'结果表（2901）'!N59</f>
        <v>4780950</v>
      </c>
      <c r="AD27" s="802"/>
      <c r="AE27" s="802"/>
      <c r="AF27" s="802"/>
      <c r="AG27" s="802"/>
      <c r="AH27" s="802"/>
      <c r="AI27" s="802"/>
      <c r="AJ27" s="802"/>
      <c r="AK27" s="802"/>
      <c r="AL27" s="802"/>
      <c r="AM27" s="802"/>
      <c r="AN27" s="802"/>
      <c r="AO27" s="802"/>
      <c r="AP27" s="802"/>
      <c r="AQ27" s="802"/>
      <c r="AR27" s="802"/>
    </row>
    <row r="28" spans="1:45">
      <c r="A28" s="75">
        <v>2902</v>
      </c>
      <c r="B28" s="24">
        <v>188.93</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2871</v>
      </c>
      <c r="Q28" s="14">
        <f t="shared" ref="Q28:Q91" si="21">(SUMIF($20:$20,P28,$21:$21)-SUMIF($20:$20,$P$27,$21:$21)+100)/100</f>
        <v>1</v>
      </c>
      <c r="R28" s="702">
        <f ca="1">IF(B28="",0,ROUND($R$27*C28*E28*G28*I28*K28*M28*O28*Q28,0))</f>
        <v>34599</v>
      </c>
      <c r="S28" s="334">
        <f ca="1">ROUND(R28*B28,0)</f>
        <v>6536789</v>
      </c>
      <c r="T28" s="1177">
        <f ca="1">ROUND(R28*B28/10000,0)</f>
        <v>654</v>
      </c>
      <c r="U28" s="1309">
        <f t="shared" ref="U28:U91" si="22">ROUND(W28*B28,0)</f>
        <v>0</v>
      </c>
      <c r="V28" s="1309">
        <f t="shared" ref="V28:V91" si="23">ROUND(W28*B28/10000,0)</f>
        <v>0</v>
      </c>
      <c r="W28" s="1306"/>
      <c r="X28" s="1309">
        <f t="shared" ref="X28:X91" si="24">ROUND(Z28*B28,0)</f>
        <v>0</v>
      </c>
      <c r="Y28" s="1309">
        <f t="shared" ref="Y28:Y91" si="25">ROUND(Z28*B28/10000,0)</f>
        <v>0</v>
      </c>
      <c r="Z28" s="1306"/>
      <c r="AA28" s="797">
        <f ca="1">'结果表 (2902)'!N57</f>
        <v>537420</v>
      </c>
      <c r="AB28" s="797">
        <f ca="1">'结果表 (2902)'!N61</f>
        <v>31754</v>
      </c>
      <c r="AC28" s="797">
        <f ca="1">'结果表 (2902)'!N59</f>
        <v>5999369</v>
      </c>
    </row>
    <row r="29" spans="1:45">
      <c r="A29" s="75">
        <v>2903</v>
      </c>
      <c r="B29" s="24">
        <v>188.93</v>
      </c>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t="s">
        <v>2871</v>
      </c>
      <c r="Q29" s="14">
        <f t="shared" si="21"/>
        <v>1</v>
      </c>
      <c r="R29" s="702">
        <f t="shared" ref="R29:R92" ca="1" si="26">IF(B29="",0,ROUND($R$27*C29*E29*G29*I29*K29*M29*O29*Q29,0))</f>
        <v>34599</v>
      </c>
      <c r="S29" s="334">
        <f t="shared" ref="S29:S92" ca="1" si="27">ROUND(R29*B29,0)</f>
        <v>6536789</v>
      </c>
      <c r="T29" s="1177">
        <f t="shared" ref="T29:T92" ca="1" si="28">ROUND(R29*B29/10000,0)</f>
        <v>654</v>
      </c>
      <c r="U29" s="1309">
        <f t="shared" si="22"/>
        <v>0</v>
      </c>
      <c r="V29" s="1309">
        <f t="shared" si="23"/>
        <v>0</v>
      </c>
      <c r="W29" s="1306"/>
      <c r="X29" s="1309">
        <f t="shared" si="24"/>
        <v>0</v>
      </c>
      <c r="Y29" s="1309">
        <f t="shared" si="25"/>
        <v>0</v>
      </c>
      <c r="Z29" s="1306"/>
      <c r="AA29" s="797">
        <f ca="1">'结果表 (2903)'!N57</f>
        <v>537420</v>
      </c>
      <c r="AB29" s="797">
        <f ca="1">'结果表 (2903)'!N61</f>
        <v>31754</v>
      </c>
      <c r="AC29" s="797">
        <f ca="1">'结果表 (2903)'!N59</f>
        <v>5999369</v>
      </c>
    </row>
    <row r="30" spans="1:45">
      <c r="A30" s="75">
        <v>2905</v>
      </c>
      <c r="B30" s="24">
        <v>203.09</v>
      </c>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t="s">
        <v>2871</v>
      </c>
      <c r="Q30" s="14">
        <f t="shared" si="21"/>
        <v>1</v>
      </c>
      <c r="R30" s="702">
        <f t="shared" ca="1" si="26"/>
        <v>34599</v>
      </c>
      <c r="S30" s="334">
        <f t="shared" ca="1" si="27"/>
        <v>7026711</v>
      </c>
      <c r="T30" s="1177">
        <f t="shared" ca="1" si="28"/>
        <v>703</v>
      </c>
      <c r="U30" s="1309">
        <f t="shared" si="22"/>
        <v>0</v>
      </c>
      <c r="V30" s="1309">
        <f t="shared" si="23"/>
        <v>0</v>
      </c>
      <c r="W30" s="1306"/>
      <c r="X30" s="1309">
        <f t="shared" si="24"/>
        <v>0</v>
      </c>
      <c r="Y30" s="1309">
        <f t="shared" si="25"/>
        <v>0</v>
      </c>
      <c r="Z30" s="1306"/>
      <c r="AA30" s="797">
        <f ca="1">'结果表 (2905)'!N57</f>
        <v>577698</v>
      </c>
      <c r="AB30" s="797">
        <f ca="1">'结果表 (2905)'!N61</f>
        <v>31754</v>
      </c>
      <c r="AC30" s="797">
        <f ca="1">'结果表 (2905)'!N59</f>
        <v>6449013</v>
      </c>
    </row>
    <row r="31" spans="1:45">
      <c r="A31" s="75">
        <v>2906</v>
      </c>
      <c r="B31" s="24">
        <v>212.5</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t="s">
        <v>2871</v>
      </c>
      <c r="Q31" s="14">
        <f t="shared" si="21"/>
        <v>1</v>
      </c>
      <c r="R31" s="702">
        <f t="shared" ca="1" si="26"/>
        <v>34599</v>
      </c>
      <c r="S31" s="334">
        <f t="shared" ca="1" si="27"/>
        <v>7352288</v>
      </c>
      <c r="T31" s="1177">
        <f t="shared" ca="1" si="28"/>
        <v>735</v>
      </c>
      <c r="U31" s="1309">
        <f t="shared" si="22"/>
        <v>0</v>
      </c>
      <c r="V31" s="1309">
        <f t="shared" si="23"/>
        <v>0</v>
      </c>
      <c r="W31" s="1306"/>
      <c r="X31" s="1309">
        <f t="shared" si="24"/>
        <v>0</v>
      </c>
      <c r="Y31" s="1309">
        <f t="shared" si="25"/>
        <v>0</v>
      </c>
      <c r="Z31" s="1306"/>
      <c r="AA31" s="797">
        <f ca="1">'结果表 (2906)'!N57</f>
        <v>604466</v>
      </c>
      <c r="AB31" s="797">
        <f ca="1">'结果表 (2906)'!N61</f>
        <v>31754</v>
      </c>
      <c r="AC31" s="797">
        <f ca="1">'结果表 (2906)'!N59</f>
        <v>6747822</v>
      </c>
    </row>
    <row r="32" spans="1:45">
      <c r="A32" s="75">
        <v>2907</v>
      </c>
      <c r="B32" s="24">
        <v>190.32</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t="s">
        <v>2871</v>
      </c>
      <c r="Q32" s="14">
        <f t="shared" si="21"/>
        <v>1</v>
      </c>
      <c r="R32" s="702">
        <f t="shared" ca="1" si="26"/>
        <v>34599</v>
      </c>
      <c r="S32" s="334">
        <f t="shared" ca="1" si="27"/>
        <v>6584882</v>
      </c>
      <c r="T32" s="1177">
        <f t="shared" ca="1" si="28"/>
        <v>658</v>
      </c>
      <c r="U32" s="1309">
        <f t="shared" si="22"/>
        <v>0</v>
      </c>
      <c r="V32" s="1309">
        <f t="shared" si="23"/>
        <v>0</v>
      </c>
      <c r="W32" s="1306"/>
      <c r="X32" s="1309">
        <f t="shared" si="24"/>
        <v>0</v>
      </c>
      <c r="Y32" s="1309">
        <f t="shared" si="25"/>
        <v>0</v>
      </c>
      <c r="Z32" s="1306"/>
      <c r="AA32" s="797">
        <f ca="1">'结果表 (2907)'!N57</f>
        <v>541373</v>
      </c>
      <c r="AB32" s="797">
        <f ca="1">'结果表 (2907)'!N61</f>
        <v>31754</v>
      </c>
      <c r="AC32" s="797">
        <f ca="1">'结果表 (2907)'!N59</f>
        <v>6043509</v>
      </c>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0.01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0.01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0.01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0.01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0.01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0.01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0.01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0.01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0.01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0.01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0.01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0.01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0.01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0.01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0.01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0.01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0.01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0.01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0.01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0.01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0.01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0.01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0.01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0.01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0.01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0.01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0.01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0.01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0.01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0.01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0.01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0.01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0.01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0.01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0.01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0.01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0.01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0.01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0.01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0.01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0.01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0.01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0.01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0.01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0.01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0.01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0.01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0.01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0.01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0.01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0.01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0.01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0.01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0.01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0.01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0.01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0.01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0.01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0.01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0.01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0.01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0.01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0.01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0.01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0.01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0.01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0.01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0.01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0.01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0.01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0.01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0.01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0.01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0.01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0.01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0.01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0.01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0.01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0.01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0.01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0.01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0.01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0.01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0.01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0.01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0.01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0.01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0.01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0.01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0.01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0.01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0.01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0.01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0.01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0.01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0.01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0.01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0.01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0.01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0.01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0.01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0.01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0.01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0.01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0.01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0.01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0.01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0.01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0.01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0.01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0.01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0.01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0.01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0.01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0.01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0.01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0.01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0.01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0.01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0.01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0.01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0.01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0.01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0.01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0.01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0.01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0.01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0.01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0.01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0.01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0.01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0.01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0.01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0.01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0.01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0.01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0.01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0.01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0.01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0.01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0.01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0.01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0.01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0.01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0.01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0.01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0.01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0.01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0.01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0.01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0.01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0.01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0.01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0.01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0.01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0.01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0.01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0.01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0.01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0.01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0.01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0.01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0.01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0.01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0.01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0.01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0.01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0.01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0.01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0.01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0.01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0.01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0.01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0.01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0.01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0.01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0.01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0.01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0.01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0.01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0.01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0.01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0.01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0.01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0.01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0.01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0.01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0.01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0.01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0.01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0.01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0.01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0.01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0.01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0.01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0.01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0.01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0.01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0.01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0.01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0.01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0.01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0.01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0.01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0.01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0.01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0.01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0.01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0.01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0.01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0.01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0.01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0.01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0.01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0.01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0.01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0.01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0.01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0.01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0.01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0.01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0.01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0.01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0.01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0.01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0.01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0.01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0.01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0.01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0.01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0.01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0.01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0.01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0.01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0.01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0.01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0.01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0.01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0.01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0.01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0.01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0.01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0.01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0.01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0.01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0.01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0.01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0.01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0.01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0.01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0.01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0.01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0.01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0.01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0.01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0.01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0.01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0.01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0.01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0.01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0.01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0.01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0.01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0.01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0.01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0.01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0.01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0.01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0.01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0.01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0.01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0.01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0.01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0.01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0.01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0.01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0.01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0.01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0.01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0.01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0.01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0.01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0.01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0.01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0.01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0.01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0.01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0.01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0.01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0.01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0.01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0.01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0.01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0.01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0.01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0.01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0.01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0.01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0.01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0.01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0.01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0.01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0.01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0.01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0.01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0.01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0.01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0.01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0.01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0.01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0.01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0.01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0.01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0.01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0.01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0.01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0.01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0.01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0.01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0.01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0.01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0.01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0.01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0.01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0.01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0.01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0.01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0.01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0.01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0.01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0.01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0.01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0.01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0.01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0.01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0.01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0.01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0.01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0.01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0.01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0.01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0.01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0.01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0.01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0.01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0.01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0.01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0.01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0.01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0.01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0.01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0.01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0.01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0.01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0.01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0.01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0.01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0.01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0.01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0.01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0.01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0.01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0.01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0.01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0.01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0.01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0.01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0.01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0.01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0.01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0.01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0.01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0.01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0.01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formatCells="0" formatColumns="0" formatRows="0"/>
  <mergeCells count="3">
    <mergeCell ref="C25:Q25"/>
    <mergeCell ref="C4:S4"/>
    <mergeCell ref="AB24:AC2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0" zoomScaleNormal="100" zoomScaleSheetLayoutView="100" zoomScalePageLayoutView="80" workbookViewId="0">
      <selection activeCell="F49" sqref="F49"/>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c r="A3" s="2870" t="s">
        <v>1764</v>
      </c>
      <c r="B3" s="2871"/>
      <c r="C3" s="2871"/>
      <c r="D3" s="2871"/>
      <c r="E3" s="2871"/>
      <c r="F3" s="2871"/>
      <c r="G3" s="2871"/>
      <c r="H3" s="2871"/>
      <c r="I3" s="2871"/>
    </row>
    <row r="4" spans="1:12" ht="14.4">
      <c r="A4" s="2189" t="s">
        <v>1765</v>
      </c>
      <c r="B4" s="2190" t="s">
        <v>1766</v>
      </c>
      <c r="C4" s="2191" t="s">
        <v>2856</v>
      </c>
      <c r="D4" s="2191" t="s">
        <v>2857</v>
      </c>
      <c r="E4" s="2872" t="s">
        <v>1767</v>
      </c>
      <c r="F4" s="2873"/>
      <c r="G4" s="2873"/>
      <c r="H4" s="2873"/>
      <c r="I4" s="2874"/>
      <c r="K4" s="1839" t="str">
        <f>IF(ISNUMBER(FIND("比较法",'结果表（2901）'!C4)),"比较法",IF(ISNUMBER(FIND("成本法",'结果表（2901）'!C4)),"成本法",IF(ISNUMBER(FIND("假设开发法",'结果表（2901）'!C4)),"假设开发法",IF(ISNUMBER(FIND("收益法",'结果表（2901）'!C4)),"收益法","基准地价系数修正法"))))</f>
        <v>比较法</v>
      </c>
      <c r="L4" s="1839" t="str">
        <f>IF(ISNUMBER(FIND("比较法",'结果表（2901）'!D4)),"比较法",IF(ISNUMBER(FIND("成本法",'结果表（2901）'!D4)),"成本法",IF(ISNUMBER(FIND("假设开发法",'结果表（2901）'!D4)),"假设开发法",IF(ISNUMBER(FIND("收益法",'结果表（2901）'!D4)),"收益法","基准地价系数修正法"))))</f>
        <v>收益法</v>
      </c>
    </row>
    <row r="5" spans="1:12" ht="13.2">
      <c r="A5" s="2864" t="s">
        <v>1768</v>
      </c>
      <c r="B5" s="2865">
        <v>25</v>
      </c>
      <c r="C5" s="2866"/>
      <c r="D5" s="2868"/>
      <c r="E5" s="56" t="s">
        <v>1769</v>
      </c>
      <c r="F5" s="2192"/>
      <c r="G5" s="2192"/>
      <c r="H5" s="2192"/>
      <c r="I5" s="2193"/>
    </row>
    <row r="6" spans="1:12" ht="13.2">
      <c r="A6" s="2864"/>
      <c r="B6" s="2865"/>
      <c r="C6" s="2875"/>
      <c r="D6" s="2868"/>
      <c r="E6" s="56" t="s">
        <v>1770</v>
      </c>
      <c r="F6" s="2192"/>
      <c r="G6" s="2192"/>
      <c r="H6" s="2192"/>
      <c r="I6" s="2193"/>
    </row>
    <row r="7" spans="1:12" ht="13.2">
      <c r="A7" s="2864"/>
      <c r="B7" s="2865"/>
      <c r="C7" s="2867"/>
      <c r="D7" s="2868"/>
      <c r="E7" s="56" t="s">
        <v>1771</v>
      </c>
      <c r="F7" s="2192"/>
      <c r="G7" s="2192"/>
      <c r="H7" s="2192"/>
      <c r="I7" s="2193"/>
    </row>
    <row r="8" spans="1:12" ht="13.2">
      <c r="A8" s="2864" t="s">
        <v>1772</v>
      </c>
      <c r="B8" s="2865">
        <v>15</v>
      </c>
      <c r="C8" s="2866"/>
      <c r="D8" s="2868"/>
      <c r="E8" s="56" t="s">
        <v>1773</v>
      </c>
      <c r="F8" s="2192"/>
      <c r="G8" s="2192"/>
      <c r="H8" s="2192"/>
      <c r="I8" s="2193"/>
    </row>
    <row r="9" spans="1:12" ht="13.2">
      <c r="A9" s="2864"/>
      <c r="B9" s="2865"/>
      <c r="C9" s="2867"/>
      <c r="D9" s="2868"/>
      <c r="E9" s="56" t="s">
        <v>1774</v>
      </c>
      <c r="F9" s="2192"/>
      <c r="G9" s="2192"/>
      <c r="H9" s="2192"/>
      <c r="I9" s="2193"/>
    </row>
    <row r="10" spans="1:12" ht="13.2">
      <c r="A10" s="2864" t="s">
        <v>1775</v>
      </c>
      <c r="B10" s="2865">
        <v>15</v>
      </c>
      <c r="C10" s="2866"/>
      <c r="D10" s="2868"/>
      <c r="E10" s="56" t="s">
        <v>1776</v>
      </c>
      <c r="F10" s="2192"/>
      <c r="G10" s="2192"/>
      <c r="H10" s="2192"/>
      <c r="I10" s="2193"/>
    </row>
    <row r="11" spans="1:12" ht="13.2">
      <c r="A11" s="2864"/>
      <c r="B11" s="2865"/>
      <c r="C11" s="2867"/>
      <c r="D11" s="2868"/>
      <c r="E11" s="56" t="s">
        <v>1777</v>
      </c>
      <c r="F11" s="2192"/>
      <c r="G11" s="2192"/>
      <c r="H11" s="2192"/>
      <c r="I11" s="2193"/>
    </row>
    <row r="12" spans="1:12" ht="13.2">
      <c r="A12" s="2864" t="s">
        <v>1778</v>
      </c>
      <c r="B12" s="2865">
        <v>15</v>
      </c>
      <c r="C12" s="2866"/>
      <c r="D12" s="2868"/>
      <c r="E12" s="56" t="s">
        <v>1779</v>
      </c>
      <c r="F12" s="2192"/>
      <c r="G12" s="2192"/>
      <c r="H12" s="2192"/>
      <c r="I12" s="2193"/>
    </row>
    <row r="13" spans="1:12" ht="13.2">
      <c r="A13" s="2864"/>
      <c r="B13" s="2865"/>
      <c r="C13" s="2867"/>
      <c r="D13" s="2868"/>
      <c r="E13" s="56" t="s">
        <v>1780</v>
      </c>
      <c r="F13" s="2192"/>
      <c r="G13" s="2192"/>
      <c r="H13" s="2192"/>
      <c r="I13" s="2193"/>
    </row>
    <row r="14" spans="1:12" ht="13.2">
      <c r="A14" s="2864" t="s">
        <v>1781</v>
      </c>
      <c r="B14" s="2865">
        <v>30</v>
      </c>
      <c r="C14" s="2866">
        <v>5</v>
      </c>
      <c r="D14" s="2868">
        <v>5</v>
      </c>
      <c r="E14" s="56" t="s">
        <v>1782</v>
      </c>
      <c r="F14" s="2192"/>
      <c r="G14" s="2192"/>
      <c r="H14" s="2192"/>
      <c r="I14" s="2193"/>
    </row>
    <row r="15" spans="1:12" ht="13.2">
      <c r="A15" s="2864"/>
      <c r="B15" s="2865"/>
      <c r="C15" s="2875"/>
      <c r="D15" s="2868"/>
      <c r="E15" s="56" t="s">
        <v>1783</v>
      </c>
      <c r="F15" s="2192"/>
      <c r="G15" s="2192"/>
      <c r="H15" s="2192"/>
      <c r="I15" s="2193"/>
    </row>
    <row r="16" spans="1:12" ht="13.2">
      <c r="A16" s="2864"/>
      <c r="B16" s="2865"/>
      <c r="C16" s="2867"/>
      <c r="D16" s="2868"/>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SUMIF(INDIRECT("'"&amp;C4&amp;"'"&amp;"!A:A"),'结果表（2901）'!B19,INDIRECT("'"&amp;C4&amp;"'"&amp;"!B:B"))</f>
        <v>4974051</v>
      </c>
      <c r="D19" s="60">
        <f ca="1">SUMIF(INDIRECT("'"&amp;D4&amp;"'"&amp;"!A:A"),'结果表（2901）'!B19,INDIRECT("'"&amp;D4&amp;"'"&amp;"!B:B"))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SUMIF(INDIRECT("'"&amp;C4&amp;"'"&amp;"!A:A"),'结果表（2901）'!B20,INDIRECT("'"&amp;C4&amp;"'"&amp;"!B:B"))</f>
        <v>33037</v>
      </c>
      <c r="D20" s="63">
        <f ca="1">SUMIF(INDIRECT("'"&amp;D4&amp;"'"&amp;"!A:A"),'结果表（2901）'!B20,INDIRECT("'"&amp;D4&amp;"'"&amp;"!B:B"))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876" t="s">
        <v>1793</v>
      </c>
      <c r="B24" s="2199" t="s">
        <v>1788</v>
      </c>
      <c r="C24" s="61">
        <f>D30</f>
        <v>0</v>
      </c>
      <c r="D24" s="989"/>
      <c r="E24" s="2187"/>
      <c r="F24" s="2187"/>
      <c r="G24" s="2187"/>
      <c r="H24" s="2187"/>
      <c r="I24" s="2187"/>
    </row>
    <row r="25" spans="1:35" ht="21.75" customHeight="1">
      <c r="A25" s="2877"/>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878" t="s">
        <v>1806</v>
      </c>
      <c r="B36" s="2229" t="s">
        <v>1807</v>
      </c>
      <c r="C36" s="69">
        <v>0</v>
      </c>
      <c r="D36" s="2230"/>
      <c r="E36" s="2231"/>
      <c r="F36" s="2231"/>
      <c r="G36" s="2187"/>
      <c r="H36" s="2187"/>
      <c r="I36" s="2187"/>
    </row>
    <row r="37" spans="1:16" ht="15" thickBot="1">
      <c r="A37" s="2879"/>
      <c r="B37" s="2232" t="s">
        <v>1808</v>
      </c>
      <c r="C37" s="71">
        <v>0</v>
      </c>
      <c r="D37" s="2197"/>
      <c r="E37" s="2197"/>
      <c r="F37" s="2231"/>
      <c r="G37" s="2197"/>
      <c r="H37" s="2197"/>
      <c r="I37" s="2197"/>
    </row>
    <row r="38" spans="1:16" ht="15" thickBot="1">
      <c r="A38" s="2880"/>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ROUND(典型户型修正!S27*F45,0)</f>
        <v>5209225</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1876">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1876">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65034</v>
      </c>
      <c r="E48" s="1886" t="str">
        <f>IF(H48="情况4","(销售额-原购置价)×税（费）率","销售额×税（费）率")</f>
        <v>(销售额-原购置价)×税（费）率</v>
      </c>
      <c r="F48" s="91">
        <f>IF(H48="情况1","免征",'数据-取费表'!E29)</f>
        <v>5.6000000000000001E-2</v>
      </c>
      <c r="G48" s="2250" t="s">
        <v>1830</v>
      </c>
      <c r="H48" s="2251" t="s">
        <v>2904</v>
      </c>
      <c r="I48" s="2249"/>
      <c r="J48" s="1876">
        <v>3</v>
      </c>
      <c r="K48" s="2884" t="s">
        <v>1832</v>
      </c>
      <c r="L48" s="2884"/>
      <c r="M48" s="2888">
        <f ca="1">典型户型修正!S27</f>
        <v>5209225</v>
      </c>
      <c r="N48" s="2888"/>
      <c r="O48" s="2888"/>
      <c r="P48" s="1839"/>
    </row>
    <row r="49" spans="1:16" ht="25.5" customHeight="1">
      <c r="A49" s="92" t="s">
        <v>1833</v>
      </c>
      <c r="B49" s="2889" t="s">
        <v>1834</v>
      </c>
      <c r="C49" s="2889"/>
      <c r="D49" s="93">
        <v>0</v>
      </c>
      <c r="E49" s="13" t="s">
        <v>1835</v>
      </c>
      <c r="F49" s="18" t="s">
        <v>48</v>
      </c>
      <c r="G49" s="2895"/>
      <c r="H49" s="2187"/>
      <c r="I49" s="2252"/>
      <c r="J49" s="1876">
        <v>4</v>
      </c>
      <c r="K49" s="2884" t="str">
        <f>IF(项目基本情况!F5="房地产抵押价值","房地产抵押价值","抵押担保权已注销时的房地产抵押价值")</f>
        <v>房地产抵押价值</v>
      </c>
      <c r="L49" s="2884"/>
      <c r="M49" s="2888">
        <f ca="1">M48</f>
        <v>5209225</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253" t="s">
        <v>1839</v>
      </c>
      <c r="K51" s="2884" t="s">
        <v>1840</v>
      </c>
      <c r="L51" s="2884"/>
      <c r="M51" s="2253" t="s">
        <v>1841</v>
      </c>
      <c r="N51" s="2253" t="s">
        <v>1842</v>
      </c>
      <c r="O51" s="2253" t="s">
        <v>1843</v>
      </c>
      <c r="P51" s="1839"/>
    </row>
    <row r="52" spans="1:16" ht="24" customHeight="1">
      <c r="A52" s="99" t="s">
        <v>1844</v>
      </c>
      <c r="B52" s="2889" t="s">
        <v>1845</v>
      </c>
      <c r="C52" s="2889"/>
      <c r="D52" s="98">
        <f ca="1">ROUND(D45*'数据-取费表'!E29/(1+'数据-取费表'!F30),0)</f>
        <v>277825</v>
      </c>
      <c r="E52" s="10" t="s">
        <v>1846</v>
      </c>
      <c r="F52" s="100">
        <f>'数据-取费表'!E29</f>
        <v>5.6000000000000001E-2</v>
      </c>
      <c r="G52" s="2254"/>
      <c r="H52" s="2187"/>
      <c r="I52" s="2252"/>
      <c r="J52" s="1876">
        <v>1</v>
      </c>
      <c r="K52" s="2890" t="s">
        <v>1847</v>
      </c>
      <c r="L52" s="2890"/>
      <c r="M52" s="777">
        <f ca="1">D48</f>
        <v>65034</v>
      </c>
      <c r="N52" s="1876" t="str">
        <f>E48</f>
        <v>(销售额-原购置价)×税（费）率</v>
      </c>
      <c r="O52" s="778">
        <f>F48</f>
        <v>5.6000000000000001E-2</v>
      </c>
      <c r="P52" s="1839"/>
    </row>
    <row r="53" spans="1:16" ht="12" customHeight="1">
      <c r="A53" s="99" t="s">
        <v>1848</v>
      </c>
      <c r="B53" s="2891" t="s">
        <v>1849</v>
      </c>
      <c r="C53" s="2836"/>
      <c r="D53" s="98">
        <f ca="1">ROUND(D45*'数据-取费表'!E29/(1+'数据-取费表'!F30),0)</f>
        <v>277825</v>
      </c>
      <c r="E53" s="10" t="s">
        <v>1846</v>
      </c>
      <c r="F53" s="100">
        <f>'数据-取费表'!E29</f>
        <v>5.6000000000000001E-2</v>
      </c>
      <c r="G53" s="2254"/>
      <c r="H53" s="2187"/>
      <c r="I53" s="2252"/>
      <c r="J53" s="1876">
        <v>2</v>
      </c>
      <c r="K53" s="2890" t="s">
        <v>1850</v>
      </c>
      <c r="L53" s="2890"/>
      <c r="M53" s="777">
        <f t="shared" ref="M53:O54" ca="1" si="1">D55</f>
        <v>2605</v>
      </c>
      <c r="N53" s="1876" t="str">
        <f t="shared" si="1"/>
        <v>销售额×税（费）率</v>
      </c>
      <c r="O53" s="778">
        <f t="shared" si="1"/>
        <v>5.0000000000000001E-4</v>
      </c>
      <c r="P53" s="1839"/>
    </row>
    <row r="54" spans="1:16" ht="12" customHeight="1">
      <c r="A54" s="99" t="s">
        <v>1851</v>
      </c>
      <c r="B54" s="2891" t="s">
        <v>1852</v>
      </c>
      <c r="C54" s="2836"/>
      <c r="D54" s="98">
        <f ca="1">C68</f>
        <v>65034</v>
      </c>
      <c r="E54" s="20" t="s">
        <v>1853</v>
      </c>
      <c r="F54" s="100">
        <f>'数据-取费表'!E29</f>
        <v>5.6000000000000001E-2</v>
      </c>
      <c r="G54" s="2254"/>
      <c r="H54" s="2255"/>
      <c r="I54" s="2252"/>
      <c r="J54" s="1876">
        <v>3</v>
      </c>
      <c r="K54" s="2890" t="s">
        <v>1854</v>
      </c>
      <c r="L54" s="2890"/>
      <c r="M54" s="777">
        <f t="shared" ca="1" si="1"/>
        <v>360636</v>
      </c>
      <c r="N54" s="1876" t="str">
        <f t="shared" si="1"/>
        <v>增值额×税（费）率</v>
      </c>
      <c r="O54" s="779" t="str">
        <f t="shared" si="1"/>
        <v>——</v>
      </c>
      <c r="P54" s="1839"/>
    </row>
    <row r="55" spans="1:16" ht="24" customHeight="1">
      <c r="A55" s="2828" t="s">
        <v>1855</v>
      </c>
      <c r="B55" s="2894"/>
      <c r="C55" s="2894"/>
      <c r="D55" s="101">
        <f ca="1">IF(H55="个人住宅",0,ROUND(D45*I55,0))</f>
        <v>2605</v>
      </c>
      <c r="E55" s="10" t="s">
        <v>1856</v>
      </c>
      <c r="F55" s="100">
        <f>IF(H55="正常",I55,"免征")</f>
        <v>5.0000000000000001E-4</v>
      </c>
      <c r="G55" s="2254"/>
      <c r="H55" s="2251" t="s">
        <v>1857</v>
      </c>
      <c r="I55" s="102">
        <f>'数据-取费表'!E37</f>
        <v>5.0000000000000001E-4</v>
      </c>
      <c r="J55" s="1876" t="str">
        <f>IF(H59="非个人房产","",4)</f>
        <v/>
      </c>
      <c r="K55" s="2890" t="str">
        <f>IF(H59="非个人房产","——","个人所得税")</f>
        <v>——</v>
      </c>
      <c r="L55" s="2890"/>
      <c r="M55" s="780" t="str">
        <f>D59</f>
        <v>——</v>
      </c>
      <c r="N55" s="1879" t="str">
        <f>E59</f>
        <v>——</v>
      </c>
      <c r="O55" s="781" t="str">
        <f>F59</f>
        <v>——</v>
      </c>
      <c r="P55" s="1839"/>
    </row>
    <row r="56" spans="1:16" ht="25.2">
      <c r="A56" s="2828" t="s">
        <v>1858</v>
      </c>
      <c r="B56" s="2894"/>
      <c r="C56" s="2894"/>
      <c r="D56" s="101">
        <f ca="1">IF(H56="个人住宅",D57,D58)</f>
        <v>360636</v>
      </c>
      <c r="E56" s="10" t="s">
        <v>1859</v>
      </c>
      <c r="F56" s="100" t="str">
        <f>IF(H56="正常",F58,"免征")</f>
        <v>——</v>
      </c>
      <c r="G56" s="2256" t="s">
        <v>1860</v>
      </c>
      <c r="H56" s="2257" t="s">
        <v>1857</v>
      </c>
      <c r="I56" s="1017"/>
      <c r="J56" s="1876"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428275</v>
      </c>
      <c r="O57" s="2259"/>
      <c r="P57" s="1835">
        <f ca="1">N57/M49</f>
        <v>8.221472483910755E-2</v>
      </c>
    </row>
    <row r="58" spans="1:16" ht="25.2">
      <c r="A58" s="99" t="s">
        <v>1844</v>
      </c>
      <c r="B58" s="2872" t="s">
        <v>1864</v>
      </c>
      <c r="C58" s="2873"/>
      <c r="D58" s="101">
        <f ca="1">IF(H58="转让取得",C81,C97)</f>
        <v>360636</v>
      </c>
      <c r="E58" s="10" t="s">
        <v>1859</v>
      </c>
      <c r="F58" s="14" t="s">
        <v>48</v>
      </c>
      <c r="G58" s="2254"/>
      <c r="H58" s="2257" t="s">
        <v>2905</v>
      </c>
      <c r="I58" s="1017"/>
      <c r="J58" s="2890"/>
      <c r="K58" s="2890"/>
      <c r="L58" s="2258" t="s">
        <v>1866</v>
      </c>
      <c r="M58" s="784"/>
      <c r="N58" s="2260" t="str">
        <f ca="1">IF(H19="元",NUMBERSTRING(INT(N57),2)&amp;"元整",NUMBERSTRING(INT(N57*10000),2)&amp;"元整")</f>
        <v>肆拾贰万捌仟贰佰柒拾伍元整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1876" t="s">
        <v>1863</v>
      </c>
      <c r="M59" s="785"/>
      <c r="N59" s="786">
        <f ca="1">M49-N57</f>
        <v>4780950</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肆佰柒拾捌万零玖佰伍拾元整</v>
      </c>
      <c r="O60" s="2261"/>
      <c r="P60" s="1839"/>
    </row>
    <row r="61" spans="1:16" ht="13.8" thickBot="1">
      <c r="A61" s="2912" t="s">
        <v>1869</v>
      </c>
      <c r="B61" s="2912"/>
      <c r="C61" s="2912"/>
      <c r="D61" s="2912"/>
      <c r="E61" s="2912"/>
      <c r="F61" s="1017"/>
      <c r="G61" s="1017"/>
      <c r="H61" s="2240"/>
      <c r="I61" s="2187"/>
      <c r="J61" s="1876">
        <f>J59+1</f>
        <v>6</v>
      </c>
      <c r="K61" s="2890" t="s">
        <v>1870</v>
      </c>
      <c r="L61" s="2890"/>
      <c r="M61" s="787"/>
      <c r="N61" s="788">
        <f ca="1">IF(H19="元",ROUND(N59/典型户型修正!B27,0),ROUND(N59*10000/项目基本情况!C12,0))</f>
        <v>31754</v>
      </c>
      <c r="O61" s="2264"/>
      <c r="P61" s="1839"/>
    </row>
    <row r="62" spans="1:16" ht="13.2">
      <c r="A62" s="2910" t="s">
        <v>1871</v>
      </c>
      <c r="B62" s="2911"/>
      <c r="C62" s="1878"/>
      <c r="D62" s="1878"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4961167</v>
      </c>
      <c r="D63" s="112"/>
      <c r="E63" s="113"/>
      <c r="F63" s="1017"/>
      <c r="G63" s="1017"/>
      <c r="H63" s="2240"/>
      <c r="I63" s="2187"/>
      <c r="J63" s="2913" t="s">
        <v>1875</v>
      </c>
      <c r="K63" s="2265" t="s">
        <v>1876</v>
      </c>
      <c r="L63" s="1838">
        <f ca="1">IF(M49&gt;10000,M49*0.5%,IF(AND(M49&gt;1000,M49&lt;=10000),M49*1%,IF(AND(M49&gt;100,M49&lt;=1000),M49*3%,IF(AND(M49&gt;10,M49&lt;=100),M49*5%,M49*8%))))</f>
        <v>26046.125</v>
      </c>
      <c r="M63" s="14">
        <f ca="1">ROUND(L63,1)</f>
        <v>26046.1</v>
      </c>
      <c r="N63" s="1839"/>
      <c r="O63" s="1839"/>
      <c r="P63" s="1839"/>
    </row>
    <row r="64" spans="1:16" ht="13.2">
      <c r="A64" s="114" t="s">
        <v>71</v>
      </c>
      <c r="B64" s="115" t="s">
        <v>1877</v>
      </c>
      <c r="C64" s="116">
        <f ca="1">D45</f>
        <v>5209225</v>
      </c>
      <c r="D64" s="117" t="s">
        <v>41</v>
      </c>
      <c r="E64" s="118"/>
      <c r="F64" s="1017"/>
      <c r="G64" s="1017"/>
      <c r="H64" s="2240"/>
      <c r="I64" s="2187"/>
      <c r="J64" s="2913"/>
      <c r="K64" s="2265" t="s">
        <v>1878</v>
      </c>
      <c r="L64" s="1838">
        <f ca="1">IF(M49&gt;2000,M49*0.5%,IF(AND(M49&gt;1000,M49&lt;=2000),M49*0.6%,IF(AND(M49&gt;500,M49&lt;=1000),M49*0.7%,IF(AND(M49&gt;200,M49&lt;=500),M49*0.8%,IF(AND(M49&gt;100,M49&lt;=200),M49*0.9%,IF(AND(M49&gt;50,M49&lt;=100),M49*1%,IF(AND(M49&gt;20,M49&lt;=50),M49*1.5%,IF(AND(M49&gt;10,M49&lt;=20),M49*2%,IF(AND(M49&gt;1,M49&lt;=10),M49*2.5%)))))))))</f>
        <v>26046.125</v>
      </c>
      <c r="M64" s="14">
        <f t="shared" ref="M64:M65" ca="1" si="2">ROUND(L64,1)</f>
        <v>26046.1</v>
      </c>
      <c r="N64" s="1839" t="s">
        <v>1879</v>
      </c>
      <c r="O64" s="1839"/>
      <c r="P64" s="1839"/>
    </row>
    <row r="65" spans="1:35" ht="13.2">
      <c r="A65" s="114" t="s">
        <v>72</v>
      </c>
      <c r="B65" s="115" t="s">
        <v>1880</v>
      </c>
      <c r="C65" s="119"/>
      <c r="D65" s="117"/>
      <c r="E65" s="118"/>
      <c r="F65" s="1017"/>
      <c r="G65" s="1017"/>
      <c r="H65" s="2240"/>
      <c r="I65" s="2187"/>
      <c r="J65" s="2913"/>
      <c r="K65" s="2265" t="s">
        <v>1881</v>
      </c>
      <c r="L65" s="1838">
        <f ca="1">IF(M49&gt;1000,M49*0.1%,IF(AND(M49&gt;500,M49&lt;=1000),M49*0.5%,IF(AND(M49&gt;50,M49&lt;=500),M49*1%,IF(AND(M49&gt;1,M49&lt;=50),M49*1.5%))))</f>
        <v>5209.2250000000004</v>
      </c>
      <c r="M65" s="14">
        <f t="shared" ca="1" si="2"/>
        <v>5209.2</v>
      </c>
      <c r="N65" s="1839" t="s">
        <v>1879</v>
      </c>
      <c r="O65" s="1839"/>
      <c r="P65" s="1839"/>
    </row>
    <row r="66" spans="1:35" ht="25.2">
      <c r="A66" s="120" t="s">
        <v>47</v>
      </c>
      <c r="B66" s="121" t="s">
        <v>1882</v>
      </c>
      <c r="C66" s="122">
        <f>ROUND(3989840/1.05,0)</f>
        <v>3799848</v>
      </c>
      <c r="D66" s="123" t="s">
        <v>41</v>
      </c>
      <c r="E66" s="1855" t="s">
        <v>1883</v>
      </c>
      <c r="F66" s="1017"/>
      <c r="G66" s="1017"/>
      <c r="H66" s="2240"/>
      <c r="I66" s="2187"/>
      <c r="J66" s="2913"/>
      <c r="K66" s="2265" t="s">
        <v>1884</v>
      </c>
      <c r="L66" s="1838">
        <f ca="1">M49*0.5%</f>
        <v>26046.125</v>
      </c>
      <c r="M66" s="14">
        <f ca="1">IF(L66&gt;0.5,0.5,ROUND(L66,0))</f>
        <v>0.5</v>
      </c>
      <c r="N66" s="1839" t="s">
        <v>1885</v>
      </c>
      <c r="O66" s="1839"/>
      <c r="P66" s="1839"/>
    </row>
    <row r="67" spans="1:35" ht="13.2">
      <c r="A67" s="120" t="s">
        <v>42</v>
      </c>
      <c r="B67" s="121" t="s">
        <v>1886</v>
      </c>
      <c r="C67" s="124">
        <f ca="1">C63-C66</f>
        <v>1161319</v>
      </c>
      <c r="D67" s="117" t="s">
        <v>41</v>
      </c>
      <c r="E67" s="118"/>
      <c r="F67" s="1017"/>
      <c r="G67" s="1017"/>
      <c r="H67" s="2240"/>
      <c r="I67" s="2187"/>
      <c r="J67" s="2913"/>
      <c r="K67" s="2265" t="s">
        <v>1887</v>
      </c>
      <c r="L67" s="1838">
        <f ca="1">IF(M49&gt;=10000,(8.25+(M49-10000)*0.01%),IF(AND(M49&gt;=8000,M49&lt;10000),(7.85+(M49-8000)*0.02%),IF(AND(M49&gt;=5000,M49&lt;8000),(6.65+(M49-5000)*0.04%),IF(AND(M49&gt;=2000,M49&lt;5000),(4.25+(PM49-2000)*0.08%),IF(AND(M49&gt;=1000,M49&lt;2000),(2.75+(M49-1000)*0.15%),IF(AND(M49&gt;=100,M49&lt;1000),(0.5+(M49-100)*0.25%),IF(AND(M49&gt;0,M49&lt;100),M49*0.5%)))))))</f>
        <v>528.17250000000001</v>
      </c>
      <c r="M67" s="14">
        <f ca="1">ROUND(L67*0.9,1)</f>
        <v>475.4</v>
      </c>
      <c r="N67" s="1839"/>
      <c r="O67" s="1839"/>
      <c r="P67" s="1839"/>
    </row>
    <row r="68" spans="1:35" ht="13.8" thickBot="1">
      <c r="A68" s="125" t="s">
        <v>46</v>
      </c>
      <c r="B68" s="126" t="s">
        <v>1888</v>
      </c>
      <c r="C68" s="127">
        <f ca="1">IF(C67&lt;=0,0,ROUND(C67*D68,0))</f>
        <v>65034</v>
      </c>
      <c r="D68" s="128">
        <f>'数据-取费表'!E29</f>
        <v>5.6000000000000001E-2</v>
      </c>
      <c r="E68" s="129"/>
      <c r="F68" s="1017"/>
      <c r="G68" s="1017"/>
      <c r="H68" s="2240"/>
      <c r="I68" s="2187"/>
      <c r="J68" s="2913"/>
      <c r="K68" s="2265" t="s">
        <v>1889</v>
      </c>
      <c r="L68" s="1838">
        <f ca="1">IF(M49&gt;10000,M49*0.5%,IF(AND(M49&gt;5000,M49&lt;=10000),M49*1%,IF(AND(M49&gt;1000,M49&lt;=5000),M49*2%,IF(AND(M49&gt;200,M49&lt;=1000),M49*3%,M49*5%))))</f>
        <v>26046.125</v>
      </c>
      <c r="M68" s="14">
        <f ca="1">ROUND(L68,1)</f>
        <v>26046.1</v>
      </c>
      <c r="N68" s="1839"/>
      <c r="O68" s="1839"/>
      <c r="P68" s="1839"/>
    </row>
    <row r="69" spans="1:35" s="2214" customFormat="1" ht="7.5" customHeight="1">
      <c r="A69" s="2266"/>
      <c r="B69" s="2267"/>
      <c r="C69" s="2268"/>
      <c r="D69" s="2269"/>
      <c r="E69" s="2270"/>
      <c r="F69" s="1017"/>
      <c r="G69" s="1017"/>
      <c r="H69" s="2240"/>
      <c r="I69" s="2187"/>
      <c r="J69" s="2913"/>
      <c r="K69" s="2265" t="s">
        <v>1890</v>
      </c>
      <c r="L69" s="2271"/>
      <c r="M69" s="14">
        <f ca="1">ROUND(SUM(M63:M68),0)</f>
        <v>83823</v>
      </c>
      <c r="N69" s="1835">
        <f ca="1">M69/M49</f>
        <v>1.6091261176086655E-2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1878"/>
      <c r="D71" s="1878"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4961167</v>
      </c>
      <c r="D72" s="117" t="s">
        <v>41</v>
      </c>
      <c r="E72" s="12" t="s">
        <v>1893</v>
      </c>
      <c r="F72" s="1882"/>
      <c r="G72" s="1882"/>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3759047</v>
      </c>
      <c r="D73" s="117" t="s">
        <v>41</v>
      </c>
      <c r="E73" s="1881"/>
      <c r="F73" s="1882"/>
      <c r="G73" s="1882"/>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3729280</v>
      </c>
      <c r="D74" s="117" t="s">
        <v>41</v>
      </c>
      <c r="E74" s="1881"/>
      <c r="F74" s="1882"/>
      <c r="G74" s="1882"/>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3799848</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110377</v>
      </c>
      <c r="D77" s="142">
        <f>'数据-取费表'!E36+'数据-取费表'!E37</f>
        <v>3.0499999999999999E-2</v>
      </c>
      <c r="E77" s="12" t="s">
        <v>1903</v>
      </c>
      <c r="F77" s="143"/>
      <c r="G77" s="2277" t="s">
        <v>1904</v>
      </c>
      <c r="H77" s="1883"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29767</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1202120</v>
      </c>
      <c r="D79" s="117" t="s">
        <v>41</v>
      </c>
      <c r="E79" s="1881"/>
      <c r="F79" s="1882"/>
      <c r="G79" s="1882"/>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0.31979382008259011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360636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1878"/>
      <c r="D84" s="1878"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4961167</v>
      </c>
      <c r="D85" s="117" t="s">
        <v>41</v>
      </c>
      <c r="E85" s="1881" t="s">
        <v>1893</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29767</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1875"/>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29767</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4931400</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165.66667786474954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2948422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4" t="s">
        <v>1925</v>
      </c>
      <c r="B99" s="2925"/>
      <c r="C99" s="2925"/>
      <c r="D99" s="2926"/>
      <c r="E99" s="2187"/>
      <c r="F99" s="2927" t="s">
        <v>1926</v>
      </c>
      <c r="G99" s="2928"/>
      <c r="H99" s="2928"/>
      <c r="I99" s="2929"/>
    </row>
    <row r="100" spans="1:35" ht="15.6">
      <c r="A100" s="2930" t="s">
        <v>1927</v>
      </c>
      <c r="B100" s="2931"/>
      <c r="C100" s="719" t="str">
        <f>C4</f>
        <v>比较法-办公</v>
      </c>
      <c r="D100" s="720" t="str">
        <f>D4</f>
        <v>收益法</v>
      </c>
      <c r="E100" s="2187"/>
      <c r="F100" s="2932" t="s">
        <v>1928</v>
      </c>
      <c r="G100" s="2933"/>
      <c r="H100" s="2932" t="s">
        <v>1929</v>
      </c>
      <c r="I100" s="2915"/>
    </row>
    <row r="101" spans="1:35" ht="15.6">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c r="A102" s="2918"/>
      <c r="B102" s="2282" t="s">
        <v>1931</v>
      </c>
      <c r="C102" s="721">
        <f ca="1">C20</f>
        <v>33037</v>
      </c>
      <c r="D102" s="722">
        <f ca="1">D20</f>
        <v>36160</v>
      </c>
      <c r="E102" s="2187"/>
      <c r="F102" s="2916" t="s">
        <v>1932</v>
      </c>
      <c r="G102" s="2917"/>
      <c r="H102" s="2283" t="str">
        <f>C106</f>
        <v>总价（元）</v>
      </c>
      <c r="I102" s="1856">
        <f ca="1">H121</f>
        <v>39246684</v>
      </c>
    </row>
    <row r="103" spans="1:35" ht="15.6">
      <c r="A103" s="2918" t="s">
        <v>1933</v>
      </c>
      <c r="B103" s="2284" t="str">
        <f>B101</f>
        <v>总价（元）</v>
      </c>
      <c r="C103" s="723">
        <f ca="1">H121</f>
        <v>39246684</v>
      </c>
      <c r="D103" s="724"/>
      <c r="E103" s="2187"/>
      <c r="F103" s="2916"/>
      <c r="G103" s="2917"/>
      <c r="H103" s="2283" t="s">
        <v>1931</v>
      </c>
      <c r="I103" s="1045">
        <f ca="1">I121</f>
        <v>34599</v>
      </c>
    </row>
    <row r="104" spans="1:35" ht="16.2" thickBot="1">
      <c r="A104" s="2919"/>
      <c r="B104" s="2285" t="s">
        <v>1931</v>
      </c>
      <c r="C104" s="725">
        <f ca="1">I121</f>
        <v>34599</v>
      </c>
      <c r="D104" s="726"/>
      <c r="E104" s="2187"/>
      <c r="F104" s="2920"/>
      <c r="G104" s="2921"/>
      <c r="H104" s="2922"/>
      <c r="I104" s="2923"/>
    </row>
    <row r="105" spans="1:35" ht="15.6">
      <c r="A105" s="2924" t="s">
        <v>1934</v>
      </c>
      <c r="B105" s="2925"/>
      <c r="C105" s="2925"/>
      <c r="D105" s="2926"/>
      <c r="E105" s="2187"/>
      <c r="F105" s="2934" t="s">
        <v>1935</v>
      </c>
      <c r="G105" s="2935"/>
      <c r="H105" s="2286" t="str">
        <f>C108</f>
        <v>总额（元）</v>
      </c>
      <c r="I105" s="1856">
        <f>SUMIF(I106:I108,"&lt;9E307")</f>
        <v>0</v>
      </c>
    </row>
    <row r="106" spans="1:35" ht="15.6">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36"/>
      <c r="B107" s="2937"/>
      <c r="C107" s="2283" t="s">
        <v>1931</v>
      </c>
      <c r="D107" s="1047">
        <f ca="1">I121</f>
        <v>34599</v>
      </c>
      <c r="E107" s="2187"/>
      <c r="F107" s="2938" t="s">
        <v>1938</v>
      </c>
      <c r="G107" s="2939"/>
      <c r="H107" s="2286" t="str">
        <f>C110</f>
        <v>总额（元）</v>
      </c>
      <c r="I107" s="1045">
        <f>C37</f>
        <v>0</v>
      </c>
      <c r="K107" s="2287"/>
    </row>
    <row r="108" spans="1:35" ht="15.6">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c r="A109" s="2938" t="s">
        <v>1937</v>
      </c>
      <c r="B109" s="2939"/>
      <c r="C109" s="2286" t="str">
        <f>C108</f>
        <v>总额（元）</v>
      </c>
      <c r="D109" s="637">
        <f>IF(D36="同一抵押权人同一抵押物续贷",C36&amp;"（未扣减，详见特别提示）",C36)</f>
        <v>0</v>
      </c>
      <c r="E109" s="2187"/>
      <c r="F109" s="2920"/>
      <c r="G109" s="2921"/>
      <c r="H109" s="2951"/>
      <c r="I109" s="2952"/>
    </row>
    <row r="110" spans="1:35" ht="28.5" customHeight="1">
      <c r="A110" s="2938" t="s">
        <v>1938</v>
      </c>
      <c r="B110" s="2939"/>
      <c r="C110" s="2286" t="str">
        <f>C108</f>
        <v>总额（元）</v>
      </c>
      <c r="D110" s="637">
        <f>C37</f>
        <v>0</v>
      </c>
      <c r="E110" s="2187"/>
      <c r="F110" s="2942" t="str">
        <f>IF(项目基本情况!F5="已注销","——","3.房地产抵押价值")</f>
        <v>3.房地产抵押价值</v>
      </c>
      <c r="G110" s="2943"/>
      <c r="H110" s="2288" t="str">
        <f>C112</f>
        <v>总价（元）</v>
      </c>
      <c r="I110" s="1857">
        <f ca="1">IF(F110="——","——",I102-I105)</f>
        <v>39246684</v>
      </c>
    </row>
    <row r="111" spans="1:35" ht="15.6">
      <c r="A111" s="2938" t="s">
        <v>1940</v>
      </c>
      <c r="B111" s="2939"/>
      <c r="C111" s="2286" t="str">
        <f>C108</f>
        <v>总额（元）</v>
      </c>
      <c r="D111" s="637">
        <f>C38</f>
        <v>0</v>
      </c>
      <c r="E111" s="2187"/>
      <c r="F111" s="2944"/>
      <c r="G111" s="2945"/>
      <c r="H111" s="2283" t="s">
        <v>1931</v>
      </c>
      <c r="I111" s="2289">
        <f ca="1">D113</f>
        <v>34599</v>
      </c>
    </row>
    <row r="112" spans="1:35" ht="26.25"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c r="A118" s="2955" t="s">
        <v>1941</v>
      </c>
      <c r="B118" s="2956"/>
      <c r="C118" s="2956"/>
      <c r="D118" s="2956"/>
      <c r="E118" s="2956"/>
      <c r="F118" s="2956"/>
      <c r="G118" s="2956"/>
      <c r="H118" s="2956"/>
      <c r="I118" s="2956"/>
    </row>
    <row r="119" spans="1:15" ht="13.8">
      <c r="A119" s="2957" t="s">
        <v>1942</v>
      </c>
      <c r="B119" s="2958" t="s">
        <v>1943</v>
      </c>
      <c r="C119" s="2958" t="s">
        <v>1944</v>
      </c>
      <c r="D119" s="2960" t="s">
        <v>1945</v>
      </c>
      <c r="E119" s="2961"/>
      <c r="F119" s="2865" t="s">
        <v>1804</v>
      </c>
      <c r="G119" s="2865"/>
      <c r="H119" s="2865" t="s">
        <v>1946</v>
      </c>
      <c r="I119" s="2962"/>
    </row>
    <row r="120" spans="1:15" ht="14.4">
      <c r="A120" s="2957"/>
      <c r="B120" s="2959"/>
      <c r="C120" s="2959"/>
      <c r="D120" s="1880" t="s">
        <v>1947</v>
      </c>
      <c r="E120" s="1880" t="s">
        <v>1948</v>
      </c>
      <c r="F120" s="1880" t="s">
        <v>1947</v>
      </c>
      <c r="G120" s="1880" t="s">
        <v>1949</v>
      </c>
      <c r="H120" s="1880" t="s">
        <v>1947</v>
      </c>
      <c r="I120" s="637" t="s">
        <v>1949</v>
      </c>
    </row>
    <row r="121" spans="1:15" ht="96.6">
      <c r="A121" s="2173" t="str">
        <f>项目基本情况!I1</f>
        <v>北京市海淀区花园东路15号9层2901至2903、2905至2907共6套办公用房房地产</v>
      </c>
      <c r="B121" s="1880">
        <f>项目基本情况!C12</f>
        <v>1134.33</v>
      </c>
      <c r="C121" s="1880">
        <f>项目基本情况!C13</f>
        <v>0</v>
      </c>
      <c r="D121" s="1880">
        <f ca="1">ROUND(IF(B32="总价",C34,IF('数据-取费表'!B3="万元",E121*B121/10000,E121*B121)),0)</f>
        <v>34576647</v>
      </c>
      <c r="E121" s="1880">
        <f ca="1">ROUND(IF(B32="楼面单价",C34,IF(H19="元",D121/B121,D121*10000/B121)),0)</f>
        <v>30482</v>
      </c>
      <c r="F121" s="1880">
        <f ca="1">ROUND(IF(B32="总价",C35,IF('数据-取费表'!B3="万元",G121*B121/10000,G121*B121)),0)</f>
        <v>4670037</v>
      </c>
      <c r="G121" s="1880">
        <f ca="1">ROUND(IF(B32="楼面单价",C35,IF(H19="元",F121/B121,F121*10000/B121)),0)</f>
        <v>4117</v>
      </c>
      <c r="H121" s="1880">
        <f ca="1">ROUND(IF(B32="总价",C32,IF('数据-取费表'!B3="万元",I121*B121/10000,I121*B121)),0)</f>
        <v>39246684</v>
      </c>
      <c r="I121" s="637">
        <f ca="1">ROUND(IF(B32="楼面单价",C32,IF(H19="元",H121/B121,H121*10000/B121)),0)</f>
        <v>34599</v>
      </c>
    </row>
    <row r="122" spans="1:15" ht="13.8">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c r="A124" s="2963" t="s">
        <v>1950</v>
      </c>
      <c r="B124" s="2964"/>
      <c r="C124" s="2965"/>
      <c r="D124" s="2966">
        <f>H109</f>
        <v>0</v>
      </c>
      <c r="E124" s="2967"/>
      <c r="F124" s="2967"/>
      <c r="G124" s="2967"/>
      <c r="H124" s="2967"/>
      <c r="I124" s="2968"/>
    </row>
    <row r="125" spans="1:15" ht="13.8">
      <c r="A125" s="2969" t="str">
        <f>IF(项目基本情况!D5="房地产市场价值","——",MID(A112,3,LEN(A112)-2))</f>
        <v>房地产抵押价值</v>
      </c>
      <c r="B125" s="2970"/>
      <c r="C125" s="2970"/>
      <c r="D125" s="2971">
        <f ca="1">I110</f>
        <v>39246684</v>
      </c>
      <c r="E125" s="2972"/>
      <c r="F125" s="2972"/>
      <c r="G125" s="2972"/>
      <c r="H125" s="2972"/>
      <c r="I125" s="2973"/>
    </row>
    <row r="126" spans="1:15" ht="13.8">
      <c r="A126" s="2957" t="s">
        <v>1950</v>
      </c>
      <c r="B126" s="2865"/>
      <c r="C126" s="2865"/>
      <c r="D126" s="2966">
        <f ca="1">I111</f>
        <v>34599</v>
      </c>
      <c r="E126" s="2967"/>
      <c r="F126" s="2967"/>
      <c r="G126" s="2967"/>
      <c r="H126" s="2967"/>
      <c r="I126" s="2968"/>
    </row>
    <row r="127" spans="1:15" ht="14.4" thickBot="1">
      <c r="A127" s="2969" t="str">
        <f>IF(项目基本情况!D5="房地产市场价值","——",MID(A114,3,LEN(A114)-2))</f>
        <v/>
      </c>
      <c r="B127" s="2970"/>
      <c r="C127" s="2970"/>
      <c r="D127" s="2985" t="str">
        <f>I112</f>
        <v>——</v>
      </c>
      <c r="E127" s="2986"/>
      <c r="F127" s="2986"/>
      <c r="G127" s="2986"/>
      <c r="H127" s="2986"/>
      <c r="I127" s="2987"/>
    </row>
    <row r="128" spans="1:15" ht="15" thickTop="1" thickBot="1">
      <c r="A128" s="2957" t="s">
        <v>1950</v>
      </c>
      <c r="B128" s="2865"/>
      <c r="C128" s="2988"/>
      <c r="D128" s="2989" t="str">
        <f>I113</f>
        <v>——</v>
      </c>
      <c r="E128" s="2989"/>
      <c r="F128" s="2989"/>
      <c r="G128" s="2989"/>
      <c r="H128" s="2989"/>
      <c r="I128" s="2989"/>
    </row>
    <row r="129" spans="1:9" ht="15" thickTop="1" thickBot="1">
      <c r="A129" s="2969" t="str">
        <f>IF(项目基本情况!D5="房地产市场价值","——",MID(F114,3,LEN(F114)-2))</f>
        <v/>
      </c>
      <c r="B129" s="2970"/>
      <c r="C129" s="2971"/>
      <c r="D129" s="2990" t="str">
        <f>I114</f>
        <v>——</v>
      </c>
      <c r="E129" s="2990"/>
      <c r="F129" s="2990"/>
      <c r="G129" s="2990"/>
      <c r="H129" s="2990"/>
      <c r="I129" s="2990"/>
    </row>
    <row r="130" spans="1:9" ht="15" thickTop="1" thickBot="1">
      <c r="A130" s="2979" t="s">
        <v>1950</v>
      </c>
      <c r="B130" s="2980"/>
      <c r="C130" s="2980"/>
      <c r="D130" s="2981">
        <f>H116</f>
        <v>0</v>
      </c>
      <c r="E130" s="2982"/>
      <c r="F130" s="2982"/>
      <c r="G130" s="2982"/>
      <c r="H130" s="2982"/>
      <c r="I130" s="2983"/>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hidden="1">
      <c r="A3" s="2870" t="s">
        <v>1764</v>
      </c>
      <c r="B3" s="2871"/>
      <c r="C3" s="2871"/>
      <c r="D3" s="2871"/>
      <c r="E3" s="2871"/>
      <c r="F3" s="2871"/>
      <c r="G3" s="2871"/>
      <c r="H3" s="2871"/>
      <c r="I3" s="2871"/>
    </row>
    <row r="4" spans="1:12" ht="14.4" hidden="1">
      <c r="A4" s="2189" t="s">
        <v>1765</v>
      </c>
      <c r="B4" s="2747" t="s">
        <v>1766</v>
      </c>
      <c r="C4" s="2191" t="s">
        <v>2856</v>
      </c>
      <c r="D4" s="2191" t="s">
        <v>2857</v>
      </c>
      <c r="E4" s="2872" t="s">
        <v>1767</v>
      </c>
      <c r="F4" s="2873"/>
      <c r="G4" s="2873"/>
      <c r="H4" s="2873"/>
      <c r="I4" s="2874"/>
      <c r="K4" s="1839" t="str">
        <f>IF(ISNUMBER(FIND("比较法",'结果表 (2902)'!C4)),"比较法",IF(ISNUMBER(FIND("成本法",'结果表 (2902)'!C4)),"成本法",IF(ISNUMBER(FIND("假设开发法",'结果表 (2902)'!C4)),"假设开发法",IF(ISNUMBER(FIND("收益法",'结果表 (2902)'!C4)),"收益法","基准地价系数修正法"))))</f>
        <v>比较法</v>
      </c>
      <c r="L4" s="1839" t="str">
        <f>IF(ISNUMBER(FIND("比较法",'结果表 (2902)'!D4)),"比较法",IF(ISNUMBER(FIND("成本法",'结果表 (2902)'!D4)),"成本法",IF(ISNUMBER(FIND("假设开发法",'结果表 (2902)'!D4)),"假设开发法",IF(ISNUMBER(FIND("收益法",'结果表 (2902)'!D4)),"收益法","基准地价系数修正法"))))</f>
        <v>收益法</v>
      </c>
    </row>
    <row r="5" spans="1:12" ht="13.2" hidden="1">
      <c r="A5" s="2864" t="s">
        <v>1768</v>
      </c>
      <c r="B5" s="2865">
        <v>25</v>
      </c>
      <c r="C5" s="2866"/>
      <c r="D5" s="2868"/>
      <c r="E5" s="56" t="s">
        <v>1769</v>
      </c>
      <c r="F5" s="2192"/>
      <c r="G5" s="2192"/>
      <c r="H5" s="2192"/>
      <c r="I5" s="2193"/>
    </row>
    <row r="6" spans="1:12" ht="13.2" hidden="1">
      <c r="A6" s="2864"/>
      <c r="B6" s="2865"/>
      <c r="C6" s="2875"/>
      <c r="D6" s="2868"/>
      <c r="E6" s="56" t="s">
        <v>1770</v>
      </c>
      <c r="F6" s="2192"/>
      <c r="G6" s="2192"/>
      <c r="H6" s="2192"/>
      <c r="I6" s="2193"/>
    </row>
    <row r="7" spans="1:12" ht="13.2" hidden="1">
      <c r="A7" s="2864"/>
      <c r="B7" s="2865"/>
      <c r="C7" s="2867"/>
      <c r="D7" s="2868"/>
      <c r="E7" s="56" t="s">
        <v>1771</v>
      </c>
      <c r="F7" s="2192"/>
      <c r="G7" s="2192"/>
      <c r="H7" s="2192"/>
      <c r="I7" s="2193"/>
    </row>
    <row r="8" spans="1:12" ht="13.2" hidden="1">
      <c r="A8" s="2864" t="s">
        <v>1772</v>
      </c>
      <c r="B8" s="2865">
        <v>15</v>
      </c>
      <c r="C8" s="2866"/>
      <c r="D8" s="2868"/>
      <c r="E8" s="56" t="s">
        <v>1773</v>
      </c>
      <c r="F8" s="2192"/>
      <c r="G8" s="2192"/>
      <c r="H8" s="2192"/>
      <c r="I8" s="2193"/>
    </row>
    <row r="9" spans="1:12" ht="13.2" hidden="1">
      <c r="A9" s="2864"/>
      <c r="B9" s="2865"/>
      <c r="C9" s="2867"/>
      <c r="D9" s="2868"/>
      <c r="E9" s="56" t="s">
        <v>1774</v>
      </c>
      <c r="F9" s="2192"/>
      <c r="G9" s="2192"/>
      <c r="H9" s="2192"/>
      <c r="I9" s="2193"/>
    </row>
    <row r="10" spans="1:12" ht="13.2" hidden="1">
      <c r="A10" s="2864" t="s">
        <v>1775</v>
      </c>
      <c r="B10" s="2865">
        <v>15</v>
      </c>
      <c r="C10" s="2866"/>
      <c r="D10" s="2868"/>
      <c r="E10" s="56" t="s">
        <v>1776</v>
      </c>
      <c r="F10" s="2192"/>
      <c r="G10" s="2192"/>
      <c r="H10" s="2192"/>
      <c r="I10" s="2193"/>
    </row>
    <row r="11" spans="1:12" ht="13.2" hidden="1">
      <c r="A11" s="2864"/>
      <c r="B11" s="2865"/>
      <c r="C11" s="2867"/>
      <c r="D11" s="2868"/>
      <c r="E11" s="56" t="s">
        <v>1777</v>
      </c>
      <c r="F11" s="2192"/>
      <c r="G11" s="2192"/>
      <c r="H11" s="2192"/>
      <c r="I11" s="2193"/>
    </row>
    <row r="12" spans="1:12" ht="13.2" hidden="1">
      <c r="A12" s="2864" t="s">
        <v>1778</v>
      </c>
      <c r="B12" s="2865">
        <v>15</v>
      </c>
      <c r="C12" s="2866"/>
      <c r="D12" s="2868"/>
      <c r="E12" s="56" t="s">
        <v>1779</v>
      </c>
      <c r="F12" s="2192"/>
      <c r="G12" s="2192"/>
      <c r="H12" s="2192"/>
      <c r="I12" s="2193"/>
    </row>
    <row r="13" spans="1:12" ht="13.2" hidden="1">
      <c r="A13" s="2864"/>
      <c r="B13" s="2865"/>
      <c r="C13" s="2867"/>
      <c r="D13" s="2868"/>
      <c r="E13" s="56" t="s">
        <v>1780</v>
      </c>
      <c r="F13" s="2192"/>
      <c r="G13" s="2192"/>
      <c r="H13" s="2192"/>
      <c r="I13" s="2193"/>
    </row>
    <row r="14" spans="1:12" ht="13.2" hidden="1">
      <c r="A14" s="2864" t="s">
        <v>1781</v>
      </c>
      <c r="B14" s="2865">
        <v>30</v>
      </c>
      <c r="C14" s="2866">
        <v>5</v>
      </c>
      <c r="D14" s="2868">
        <v>5</v>
      </c>
      <c r="E14" s="56" t="s">
        <v>1782</v>
      </c>
      <c r="F14" s="2192"/>
      <c r="G14" s="2192"/>
      <c r="H14" s="2192"/>
      <c r="I14" s="2193"/>
    </row>
    <row r="15" spans="1:12" ht="13.2" hidden="1">
      <c r="A15" s="2864"/>
      <c r="B15" s="2865"/>
      <c r="C15" s="2875"/>
      <c r="D15" s="2868"/>
      <c r="E15" s="56" t="s">
        <v>1783</v>
      </c>
      <c r="F15" s="2192"/>
      <c r="G15" s="2192"/>
      <c r="H15" s="2192"/>
      <c r="I15" s="2193"/>
    </row>
    <row r="16" spans="1:12" ht="13.2" hidden="1">
      <c r="A16" s="2864"/>
      <c r="B16" s="2865"/>
      <c r="C16" s="2867"/>
      <c r="D16" s="2868"/>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(2902)'!B19,INDIRECT("'"&amp;C4&amp;"'"&amp;"!B:B"))</f>
        <v>4974051</v>
      </c>
      <c r="D19" s="60">
        <f ca="1">SUMIF(INDIRECT("'"&amp;D4&amp;"'"&amp;"!A:A"),'结果表 (2902)'!B19,INDIRECT("'"&amp;D4&amp;"'"&amp;"!B:B"))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(2902)'!B20,INDIRECT("'"&amp;C4&amp;"'"&amp;"!B:B"))</f>
        <v>33037</v>
      </c>
      <c r="D20" s="63">
        <f ca="1">SUMIF(INDIRECT("'"&amp;D4&amp;"'"&amp;"!A:A"),'结果表 (2902)'!B20,INDIRECT("'"&amp;D4&amp;"'"&amp;"!B:B"))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76" t="s">
        <v>1793</v>
      </c>
      <c r="B24" s="2199" t="s">
        <v>1788</v>
      </c>
      <c r="C24" s="61">
        <f>D30</f>
        <v>0</v>
      </c>
      <c r="D24" s="989"/>
      <c r="E24" s="2187"/>
      <c r="F24" s="2187"/>
      <c r="G24" s="2187"/>
      <c r="H24" s="2187"/>
      <c r="I24" s="2187"/>
    </row>
    <row r="25" spans="1:35" ht="21.75" hidden="1" customHeight="1">
      <c r="A25" s="2877"/>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78" t="s">
        <v>1806</v>
      </c>
      <c r="B36" s="2229" t="s">
        <v>1807</v>
      </c>
      <c r="C36" s="69">
        <v>0</v>
      </c>
      <c r="D36" s="2230"/>
      <c r="E36" s="2231"/>
      <c r="F36" s="2231"/>
      <c r="G36" s="2187"/>
      <c r="H36" s="2187"/>
      <c r="I36" s="2187"/>
    </row>
    <row r="37" spans="1:16" ht="15" hidden="1" thickBot="1">
      <c r="A37" s="2879"/>
      <c r="B37" s="2232" t="s">
        <v>1808</v>
      </c>
      <c r="C37" s="71">
        <v>0</v>
      </c>
      <c r="D37" s="2197"/>
      <c r="E37" s="2197"/>
      <c r="F37" s="2231"/>
      <c r="G37" s="2197"/>
      <c r="H37" s="2197"/>
      <c r="I37" s="2197"/>
    </row>
    <row r="38" spans="1:16" ht="15" hidden="1" thickBot="1">
      <c r="A38" s="2880"/>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ROUND(典型户型修正!S28*F45,0)</f>
        <v>6536789</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2757">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2757">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84" t="s">
        <v>1832</v>
      </c>
      <c r="L48" s="2884"/>
      <c r="M48" s="2888">
        <f ca="1">典型户型修正!S28</f>
        <v>6536789</v>
      </c>
      <c r="N48" s="2888"/>
      <c r="O48" s="2888"/>
      <c r="P48" s="1839"/>
    </row>
    <row r="49" spans="1:16" ht="25.5" customHeight="1">
      <c r="A49" s="92" t="s">
        <v>1833</v>
      </c>
      <c r="B49" s="2889" t="s">
        <v>1834</v>
      </c>
      <c r="C49" s="2889"/>
      <c r="D49" s="93">
        <v>0</v>
      </c>
      <c r="E49" s="13" t="s">
        <v>1835</v>
      </c>
      <c r="F49" s="18" t="s">
        <v>48</v>
      </c>
      <c r="G49" s="2895"/>
      <c r="H49" s="2187"/>
      <c r="I49" s="2252"/>
      <c r="J49" s="2757">
        <v>4</v>
      </c>
      <c r="K49" s="2884" t="str">
        <f>IF(项目基本情况!F5="房地产抵押价值","房地产抵押价值","抵押担保权已注销时的房地产抵押价值")</f>
        <v>房地产抵押价值</v>
      </c>
      <c r="L49" s="2884"/>
      <c r="M49" s="2888">
        <f ca="1">M48</f>
        <v>6536789</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760" t="s">
        <v>1839</v>
      </c>
      <c r="K51" s="2884" t="s">
        <v>1840</v>
      </c>
      <c r="L51" s="2884"/>
      <c r="M51" s="2760" t="s">
        <v>1841</v>
      </c>
      <c r="N51" s="2760" t="s">
        <v>1842</v>
      </c>
      <c r="O51" s="2760" t="s">
        <v>1843</v>
      </c>
      <c r="P51" s="1839"/>
    </row>
    <row r="52" spans="1:16" ht="24" customHeight="1">
      <c r="A52" s="99" t="s">
        <v>1844</v>
      </c>
      <c r="B52" s="2889" t="s">
        <v>1845</v>
      </c>
      <c r="C52" s="2889"/>
      <c r="D52" s="98">
        <f ca="1">ROUND(D45*'数据-取费表'!E29/(1+'数据-取费表'!F30),0)</f>
        <v>348629</v>
      </c>
      <c r="E52" s="10" t="s">
        <v>1846</v>
      </c>
      <c r="F52" s="100">
        <f>'数据-取费表'!E29</f>
        <v>5.6000000000000001E-2</v>
      </c>
      <c r="G52" s="2254"/>
      <c r="H52" s="2187"/>
      <c r="I52" s="2252"/>
      <c r="J52" s="2757">
        <v>1</v>
      </c>
      <c r="K52" s="2890" t="s">
        <v>1847</v>
      </c>
      <c r="L52" s="2890"/>
      <c r="M52" s="777">
        <f ca="1">D48</f>
        <v>81608</v>
      </c>
      <c r="N52" s="2757" t="str">
        <f>E48</f>
        <v>(销售额-原购置价)×税（费）率</v>
      </c>
      <c r="O52" s="778">
        <f>F48</f>
        <v>5.6000000000000001E-2</v>
      </c>
      <c r="P52" s="1839"/>
    </row>
    <row r="53" spans="1:16" ht="12" customHeight="1">
      <c r="A53" s="99" t="s">
        <v>1848</v>
      </c>
      <c r="B53" s="2891" t="s">
        <v>1849</v>
      </c>
      <c r="C53" s="2836"/>
      <c r="D53" s="98">
        <f ca="1">ROUND(D45*'数据-取费表'!E29/(1+'数据-取费表'!F30),0)</f>
        <v>348629</v>
      </c>
      <c r="E53" s="10" t="s">
        <v>1846</v>
      </c>
      <c r="F53" s="100">
        <f>'数据-取费表'!E29</f>
        <v>5.6000000000000001E-2</v>
      </c>
      <c r="G53" s="2254"/>
      <c r="H53" s="2187"/>
      <c r="I53" s="2252"/>
      <c r="J53" s="2757">
        <v>2</v>
      </c>
      <c r="K53" s="2890" t="s">
        <v>1850</v>
      </c>
      <c r="L53" s="2890"/>
      <c r="M53" s="777">
        <f t="shared" ref="M53:O54" ca="1" si="1">D55</f>
        <v>3268</v>
      </c>
      <c r="N53" s="2757" t="str">
        <f t="shared" si="1"/>
        <v>销售额×税（费）率</v>
      </c>
      <c r="O53" s="778">
        <f t="shared" si="1"/>
        <v>5.0000000000000001E-4</v>
      </c>
      <c r="P53" s="1839"/>
    </row>
    <row r="54" spans="1:16" ht="12" customHeight="1">
      <c r="A54" s="99" t="s">
        <v>1851</v>
      </c>
      <c r="B54" s="2891" t="s">
        <v>1852</v>
      </c>
      <c r="C54" s="2836"/>
      <c r="D54" s="98">
        <f ca="1">C68</f>
        <v>81608</v>
      </c>
      <c r="E54" s="20" t="s">
        <v>1853</v>
      </c>
      <c r="F54" s="100">
        <f>'数据-取费表'!E29</f>
        <v>5.6000000000000001E-2</v>
      </c>
      <c r="G54" s="2254"/>
      <c r="H54" s="2255"/>
      <c r="I54" s="2252"/>
      <c r="J54" s="2757">
        <v>3</v>
      </c>
      <c r="K54" s="2890" t="s">
        <v>1854</v>
      </c>
      <c r="L54" s="2890"/>
      <c r="M54" s="777">
        <f t="shared" ca="1" si="1"/>
        <v>452544</v>
      </c>
      <c r="N54" s="2757" t="str">
        <f t="shared" si="1"/>
        <v>增值额×税（费）率</v>
      </c>
      <c r="O54" s="779" t="str">
        <f t="shared" si="1"/>
        <v>——</v>
      </c>
      <c r="P54" s="1839"/>
    </row>
    <row r="55" spans="1:16" ht="24" customHeight="1">
      <c r="A55" s="2828" t="s">
        <v>1855</v>
      </c>
      <c r="B55" s="2894"/>
      <c r="C55" s="2894"/>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890" t="str">
        <f>IF(H59="非个人房产","——","个人所得税")</f>
        <v>——</v>
      </c>
      <c r="L55" s="2890"/>
      <c r="M55" s="780" t="str">
        <f>D59</f>
        <v>——</v>
      </c>
      <c r="N55" s="2756" t="str">
        <f>E59</f>
        <v>——</v>
      </c>
      <c r="O55" s="781" t="str">
        <f>F59</f>
        <v>——</v>
      </c>
      <c r="P55" s="1839"/>
    </row>
    <row r="56" spans="1:16" ht="25.2">
      <c r="A56" s="2828" t="s">
        <v>1858</v>
      </c>
      <c r="B56" s="2894"/>
      <c r="C56" s="2894"/>
      <c r="D56" s="101">
        <f ca="1">IF(H56="个人住宅",D57,D58)</f>
        <v>452544</v>
      </c>
      <c r="E56" s="10" t="s">
        <v>1859</v>
      </c>
      <c r="F56" s="100" t="str">
        <f>IF(H56="正常",F58,"免征")</f>
        <v>——</v>
      </c>
      <c r="G56" s="2256" t="s">
        <v>1860</v>
      </c>
      <c r="H56" s="2257" t="s">
        <v>1857</v>
      </c>
      <c r="I56" s="1017"/>
      <c r="J56" s="2757"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537420</v>
      </c>
      <c r="O57" s="2259"/>
      <c r="P57" s="1835">
        <f ca="1">N57/M49</f>
        <v>8.2214677573346787E-2</v>
      </c>
    </row>
    <row r="58" spans="1:16" ht="25.2">
      <c r="A58" s="99" t="s">
        <v>1844</v>
      </c>
      <c r="B58" s="2872" t="s">
        <v>1864</v>
      </c>
      <c r="C58" s="2873"/>
      <c r="D58" s="101">
        <f ca="1">IF(H58="转让取得",C81,C97)</f>
        <v>452544</v>
      </c>
      <c r="E58" s="10" t="s">
        <v>1859</v>
      </c>
      <c r="F58" s="14" t="s">
        <v>48</v>
      </c>
      <c r="G58" s="2254"/>
      <c r="H58" s="2257" t="s">
        <v>2905</v>
      </c>
      <c r="I58" s="1017"/>
      <c r="J58" s="2890"/>
      <c r="K58" s="2890"/>
      <c r="L58" s="2258" t="s">
        <v>1866</v>
      </c>
      <c r="M58" s="784"/>
      <c r="N58" s="2260" t="str">
        <f ca="1">IF(H19="元",NUMBERSTRING(INT(N57),2)&amp;"元整",NUMBERSTRING(INT(N57*10000),2)&amp;"元整")</f>
        <v>伍拾叁万柒仟肆佰贰拾元整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伍佰玖拾玖万玖仟叁佰陆拾玖元整</v>
      </c>
      <c r="O60" s="2261"/>
      <c r="P60" s="1839"/>
    </row>
    <row r="61" spans="1:16" ht="13.8" thickBot="1">
      <c r="A61" s="2912" t="s">
        <v>1869</v>
      </c>
      <c r="B61" s="2912"/>
      <c r="C61" s="2912"/>
      <c r="D61" s="2912"/>
      <c r="E61" s="2912"/>
      <c r="F61" s="1017"/>
      <c r="G61" s="1017"/>
      <c r="H61" s="2240"/>
      <c r="I61" s="2187"/>
      <c r="J61" s="2757">
        <f>J59+1</f>
        <v>6</v>
      </c>
      <c r="K61" s="2890" t="s">
        <v>1870</v>
      </c>
      <c r="L61" s="2890"/>
      <c r="M61" s="787"/>
      <c r="N61" s="788">
        <f ca="1">IF(H19="元",ROUND(N59/典型户型修正!B28,0),ROUND(N59*10000/项目基本情况!C12,0))</f>
        <v>31754</v>
      </c>
      <c r="O61" s="2264"/>
      <c r="P61" s="1839"/>
    </row>
    <row r="62" spans="1:16" ht="13.2">
      <c r="A62" s="2910" t="s">
        <v>1871</v>
      </c>
      <c r="B62" s="291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913"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913"/>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913"/>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913"/>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913"/>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913"/>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913"/>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24" t="s">
        <v>1925</v>
      </c>
      <c r="B99" s="2925"/>
      <c r="C99" s="2925"/>
      <c r="D99" s="2926"/>
      <c r="E99" s="2187"/>
      <c r="F99" s="2927" t="s">
        <v>1926</v>
      </c>
      <c r="G99" s="2928"/>
      <c r="H99" s="2928"/>
      <c r="I99" s="2929"/>
    </row>
    <row r="100" spans="1:35" ht="15.6" hidden="1">
      <c r="A100" s="2930" t="s">
        <v>1927</v>
      </c>
      <c r="B100" s="2931"/>
      <c r="C100" s="719" t="str">
        <f>C4</f>
        <v>比较法-办公</v>
      </c>
      <c r="D100" s="720" t="str">
        <f>D4</f>
        <v>收益法</v>
      </c>
      <c r="E100" s="2187"/>
      <c r="F100" s="2932" t="s">
        <v>1928</v>
      </c>
      <c r="G100" s="2933"/>
      <c r="H100" s="2932" t="s">
        <v>1929</v>
      </c>
      <c r="I100" s="2915"/>
    </row>
    <row r="101" spans="1:35" ht="15.6" hidden="1">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hidden="1">
      <c r="A102" s="2918"/>
      <c r="B102" s="2282" t="s">
        <v>1931</v>
      </c>
      <c r="C102" s="721">
        <f ca="1">C20</f>
        <v>33037</v>
      </c>
      <c r="D102" s="722">
        <f ca="1">D20</f>
        <v>36160</v>
      </c>
      <c r="E102" s="2187"/>
      <c r="F102" s="2916" t="s">
        <v>1932</v>
      </c>
      <c r="G102" s="2917"/>
      <c r="H102" s="2283" t="str">
        <f>C106</f>
        <v>总价（元）</v>
      </c>
      <c r="I102" s="1856">
        <f ca="1">H121</f>
        <v>39246684</v>
      </c>
    </row>
    <row r="103" spans="1:35" ht="15.6" hidden="1">
      <c r="A103" s="2918" t="s">
        <v>1933</v>
      </c>
      <c r="B103" s="2284" t="str">
        <f>B101</f>
        <v>总价（元）</v>
      </c>
      <c r="C103" s="723">
        <f ca="1">H121</f>
        <v>39246684</v>
      </c>
      <c r="D103" s="724"/>
      <c r="E103" s="2187"/>
      <c r="F103" s="2916"/>
      <c r="G103" s="2917"/>
      <c r="H103" s="2283" t="s">
        <v>1931</v>
      </c>
      <c r="I103" s="1045">
        <f ca="1">I121</f>
        <v>34599</v>
      </c>
    </row>
    <row r="104" spans="1:35" ht="16.2" hidden="1" thickBot="1">
      <c r="A104" s="2919"/>
      <c r="B104" s="2285" t="s">
        <v>1931</v>
      </c>
      <c r="C104" s="725">
        <f ca="1">I121</f>
        <v>34599</v>
      </c>
      <c r="D104" s="726"/>
      <c r="E104" s="2187"/>
      <c r="F104" s="2920"/>
      <c r="G104" s="2921"/>
      <c r="H104" s="2922"/>
      <c r="I104" s="2923"/>
    </row>
    <row r="105" spans="1:35" ht="15.6" hidden="1">
      <c r="A105" s="2924" t="s">
        <v>1934</v>
      </c>
      <c r="B105" s="2925"/>
      <c r="C105" s="2925"/>
      <c r="D105" s="2926"/>
      <c r="E105" s="2187"/>
      <c r="F105" s="2934" t="s">
        <v>1935</v>
      </c>
      <c r="G105" s="2935"/>
      <c r="H105" s="2286" t="str">
        <f>C108</f>
        <v>总额（元）</v>
      </c>
      <c r="I105" s="1856">
        <f>SUMIF(I106:I108,"&lt;9E307")</f>
        <v>0</v>
      </c>
    </row>
    <row r="106" spans="1:35" ht="15.6" hidden="1">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36"/>
      <c r="B107" s="2937"/>
      <c r="C107" s="2283" t="s">
        <v>1931</v>
      </c>
      <c r="D107" s="1047">
        <f ca="1">I121</f>
        <v>34599</v>
      </c>
      <c r="E107" s="2187"/>
      <c r="F107" s="2938" t="s">
        <v>1938</v>
      </c>
      <c r="G107" s="2939"/>
      <c r="H107" s="2286" t="str">
        <f>C110</f>
        <v>总额（元）</v>
      </c>
      <c r="I107" s="1045">
        <f>C37</f>
        <v>0</v>
      </c>
      <c r="K107" s="2287"/>
    </row>
    <row r="108" spans="1:35" ht="15.6" hidden="1">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hidden="1">
      <c r="A109" s="2938" t="s">
        <v>1937</v>
      </c>
      <c r="B109" s="2939"/>
      <c r="C109" s="2286" t="str">
        <f>C108</f>
        <v>总额（元）</v>
      </c>
      <c r="D109" s="2759">
        <f>IF(D36="同一抵押权人同一抵押物续贷",C36&amp;"（未扣减，详见特别提示）",C36)</f>
        <v>0</v>
      </c>
      <c r="E109" s="2187"/>
      <c r="F109" s="2920"/>
      <c r="G109" s="2921"/>
      <c r="H109" s="2951"/>
      <c r="I109" s="2952"/>
    </row>
    <row r="110" spans="1:35" ht="28.5" hidden="1" customHeight="1">
      <c r="A110" s="2938" t="s">
        <v>1938</v>
      </c>
      <c r="B110" s="2939"/>
      <c r="C110" s="2286" t="str">
        <f>C108</f>
        <v>总额（元）</v>
      </c>
      <c r="D110" s="2759">
        <f>C37</f>
        <v>0</v>
      </c>
      <c r="E110" s="2187"/>
      <c r="F110" s="2942" t="str">
        <f>IF(项目基本情况!F5="已注销","——","3.房地产抵押价值")</f>
        <v>3.房地产抵押价值</v>
      </c>
      <c r="G110" s="2943"/>
      <c r="H110" s="2288" t="str">
        <f>C112</f>
        <v>总价（元）</v>
      </c>
      <c r="I110" s="1857">
        <f ca="1">IF(F110="——","——",I102-I105)</f>
        <v>39246684</v>
      </c>
    </row>
    <row r="111" spans="1:35" ht="15.6" hidden="1">
      <c r="A111" s="2938" t="s">
        <v>1940</v>
      </c>
      <c r="B111" s="2939"/>
      <c r="C111" s="2286" t="str">
        <f>C108</f>
        <v>总额（元）</v>
      </c>
      <c r="D111" s="2759">
        <f>C38</f>
        <v>0</v>
      </c>
      <c r="E111" s="2187"/>
      <c r="F111" s="2944"/>
      <c r="G111" s="2945"/>
      <c r="H111" s="2283" t="s">
        <v>1931</v>
      </c>
      <c r="I111" s="2289">
        <f ca="1">D113</f>
        <v>34599</v>
      </c>
    </row>
    <row r="112" spans="1:35" ht="26.25" hidden="1"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hidden="1">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hidden="1">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hidden="1"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hidden="1">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hidden="1"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hidden="1">
      <c r="A118" s="2955" t="s">
        <v>1941</v>
      </c>
      <c r="B118" s="2956"/>
      <c r="C118" s="2956"/>
      <c r="D118" s="2956"/>
      <c r="E118" s="2956"/>
      <c r="F118" s="2956"/>
      <c r="G118" s="2956"/>
      <c r="H118" s="2956"/>
      <c r="I118" s="2956"/>
    </row>
    <row r="119" spans="1:15" ht="13.8" hidden="1">
      <c r="A119" s="2957" t="s">
        <v>1942</v>
      </c>
      <c r="B119" s="2958" t="s">
        <v>1943</v>
      </c>
      <c r="C119" s="2958" t="s">
        <v>1944</v>
      </c>
      <c r="D119" s="2960" t="s">
        <v>1945</v>
      </c>
      <c r="E119" s="2961"/>
      <c r="F119" s="2865" t="s">
        <v>1804</v>
      </c>
      <c r="G119" s="2865"/>
      <c r="H119" s="2865" t="s">
        <v>1946</v>
      </c>
      <c r="I119" s="2962"/>
    </row>
    <row r="120" spans="1:15" ht="14.4" hidden="1">
      <c r="A120" s="2957"/>
      <c r="B120" s="2959"/>
      <c r="C120" s="2959"/>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hidden="1">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hidden="1">
      <c r="A124" s="2963" t="s">
        <v>1950</v>
      </c>
      <c r="B124" s="2964"/>
      <c r="C124" s="2965"/>
      <c r="D124" s="2966">
        <f>H109</f>
        <v>0</v>
      </c>
      <c r="E124" s="2967"/>
      <c r="F124" s="2967"/>
      <c r="G124" s="2967"/>
      <c r="H124" s="2967"/>
      <c r="I124" s="2968"/>
    </row>
    <row r="125" spans="1:15" ht="13.8" hidden="1">
      <c r="A125" s="2969" t="str">
        <f>IF(项目基本情况!D5="房地产市场价值","——",MID(A112,3,LEN(A112)-2))</f>
        <v>房地产抵押价值</v>
      </c>
      <c r="B125" s="2970"/>
      <c r="C125" s="2970"/>
      <c r="D125" s="2971">
        <f ca="1">I110</f>
        <v>39246684</v>
      </c>
      <c r="E125" s="2972"/>
      <c r="F125" s="2972"/>
      <c r="G125" s="2972"/>
      <c r="H125" s="2972"/>
      <c r="I125" s="2973"/>
    </row>
    <row r="126" spans="1:15" ht="13.8" hidden="1">
      <c r="A126" s="2957" t="s">
        <v>1950</v>
      </c>
      <c r="B126" s="2865"/>
      <c r="C126" s="2865"/>
      <c r="D126" s="2966">
        <f ca="1">I111</f>
        <v>34599</v>
      </c>
      <c r="E126" s="2967"/>
      <c r="F126" s="2967"/>
      <c r="G126" s="2967"/>
      <c r="H126" s="2967"/>
      <c r="I126" s="2968"/>
    </row>
    <row r="127" spans="1:15" ht="14.4" hidden="1" thickBot="1">
      <c r="A127" s="2969" t="str">
        <f>IF(项目基本情况!D5="房地产市场价值","——",MID(A114,3,LEN(A114)-2))</f>
        <v/>
      </c>
      <c r="B127" s="2970"/>
      <c r="C127" s="2970"/>
      <c r="D127" s="2985" t="str">
        <f>I112</f>
        <v>——</v>
      </c>
      <c r="E127" s="2986"/>
      <c r="F127" s="2986"/>
      <c r="G127" s="2986"/>
      <c r="H127" s="2986"/>
      <c r="I127" s="2987"/>
    </row>
    <row r="128" spans="1:15" ht="15" hidden="1" thickTop="1" thickBot="1">
      <c r="A128" s="2957" t="s">
        <v>1950</v>
      </c>
      <c r="B128" s="2865"/>
      <c r="C128" s="2988"/>
      <c r="D128" s="2989" t="str">
        <f>I113</f>
        <v>——</v>
      </c>
      <c r="E128" s="2989"/>
      <c r="F128" s="2989"/>
      <c r="G128" s="2989"/>
      <c r="H128" s="2989"/>
      <c r="I128" s="2989"/>
    </row>
    <row r="129" spans="1:9" ht="15" hidden="1" thickTop="1" thickBot="1">
      <c r="A129" s="2969" t="str">
        <f>IF(项目基本情况!D5="房地产市场价值","——",MID(F114,3,LEN(F114)-2))</f>
        <v/>
      </c>
      <c r="B129" s="2970"/>
      <c r="C129" s="2971"/>
      <c r="D129" s="2990" t="str">
        <f>I114</f>
        <v>——</v>
      </c>
      <c r="E129" s="2990"/>
      <c r="F129" s="2990"/>
      <c r="G129" s="2990"/>
      <c r="H129" s="2990"/>
      <c r="I129" s="2990"/>
    </row>
    <row r="130" spans="1:9" ht="15" hidden="1" thickTop="1" thickBot="1">
      <c r="A130" s="2979" t="s">
        <v>1950</v>
      </c>
      <c r="B130" s="2980"/>
      <c r="C130" s="2980"/>
      <c r="D130" s="2981">
        <f>H116</f>
        <v>0</v>
      </c>
      <c r="E130" s="2982"/>
      <c r="F130" s="2982"/>
      <c r="G130" s="2982"/>
      <c r="H130" s="2982"/>
      <c r="I130" s="2983"/>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59" priority="9" stopIfTrue="1" operator="equal">
      <formula>25</formula>
    </cfRule>
  </conditionalFormatting>
  <conditionalFormatting sqref="C8:C9">
    <cfRule type="cellIs" dxfId="158" priority="8" stopIfTrue="1" operator="equal">
      <formula>15</formula>
    </cfRule>
  </conditionalFormatting>
  <conditionalFormatting sqref="C14:C16">
    <cfRule type="cellIs" dxfId="157" priority="7" stopIfTrue="1" operator="equal">
      <formula>30</formula>
    </cfRule>
  </conditionalFormatting>
  <conditionalFormatting sqref="D5:D7">
    <cfRule type="cellIs" dxfId="156" priority="6" stopIfTrue="1" operator="equal">
      <formula>25</formula>
    </cfRule>
  </conditionalFormatting>
  <conditionalFormatting sqref="D8:D9">
    <cfRule type="cellIs" dxfId="155" priority="5" stopIfTrue="1" operator="equal">
      <formula>15</formula>
    </cfRule>
  </conditionalFormatting>
  <conditionalFormatting sqref="C10:D13">
    <cfRule type="cellIs" dxfId="154" priority="4" stopIfTrue="1" operator="equal">
      <formula>15</formula>
    </cfRule>
  </conditionalFormatting>
  <conditionalFormatting sqref="D14:D16">
    <cfRule type="cellIs" dxfId="153" priority="3" stopIfTrue="1" operator="equal">
      <formula>30</formula>
    </cfRule>
  </conditionalFormatting>
  <conditionalFormatting sqref="C90">
    <cfRule type="expression" dxfId="152" priority="2" stopIfTrue="1">
      <formula>$H$88&lt;&gt;"仅含出让金"</formula>
    </cfRule>
  </conditionalFormatting>
  <conditionalFormatting sqref="C91">
    <cfRule type="expression" dxfId="151" priority="1" stopIfTrue="1">
      <formula>$H$91="由企业提供"</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hidden="1">
      <c r="A3" s="2870" t="s">
        <v>1764</v>
      </c>
      <c r="B3" s="2871"/>
      <c r="C3" s="2871"/>
      <c r="D3" s="2871"/>
      <c r="E3" s="2871"/>
      <c r="F3" s="2871"/>
      <c r="G3" s="2871"/>
      <c r="H3" s="2871"/>
      <c r="I3" s="2871"/>
    </row>
    <row r="4" spans="1:12" ht="14.4" hidden="1">
      <c r="A4" s="2189" t="s">
        <v>1765</v>
      </c>
      <c r="B4" s="2747" t="s">
        <v>1766</v>
      </c>
      <c r="C4" s="2191" t="s">
        <v>2856</v>
      </c>
      <c r="D4" s="2191" t="s">
        <v>2857</v>
      </c>
      <c r="E4" s="2872" t="s">
        <v>1767</v>
      </c>
      <c r="F4" s="2873"/>
      <c r="G4" s="2873"/>
      <c r="H4" s="2873"/>
      <c r="I4" s="2874"/>
      <c r="K4" s="1839" t="str">
        <f>IF(ISNUMBER(FIND("比较法",'结果表 (2903)'!C4)),"比较法",IF(ISNUMBER(FIND("成本法",'结果表 (2903)'!C4)),"成本法",IF(ISNUMBER(FIND("假设开发法",'结果表 (2903)'!C4)),"假设开发法",IF(ISNUMBER(FIND("收益法",'结果表 (2903)'!C4)),"收益法","基准地价系数修正法"))))</f>
        <v>比较法</v>
      </c>
      <c r="L4" s="1839" t="str">
        <f>IF(ISNUMBER(FIND("比较法",'结果表 (2903)'!D4)),"比较法",IF(ISNUMBER(FIND("成本法",'结果表 (2903)'!D4)),"成本法",IF(ISNUMBER(FIND("假设开发法",'结果表 (2903)'!D4)),"假设开发法",IF(ISNUMBER(FIND("收益法",'结果表 (2903)'!D4)),"收益法","基准地价系数修正法"))))</f>
        <v>收益法</v>
      </c>
    </row>
    <row r="5" spans="1:12" ht="13.2" hidden="1">
      <c r="A5" s="2864" t="s">
        <v>1768</v>
      </c>
      <c r="B5" s="2865">
        <v>25</v>
      </c>
      <c r="C5" s="2866"/>
      <c r="D5" s="2868"/>
      <c r="E5" s="56" t="s">
        <v>1769</v>
      </c>
      <c r="F5" s="2192"/>
      <c r="G5" s="2192"/>
      <c r="H5" s="2192"/>
      <c r="I5" s="2193"/>
    </row>
    <row r="6" spans="1:12" ht="13.2" hidden="1">
      <c r="A6" s="2864"/>
      <c r="B6" s="2865"/>
      <c r="C6" s="2875"/>
      <c r="D6" s="2868"/>
      <c r="E6" s="56" t="s">
        <v>1770</v>
      </c>
      <c r="F6" s="2192"/>
      <c r="G6" s="2192"/>
      <c r="H6" s="2192"/>
      <c r="I6" s="2193"/>
    </row>
    <row r="7" spans="1:12" ht="13.2" hidden="1">
      <c r="A7" s="2864"/>
      <c r="B7" s="2865"/>
      <c r="C7" s="2867"/>
      <c r="D7" s="2868"/>
      <c r="E7" s="56" t="s">
        <v>1771</v>
      </c>
      <c r="F7" s="2192"/>
      <c r="G7" s="2192"/>
      <c r="H7" s="2192"/>
      <c r="I7" s="2193"/>
    </row>
    <row r="8" spans="1:12" ht="13.2" hidden="1">
      <c r="A8" s="2864" t="s">
        <v>1772</v>
      </c>
      <c r="B8" s="2865">
        <v>15</v>
      </c>
      <c r="C8" s="2866"/>
      <c r="D8" s="2868"/>
      <c r="E8" s="56" t="s">
        <v>1773</v>
      </c>
      <c r="F8" s="2192"/>
      <c r="G8" s="2192"/>
      <c r="H8" s="2192"/>
      <c r="I8" s="2193"/>
    </row>
    <row r="9" spans="1:12" ht="13.2" hidden="1">
      <c r="A9" s="2864"/>
      <c r="B9" s="2865"/>
      <c r="C9" s="2867"/>
      <c r="D9" s="2868"/>
      <c r="E9" s="56" t="s">
        <v>1774</v>
      </c>
      <c r="F9" s="2192"/>
      <c r="G9" s="2192"/>
      <c r="H9" s="2192"/>
      <c r="I9" s="2193"/>
    </row>
    <row r="10" spans="1:12" ht="13.2" hidden="1">
      <c r="A10" s="2864" t="s">
        <v>1775</v>
      </c>
      <c r="B10" s="2865">
        <v>15</v>
      </c>
      <c r="C10" s="2866"/>
      <c r="D10" s="2868"/>
      <c r="E10" s="56" t="s">
        <v>1776</v>
      </c>
      <c r="F10" s="2192"/>
      <c r="G10" s="2192"/>
      <c r="H10" s="2192"/>
      <c r="I10" s="2193"/>
    </row>
    <row r="11" spans="1:12" ht="13.2" hidden="1">
      <c r="A11" s="2864"/>
      <c r="B11" s="2865"/>
      <c r="C11" s="2867"/>
      <c r="D11" s="2868"/>
      <c r="E11" s="56" t="s">
        <v>1777</v>
      </c>
      <c r="F11" s="2192"/>
      <c r="G11" s="2192"/>
      <c r="H11" s="2192"/>
      <c r="I11" s="2193"/>
    </row>
    <row r="12" spans="1:12" ht="13.2" hidden="1">
      <c r="A12" s="2864" t="s">
        <v>1778</v>
      </c>
      <c r="B12" s="2865">
        <v>15</v>
      </c>
      <c r="C12" s="2866"/>
      <c r="D12" s="2868"/>
      <c r="E12" s="56" t="s">
        <v>1779</v>
      </c>
      <c r="F12" s="2192"/>
      <c r="G12" s="2192"/>
      <c r="H12" s="2192"/>
      <c r="I12" s="2193"/>
    </row>
    <row r="13" spans="1:12" ht="13.2" hidden="1">
      <c r="A13" s="2864"/>
      <c r="B13" s="2865"/>
      <c r="C13" s="2867"/>
      <c r="D13" s="2868"/>
      <c r="E13" s="56" t="s">
        <v>1780</v>
      </c>
      <c r="F13" s="2192"/>
      <c r="G13" s="2192"/>
      <c r="H13" s="2192"/>
      <c r="I13" s="2193"/>
    </row>
    <row r="14" spans="1:12" ht="13.2" hidden="1">
      <c r="A14" s="2864" t="s">
        <v>1781</v>
      </c>
      <c r="B14" s="2865">
        <v>30</v>
      </c>
      <c r="C14" s="2866">
        <v>5</v>
      </c>
      <c r="D14" s="2868">
        <v>5</v>
      </c>
      <c r="E14" s="56" t="s">
        <v>1782</v>
      </c>
      <c r="F14" s="2192"/>
      <c r="G14" s="2192"/>
      <c r="H14" s="2192"/>
      <c r="I14" s="2193"/>
    </row>
    <row r="15" spans="1:12" ht="13.2" hidden="1">
      <c r="A15" s="2864"/>
      <c r="B15" s="2865"/>
      <c r="C15" s="2875"/>
      <c r="D15" s="2868"/>
      <c r="E15" s="56" t="s">
        <v>1783</v>
      </c>
      <c r="F15" s="2192"/>
      <c r="G15" s="2192"/>
      <c r="H15" s="2192"/>
      <c r="I15" s="2193"/>
    </row>
    <row r="16" spans="1:12" ht="13.2" hidden="1">
      <c r="A16" s="2864"/>
      <c r="B16" s="2865"/>
      <c r="C16" s="2867"/>
      <c r="D16" s="2868"/>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(2903)'!B19,INDIRECT("'"&amp;C4&amp;"'"&amp;"!B:B"))</f>
        <v>4974051</v>
      </c>
      <c r="D19" s="60">
        <f ca="1">SUMIF(INDIRECT("'"&amp;D4&amp;"'"&amp;"!A:A"),'结果表 (2903)'!B19,INDIRECT("'"&amp;D4&amp;"'"&amp;"!B:B"))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(2903)'!B20,INDIRECT("'"&amp;C4&amp;"'"&amp;"!B:B"))</f>
        <v>33037</v>
      </c>
      <c r="D20" s="63">
        <f ca="1">SUMIF(INDIRECT("'"&amp;D4&amp;"'"&amp;"!A:A"),'结果表 (2903)'!B20,INDIRECT("'"&amp;D4&amp;"'"&amp;"!B:B"))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76" t="s">
        <v>1793</v>
      </c>
      <c r="B24" s="2199" t="s">
        <v>1788</v>
      </c>
      <c r="C24" s="61">
        <f>D30</f>
        <v>0</v>
      </c>
      <c r="D24" s="989"/>
      <c r="E24" s="2187"/>
      <c r="F24" s="2187"/>
      <c r="G24" s="2187"/>
      <c r="H24" s="2187"/>
      <c r="I24" s="2187"/>
    </row>
    <row r="25" spans="1:35" ht="21.75" hidden="1" customHeight="1">
      <c r="A25" s="2877"/>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78" t="s">
        <v>1806</v>
      </c>
      <c r="B36" s="2229" t="s">
        <v>1807</v>
      </c>
      <c r="C36" s="69">
        <v>0</v>
      </c>
      <c r="D36" s="2230"/>
      <c r="E36" s="2231"/>
      <c r="F36" s="2231"/>
      <c r="G36" s="2187"/>
      <c r="H36" s="2187"/>
      <c r="I36" s="2187"/>
    </row>
    <row r="37" spans="1:16" ht="15" hidden="1" thickBot="1">
      <c r="A37" s="2879"/>
      <c r="B37" s="2232" t="s">
        <v>1808</v>
      </c>
      <c r="C37" s="71">
        <v>0</v>
      </c>
      <c r="D37" s="2197"/>
      <c r="E37" s="2197"/>
      <c r="F37" s="2231"/>
      <c r="G37" s="2197"/>
      <c r="H37" s="2197"/>
      <c r="I37" s="2197"/>
    </row>
    <row r="38" spans="1:16" ht="15" hidden="1" thickBot="1">
      <c r="A38" s="2880"/>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ROUND(典型户型修正!S29*F45,0)</f>
        <v>6536789</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2757">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2757">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84" t="s">
        <v>1832</v>
      </c>
      <c r="L48" s="2884"/>
      <c r="M48" s="2888">
        <f ca="1">典型户型修正!S29</f>
        <v>6536789</v>
      </c>
      <c r="N48" s="2888"/>
      <c r="O48" s="2888"/>
      <c r="P48" s="1839"/>
    </row>
    <row r="49" spans="1:16" ht="25.5" customHeight="1">
      <c r="A49" s="92" t="s">
        <v>1833</v>
      </c>
      <c r="B49" s="2889" t="s">
        <v>1834</v>
      </c>
      <c r="C49" s="2889"/>
      <c r="D49" s="93">
        <v>0</v>
      </c>
      <c r="E49" s="13" t="s">
        <v>1835</v>
      </c>
      <c r="F49" s="18" t="s">
        <v>48</v>
      </c>
      <c r="G49" s="2895"/>
      <c r="H49" s="2187"/>
      <c r="I49" s="2252"/>
      <c r="J49" s="2757">
        <v>4</v>
      </c>
      <c r="K49" s="2884" t="str">
        <f>IF(项目基本情况!F5="房地产抵押价值","房地产抵押价值","抵押担保权已注销时的房地产抵押价值")</f>
        <v>房地产抵押价值</v>
      </c>
      <c r="L49" s="2884"/>
      <c r="M49" s="2888">
        <f ca="1">M48</f>
        <v>6536789</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760" t="s">
        <v>1839</v>
      </c>
      <c r="K51" s="2884" t="s">
        <v>1840</v>
      </c>
      <c r="L51" s="2884"/>
      <c r="M51" s="2760" t="s">
        <v>1841</v>
      </c>
      <c r="N51" s="2760" t="s">
        <v>1842</v>
      </c>
      <c r="O51" s="2760" t="s">
        <v>1843</v>
      </c>
      <c r="P51" s="1839"/>
    </row>
    <row r="52" spans="1:16" ht="24" customHeight="1">
      <c r="A52" s="99" t="s">
        <v>1844</v>
      </c>
      <c r="B52" s="2889" t="s">
        <v>1845</v>
      </c>
      <c r="C52" s="2889"/>
      <c r="D52" s="98">
        <f ca="1">ROUND(D45*'数据-取费表'!E29/(1+'数据-取费表'!F30),0)</f>
        <v>348629</v>
      </c>
      <c r="E52" s="10" t="s">
        <v>1846</v>
      </c>
      <c r="F52" s="100">
        <f>'数据-取费表'!E29</f>
        <v>5.6000000000000001E-2</v>
      </c>
      <c r="G52" s="2254"/>
      <c r="H52" s="2187"/>
      <c r="I52" s="2252"/>
      <c r="J52" s="2757">
        <v>1</v>
      </c>
      <c r="K52" s="2890" t="s">
        <v>1847</v>
      </c>
      <c r="L52" s="2890"/>
      <c r="M52" s="777">
        <f ca="1">D48</f>
        <v>81608</v>
      </c>
      <c r="N52" s="2757" t="str">
        <f>E48</f>
        <v>(销售额-原购置价)×税（费）率</v>
      </c>
      <c r="O52" s="778">
        <f>F48</f>
        <v>5.6000000000000001E-2</v>
      </c>
      <c r="P52" s="1839"/>
    </row>
    <row r="53" spans="1:16" ht="12" customHeight="1">
      <c r="A53" s="99" t="s">
        <v>1848</v>
      </c>
      <c r="B53" s="2891" t="s">
        <v>1849</v>
      </c>
      <c r="C53" s="2836"/>
      <c r="D53" s="98">
        <f ca="1">ROUND(D45*'数据-取费表'!E29/(1+'数据-取费表'!F30),0)</f>
        <v>348629</v>
      </c>
      <c r="E53" s="10" t="s">
        <v>1846</v>
      </c>
      <c r="F53" s="100">
        <f>'数据-取费表'!E29</f>
        <v>5.6000000000000001E-2</v>
      </c>
      <c r="G53" s="2254"/>
      <c r="H53" s="2187"/>
      <c r="I53" s="2252"/>
      <c r="J53" s="2757">
        <v>2</v>
      </c>
      <c r="K53" s="2890" t="s">
        <v>1850</v>
      </c>
      <c r="L53" s="2890"/>
      <c r="M53" s="777">
        <f t="shared" ref="M53:O54" ca="1" si="1">D55</f>
        <v>3268</v>
      </c>
      <c r="N53" s="2757" t="str">
        <f t="shared" si="1"/>
        <v>销售额×税（费）率</v>
      </c>
      <c r="O53" s="778">
        <f t="shared" si="1"/>
        <v>5.0000000000000001E-4</v>
      </c>
      <c r="P53" s="1839"/>
    </row>
    <row r="54" spans="1:16" ht="12" customHeight="1">
      <c r="A54" s="99" t="s">
        <v>1851</v>
      </c>
      <c r="B54" s="2891" t="s">
        <v>1852</v>
      </c>
      <c r="C54" s="2836"/>
      <c r="D54" s="98">
        <f ca="1">C68</f>
        <v>81608</v>
      </c>
      <c r="E54" s="20" t="s">
        <v>1853</v>
      </c>
      <c r="F54" s="100">
        <f>'数据-取费表'!E29</f>
        <v>5.6000000000000001E-2</v>
      </c>
      <c r="G54" s="2254"/>
      <c r="H54" s="2255"/>
      <c r="I54" s="2252"/>
      <c r="J54" s="2757">
        <v>3</v>
      </c>
      <c r="K54" s="2890" t="s">
        <v>1854</v>
      </c>
      <c r="L54" s="2890"/>
      <c r="M54" s="777">
        <f t="shared" ca="1" si="1"/>
        <v>452544</v>
      </c>
      <c r="N54" s="2757" t="str">
        <f t="shared" si="1"/>
        <v>增值额×税（费）率</v>
      </c>
      <c r="O54" s="779" t="str">
        <f t="shared" si="1"/>
        <v>——</v>
      </c>
      <c r="P54" s="1839"/>
    </row>
    <row r="55" spans="1:16" ht="24" customHeight="1">
      <c r="A55" s="2828" t="s">
        <v>1855</v>
      </c>
      <c r="B55" s="2894"/>
      <c r="C55" s="2894"/>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890" t="str">
        <f>IF(H59="非个人房产","——","个人所得税")</f>
        <v>——</v>
      </c>
      <c r="L55" s="2890"/>
      <c r="M55" s="780" t="str">
        <f>D59</f>
        <v>——</v>
      </c>
      <c r="N55" s="2756" t="str">
        <f>E59</f>
        <v>——</v>
      </c>
      <c r="O55" s="781" t="str">
        <f>F59</f>
        <v>——</v>
      </c>
      <c r="P55" s="1839"/>
    </row>
    <row r="56" spans="1:16" ht="25.2">
      <c r="A56" s="2828" t="s">
        <v>1858</v>
      </c>
      <c r="B56" s="2894"/>
      <c r="C56" s="2894"/>
      <c r="D56" s="101">
        <f ca="1">IF(H56="个人住宅",D57,D58)</f>
        <v>452544</v>
      </c>
      <c r="E56" s="10" t="s">
        <v>1859</v>
      </c>
      <c r="F56" s="100" t="str">
        <f>IF(H56="正常",F58,"免征")</f>
        <v>——</v>
      </c>
      <c r="G56" s="2256" t="s">
        <v>1860</v>
      </c>
      <c r="H56" s="2257" t="s">
        <v>1857</v>
      </c>
      <c r="I56" s="1017"/>
      <c r="J56" s="2757"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537420</v>
      </c>
      <c r="O57" s="2259"/>
      <c r="P57" s="1835">
        <f ca="1">N57/M49</f>
        <v>8.2214677573346787E-2</v>
      </c>
    </row>
    <row r="58" spans="1:16" ht="25.2">
      <c r="A58" s="99" t="s">
        <v>1844</v>
      </c>
      <c r="B58" s="2872" t="s">
        <v>1864</v>
      </c>
      <c r="C58" s="2873"/>
      <c r="D58" s="101">
        <f ca="1">IF(H58="转让取得",C81,C97)</f>
        <v>452544</v>
      </c>
      <c r="E58" s="10" t="s">
        <v>1859</v>
      </c>
      <c r="F58" s="14" t="s">
        <v>48</v>
      </c>
      <c r="G58" s="2254"/>
      <c r="H58" s="2257" t="s">
        <v>2905</v>
      </c>
      <c r="I58" s="1017"/>
      <c r="J58" s="2890"/>
      <c r="K58" s="2890"/>
      <c r="L58" s="2258" t="s">
        <v>1866</v>
      </c>
      <c r="M58" s="784"/>
      <c r="N58" s="2260" t="str">
        <f ca="1">IF(H19="元",NUMBERSTRING(INT(N57),2)&amp;"元整",NUMBERSTRING(INT(N57*10000),2)&amp;"元整")</f>
        <v>伍拾叁万柒仟肆佰贰拾元整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伍佰玖拾玖万玖仟叁佰陆拾玖元整</v>
      </c>
      <c r="O60" s="2261"/>
      <c r="P60" s="1839"/>
    </row>
    <row r="61" spans="1:16" ht="13.8" thickBot="1">
      <c r="A61" s="2912" t="s">
        <v>1869</v>
      </c>
      <c r="B61" s="2912"/>
      <c r="C61" s="2912"/>
      <c r="D61" s="2912"/>
      <c r="E61" s="2912"/>
      <c r="F61" s="1017"/>
      <c r="G61" s="1017"/>
      <c r="H61" s="2240"/>
      <c r="I61" s="2187"/>
      <c r="J61" s="2757">
        <f>J59+1</f>
        <v>6</v>
      </c>
      <c r="K61" s="2890" t="s">
        <v>1870</v>
      </c>
      <c r="L61" s="2890"/>
      <c r="M61" s="787"/>
      <c r="N61" s="788">
        <f ca="1">IF(H19="元",ROUND(N59/典型户型修正!B29,0),ROUND(N59*10000/典型户型修正!B29,0))</f>
        <v>31754</v>
      </c>
      <c r="O61" s="2264"/>
      <c r="P61" s="1839"/>
    </row>
    <row r="62" spans="1:16" ht="13.2">
      <c r="A62" s="2910" t="s">
        <v>1871</v>
      </c>
      <c r="B62" s="291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913"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913"/>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913"/>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913"/>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913"/>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913"/>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913"/>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24" t="s">
        <v>1925</v>
      </c>
      <c r="B99" s="2925"/>
      <c r="C99" s="2925"/>
      <c r="D99" s="2926"/>
      <c r="E99" s="2187"/>
      <c r="F99" s="2927" t="s">
        <v>1926</v>
      </c>
      <c r="G99" s="2928"/>
      <c r="H99" s="2928"/>
      <c r="I99" s="2929"/>
    </row>
    <row r="100" spans="1:35" ht="15.6" hidden="1">
      <c r="A100" s="2930" t="s">
        <v>1927</v>
      </c>
      <c r="B100" s="2931"/>
      <c r="C100" s="719" t="str">
        <f>C4</f>
        <v>比较法-办公</v>
      </c>
      <c r="D100" s="720" t="str">
        <f>D4</f>
        <v>收益法</v>
      </c>
      <c r="E100" s="2187"/>
      <c r="F100" s="2932" t="s">
        <v>1928</v>
      </c>
      <c r="G100" s="2933"/>
      <c r="H100" s="2932" t="s">
        <v>1929</v>
      </c>
      <c r="I100" s="2915"/>
    </row>
    <row r="101" spans="1:35" ht="15.6" hidden="1">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hidden="1">
      <c r="A102" s="2918"/>
      <c r="B102" s="2282" t="s">
        <v>1931</v>
      </c>
      <c r="C102" s="721">
        <f ca="1">C20</f>
        <v>33037</v>
      </c>
      <c r="D102" s="722">
        <f ca="1">D20</f>
        <v>36160</v>
      </c>
      <c r="E102" s="2187"/>
      <c r="F102" s="2916" t="s">
        <v>1932</v>
      </c>
      <c r="G102" s="2917"/>
      <c r="H102" s="2283" t="str">
        <f>C106</f>
        <v>总价（元）</v>
      </c>
      <c r="I102" s="1856">
        <f ca="1">H121</f>
        <v>39246684</v>
      </c>
    </row>
    <row r="103" spans="1:35" ht="15.6" hidden="1">
      <c r="A103" s="2918" t="s">
        <v>1933</v>
      </c>
      <c r="B103" s="2284" t="str">
        <f>B101</f>
        <v>总价（元）</v>
      </c>
      <c r="C103" s="723">
        <f ca="1">H121</f>
        <v>39246684</v>
      </c>
      <c r="D103" s="724"/>
      <c r="E103" s="2187"/>
      <c r="F103" s="2916"/>
      <c r="G103" s="2917"/>
      <c r="H103" s="2283" t="s">
        <v>1931</v>
      </c>
      <c r="I103" s="1045">
        <f ca="1">I121</f>
        <v>34599</v>
      </c>
    </row>
    <row r="104" spans="1:35" ht="16.2" hidden="1" thickBot="1">
      <c r="A104" s="2919"/>
      <c r="B104" s="2285" t="s">
        <v>1931</v>
      </c>
      <c r="C104" s="725">
        <f ca="1">I121</f>
        <v>34599</v>
      </c>
      <c r="D104" s="726"/>
      <c r="E104" s="2187"/>
      <c r="F104" s="2920"/>
      <c r="G104" s="2921"/>
      <c r="H104" s="2922"/>
      <c r="I104" s="2923"/>
    </row>
    <row r="105" spans="1:35" ht="15.6" hidden="1">
      <c r="A105" s="2924" t="s">
        <v>1934</v>
      </c>
      <c r="B105" s="2925"/>
      <c r="C105" s="2925"/>
      <c r="D105" s="2926"/>
      <c r="E105" s="2187"/>
      <c r="F105" s="2934" t="s">
        <v>1935</v>
      </c>
      <c r="G105" s="2935"/>
      <c r="H105" s="2286" t="str">
        <f>C108</f>
        <v>总额（元）</v>
      </c>
      <c r="I105" s="1856">
        <f>SUMIF(I106:I108,"&lt;9E307")</f>
        <v>0</v>
      </c>
    </row>
    <row r="106" spans="1:35" ht="15.6" hidden="1">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36"/>
      <c r="B107" s="2937"/>
      <c r="C107" s="2283" t="s">
        <v>1931</v>
      </c>
      <c r="D107" s="1047">
        <f ca="1">I121</f>
        <v>34599</v>
      </c>
      <c r="E107" s="2187"/>
      <c r="F107" s="2938" t="s">
        <v>1938</v>
      </c>
      <c r="G107" s="2939"/>
      <c r="H107" s="2286" t="str">
        <f>C110</f>
        <v>总额（元）</v>
      </c>
      <c r="I107" s="1045">
        <f>C37</f>
        <v>0</v>
      </c>
      <c r="K107" s="2287"/>
    </row>
    <row r="108" spans="1:35" ht="15.6" hidden="1">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hidden="1">
      <c r="A109" s="2938" t="s">
        <v>1937</v>
      </c>
      <c r="B109" s="2939"/>
      <c r="C109" s="2286" t="str">
        <f>C108</f>
        <v>总额（元）</v>
      </c>
      <c r="D109" s="2759">
        <f>IF(D36="同一抵押权人同一抵押物续贷",C36&amp;"（未扣减，详见特别提示）",C36)</f>
        <v>0</v>
      </c>
      <c r="E109" s="2187"/>
      <c r="F109" s="2920"/>
      <c r="G109" s="2921"/>
      <c r="H109" s="2951"/>
      <c r="I109" s="2952"/>
    </row>
    <row r="110" spans="1:35" ht="28.5" hidden="1" customHeight="1">
      <c r="A110" s="2938" t="s">
        <v>1938</v>
      </c>
      <c r="B110" s="2939"/>
      <c r="C110" s="2286" t="str">
        <f>C108</f>
        <v>总额（元）</v>
      </c>
      <c r="D110" s="2759">
        <f>C37</f>
        <v>0</v>
      </c>
      <c r="E110" s="2187"/>
      <c r="F110" s="2942" t="str">
        <f>IF(项目基本情况!F5="已注销","——","3.房地产抵押价值")</f>
        <v>3.房地产抵押价值</v>
      </c>
      <c r="G110" s="2943"/>
      <c r="H110" s="2288" t="str">
        <f>C112</f>
        <v>总价（元）</v>
      </c>
      <c r="I110" s="1857">
        <f ca="1">IF(F110="——","——",I102-I105)</f>
        <v>39246684</v>
      </c>
    </row>
    <row r="111" spans="1:35" ht="15.6" hidden="1">
      <c r="A111" s="2938" t="s">
        <v>1940</v>
      </c>
      <c r="B111" s="2939"/>
      <c r="C111" s="2286" t="str">
        <f>C108</f>
        <v>总额（元）</v>
      </c>
      <c r="D111" s="2759">
        <f>C38</f>
        <v>0</v>
      </c>
      <c r="E111" s="2187"/>
      <c r="F111" s="2944"/>
      <c r="G111" s="2945"/>
      <c r="H111" s="2283" t="s">
        <v>1931</v>
      </c>
      <c r="I111" s="2289">
        <f ca="1">D113</f>
        <v>34599</v>
      </c>
    </row>
    <row r="112" spans="1:35" ht="26.25" hidden="1"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hidden="1">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hidden="1">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hidden="1"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hidden="1">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hidden="1"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hidden="1">
      <c r="A118" s="2955" t="s">
        <v>1941</v>
      </c>
      <c r="B118" s="2956"/>
      <c r="C118" s="2956"/>
      <c r="D118" s="2956"/>
      <c r="E118" s="2956"/>
      <c r="F118" s="2956"/>
      <c r="G118" s="2956"/>
      <c r="H118" s="2956"/>
      <c r="I118" s="2956"/>
    </row>
    <row r="119" spans="1:15" ht="13.8" hidden="1">
      <c r="A119" s="2957" t="s">
        <v>1942</v>
      </c>
      <c r="B119" s="2958" t="s">
        <v>1943</v>
      </c>
      <c r="C119" s="2958" t="s">
        <v>1944</v>
      </c>
      <c r="D119" s="2960" t="s">
        <v>1945</v>
      </c>
      <c r="E119" s="2961"/>
      <c r="F119" s="2865" t="s">
        <v>1804</v>
      </c>
      <c r="G119" s="2865"/>
      <c r="H119" s="2865" t="s">
        <v>1946</v>
      </c>
      <c r="I119" s="2962"/>
    </row>
    <row r="120" spans="1:15" ht="14.4" hidden="1">
      <c r="A120" s="2957"/>
      <c r="B120" s="2959"/>
      <c r="C120" s="2959"/>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hidden="1">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hidden="1">
      <c r="A124" s="2963" t="s">
        <v>1950</v>
      </c>
      <c r="B124" s="2964"/>
      <c r="C124" s="2965"/>
      <c r="D124" s="2966">
        <f>H109</f>
        <v>0</v>
      </c>
      <c r="E124" s="2967"/>
      <c r="F124" s="2967"/>
      <c r="G124" s="2967"/>
      <c r="H124" s="2967"/>
      <c r="I124" s="2968"/>
    </row>
    <row r="125" spans="1:15" ht="13.8" hidden="1">
      <c r="A125" s="2969" t="str">
        <f>IF(项目基本情况!D5="房地产市场价值","——",MID(A112,3,LEN(A112)-2))</f>
        <v>房地产抵押价值</v>
      </c>
      <c r="B125" s="2970"/>
      <c r="C125" s="2970"/>
      <c r="D125" s="2971">
        <f ca="1">I110</f>
        <v>39246684</v>
      </c>
      <c r="E125" s="2972"/>
      <c r="F125" s="2972"/>
      <c r="G125" s="2972"/>
      <c r="H125" s="2972"/>
      <c r="I125" s="2973"/>
    </row>
    <row r="126" spans="1:15" ht="13.8" hidden="1">
      <c r="A126" s="2957" t="s">
        <v>1950</v>
      </c>
      <c r="B126" s="2865"/>
      <c r="C126" s="2865"/>
      <c r="D126" s="2966">
        <f ca="1">I111</f>
        <v>34599</v>
      </c>
      <c r="E126" s="2967"/>
      <c r="F126" s="2967"/>
      <c r="G126" s="2967"/>
      <c r="H126" s="2967"/>
      <c r="I126" s="2968"/>
    </row>
    <row r="127" spans="1:15" ht="14.4" hidden="1" thickBot="1">
      <c r="A127" s="2969" t="str">
        <f>IF(项目基本情况!D5="房地产市场价值","——",MID(A114,3,LEN(A114)-2))</f>
        <v/>
      </c>
      <c r="B127" s="2970"/>
      <c r="C127" s="2970"/>
      <c r="D127" s="2985" t="str">
        <f>I112</f>
        <v>——</v>
      </c>
      <c r="E127" s="2986"/>
      <c r="F127" s="2986"/>
      <c r="G127" s="2986"/>
      <c r="H127" s="2986"/>
      <c r="I127" s="2987"/>
    </row>
    <row r="128" spans="1:15" ht="15" hidden="1" thickTop="1" thickBot="1">
      <c r="A128" s="2957" t="s">
        <v>1950</v>
      </c>
      <c r="B128" s="2865"/>
      <c r="C128" s="2988"/>
      <c r="D128" s="2989" t="str">
        <f>I113</f>
        <v>——</v>
      </c>
      <c r="E128" s="2989"/>
      <c r="F128" s="2989"/>
      <c r="G128" s="2989"/>
      <c r="H128" s="2989"/>
      <c r="I128" s="2989"/>
    </row>
    <row r="129" spans="1:9" ht="15" hidden="1" thickTop="1" thickBot="1">
      <c r="A129" s="2969" t="str">
        <f>IF(项目基本情况!D5="房地产市场价值","——",MID(F114,3,LEN(F114)-2))</f>
        <v/>
      </c>
      <c r="B129" s="2970"/>
      <c r="C129" s="2971"/>
      <c r="D129" s="2990" t="str">
        <f>I114</f>
        <v>——</v>
      </c>
      <c r="E129" s="2990"/>
      <c r="F129" s="2990"/>
      <c r="G129" s="2990"/>
      <c r="H129" s="2990"/>
      <c r="I129" s="2990"/>
    </row>
    <row r="130" spans="1:9" ht="15" hidden="1" thickTop="1" thickBot="1">
      <c r="A130" s="2979" t="s">
        <v>1950</v>
      </c>
      <c r="B130" s="2980"/>
      <c r="C130" s="2980"/>
      <c r="D130" s="2981">
        <f>H116</f>
        <v>0</v>
      </c>
      <c r="E130" s="2982"/>
      <c r="F130" s="2982"/>
      <c r="G130" s="2982"/>
      <c r="H130" s="2982"/>
      <c r="I130" s="2983"/>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8" priority="9" stopIfTrue="1" operator="equal">
      <formula>25</formula>
    </cfRule>
  </conditionalFormatting>
  <conditionalFormatting sqref="C8:C9">
    <cfRule type="cellIs" dxfId="167" priority="8" stopIfTrue="1" operator="equal">
      <formula>15</formula>
    </cfRule>
  </conditionalFormatting>
  <conditionalFormatting sqref="C14:C16">
    <cfRule type="cellIs" dxfId="166" priority="7" stopIfTrue="1" operator="equal">
      <formula>30</formula>
    </cfRule>
  </conditionalFormatting>
  <conditionalFormatting sqref="D5:D7">
    <cfRule type="cellIs" dxfId="165" priority="6" stopIfTrue="1" operator="equal">
      <formula>25</formula>
    </cfRule>
  </conditionalFormatting>
  <conditionalFormatting sqref="D8:D9">
    <cfRule type="cellIs" dxfId="164" priority="5" stopIfTrue="1" operator="equal">
      <formula>15</formula>
    </cfRule>
  </conditionalFormatting>
  <conditionalFormatting sqref="C10:D13">
    <cfRule type="cellIs" dxfId="163" priority="4" stopIfTrue="1" operator="equal">
      <formula>15</formula>
    </cfRule>
  </conditionalFormatting>
  <conditionalFormatting sqref="D14:D16">
    <cfRule type="cellIs" dxfId="162" priority="3" stopIfTrue="1" operator="equal">
      <formula>30</formula>
    </cfRule>
  </conditionalFormatting>
  <conditionalFormatting sqref="C90">
    <cfRule type="expression" dxfId="161" priority="2" stopIfTrue="1">
      <formula>$H$88&lt;&gt;"仅含出让金"</formula>
    </cfRule>
  </conditionalFormatting>
  <conditionalFormatting sqref="C91">
    <cfRule type="expression" dxfId="160" priority="1"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ht="28.8">
      <c r="A9" s="1179"/>
      <c r="B9" s="1900" t="str">
        <f>项目基本情况!B1</f>
        <v>北京市海淀区花园东路15号9层2901至2903、2905至2907共6套办公用房房地产抵押价值预评估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1" t="str">
        <f>项目基本情况!B4</f>
        <v>北京梅网通信科技有限公司</v>
      </c>
      <c r="C12" s="1038"/>
    </row>
    <row r="13" spans="1:7">
      <c r="A13" s="1179"/>
      <c r="B13" s="1072"/>
      <c r="C13" s="1038"/>
    </row>
    <row r="14" spans="1:7">
      <c r="A14" s="1182" t="s">
        <v>944</v>
      </c>
      <c r="B14" s="1181" t="s">
        <v>946</v>
      </c>
      <c r="C14" s="1038"/>
    </row>
    <row r="15" spans="1:7">
      <c r="A15" s="1179"/>
      <c r="B15" s="1901" t="s">
        <v>775</v>
      </c>
      <c r="C15" s="1038"/>
    </row>
    <row r="16" spans="1:7">
      <c r="A16" s="1179"/>
      <c r="B16" s="1072"/>
      <c r="C16" s="1038"/>
    </row>
    <row r="17" spans="1:5">
      <c r="A17" s="1182" t="s">
        <v>944</v>
      </c>
      <c r="B17" s="1181" t="s">
        <v>947</v>
      </c>
      <c r="C17" s="1038"/>
    </row>
    <row r="18" spans="1:5" s="1042" customFormat="1">
      <c r="A18" s="1180"/>
      <c r="B18" s="1901"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1" t="str">
        <f>"康正预评字"&amp;项目基本情况!G1&amp;"号"</f>
        <v>康正预评字2020-1-0143-P01DYGJ1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hidden="1">
      <c r="A3" s="2870" t="s">
        <v>1764</v>
      </c>
      <c r="B3" s="2871"/>
      <c r="C3" s="2871"/>
      <c r="D3" s="2871"/>
      <c r="E3" s="2871"/>
      <c r="F3" s="2871"/>
      <c r="G3" s="2871"/>
      <c r="H3" s="2871"/>
      <c r="I3" s="2871"/>
    </row>
    <row r="4" spans="1:12" ht="14.4" hidden="1">
      <c r="A4" s="2189" t="s">
        <v>1765</v>
      </c>
      <c r="B4" s="2747" t="s">
        <v>1766</v>
      </c>
      <c r="C4" s="2191" t="s">
        <v>2856</v>
      </c>
      <c r="D4" s="2191" t="s">
        <v>2857</v>
      </c>
      <c r="E4" s="2872" t="s">
        <v>1767</v>
      </c>
      <c r="F4" s="2873"/>
      <c r="G4" s="2873"/>
      <c r="H4" s="2873"/>
      <c r="I4" s="2874"/>
      <c r="K4" s="1839" t="str">
        <f>IF(ISNUMBER(FIND("比较法",'结果表 (2905)'!C4)),"比较法",IF(ISNUMBER(FIND("成本法",'结果表 (2905)'!C4)),"成本法",IF(ISNUMBER(FIND("假设开发法",'结果表 (2905)'!C4)),"假设开发法",IF(ISNUMBER(FIND("收益法",'结果表 (2905)'!C4)),"收益法","基准地价系数修正法"))))</f>
        <v>比较法</v>
      </c>
      <c r="L4" s="1839" t="str">
        <f>IF(ISNUMBER(FIND("比较法",'结果表 (2905)'!D4)),"比较法",IF(ISNUMBER(FIND("成本法",'结果表 (2905)'!D4)),"成本法",IF(ISNUMBER(FIND("假设开发法",'结果表 (2905)'!D4)),"假设开发法",IF(ISNUMBER(FIND("收益法",'结果表 (2905)'!D4)),"收益法","基准地价系数修正法"))))</f>
        <v>收益法</v>
      </c>
    </row>
    <row r="5" spans="1:12" ht="13.2" hidden="1">
      <c r="A5" s="2864" t="s">
        <v>1768</v>
      </c>
      <c r="B5" s="2865">
        <v>25</v>
      </c>
      <c r="C5" s="2866"/>
      <c r="D5" s="2868"/>
      <c r="E5" s="56" t="s">
        <v>1769</v>
      </c>
      <c r="F5" s="2192"/>
      <c r="G5" s="2192"/>
      <c r="H5" s="2192"/>
      <c r="I5" s="2193"/>
    </row>
    <row r="6" spans="1:12" ht="13.2" hidden="1">
      <c r="A6" s="2864"/>
      <c r="B6" s="2865"/>
      <c r="C6" s="2875"/>
      <c r="D6" s="2868"/>
      <c r="E6" s="56" t="s">
        <v>1770</v>
      </c>
      <c r="F6" s="2192"/>
      <c r="G6" s="2192"/>
      <c r="H6" s="2192"/>
      <c r="I6" s="2193"/>
    </row>
    <row r="7" spans="1:12" ht="13.2" hidden="1">
      <c r="A7" s="2864"/>
      <c r="B7" s="2865"/>
      <c r="C7" s="2867"/>
      <c r="D7" s="2868"/>
      <c r="E7" s="56" t="s">
        <v>1771</v>
      </c>
      <c r="F7" s="2192"/>
      <c r="G7" s="2192"/>
      <c r="H7" s="2192"/>
      <c r="I7" s="2193"/>
    </row>
    <row r="8" spans="1:12" ht="13.2" hidden="1">
      <c r="A8" s="2864" t="s">
        <v>1772</v>
      </c>
      <c r="B8" s="2865">
        <v>15</v>
      </c>
      <c r="C8" s="2866"/>
      <c r="D8" s="2868"/>
      <c r="E8" s="56" t="s">
        <v>1773</v>
      </c>
      <c r="F8" s="2192"/>
      <c r="G8" s="2192"/>
      <c r="H8" s="2192"/>
      <c r="I8" s="2193"/>
    </row>
    <row r="9" spans="1:12" ht="13.2" hidden="1">
      <c r="A9" s="2864"/>
      <c r="B9" s="2865"/>
      <c r="C9" s="2867"/>
      <c r="D9" s="2868"/>
      <c r="E9" s="56" t="s">
        <v>1774</v>
      </c>
      <c r="F9" s="2192"/>
      <c r="G9" s="2192"/>
      <c r="H9" s="2192"/>
      <c r="I9" s="2193"/>
    </row>
    <row r="10" spans="1:12" ht="13.2" hidden="1">
      <c r="A10" s="2864" t="s">
        <v>1775</v>
      </c>
      <c r="B10" s="2865">
        <v>15</v>
      </c>
      <c r="C10" s="2866"/>
      <c r="D10" s="2868"/>
      <c r="E10" s="56" t="s">
        <v>1776</v>
      </c>
      <c r="F10" s="2192"/>
      <c r="G10" s="2192"/>
      <c r="H10" s="2192"/>
      <c r="I10" s="2193"/>
    </row>
    <row r="11" spans="1:12" ht="13.2" hidden="1">
      <c r="A11" s="2864"/>
      <c r="B11" s="2865"/>
      <c r="C11" s="2867"/>
      <c r="D11" s="2868"/>
      <c r="E11" s="56" t="s">
        <v>1777</v>
      </c>
      <c r="F11" s="2192"/>
      <c r="G11" s="2192"/>
      <c r="H11" s="2192"/>
      <c r="I11" s="2193"/>
    </row>
    <row r="12" spans="1:12" ht="13.2" hidden="1">
      <c r="A12" s="2864" t="s">
        <v>1778</v>
      </c>
      <c r="B12" s="2865">
        <v>15</v>
      </c>
      <c r="C12" s="2866"/>
      <c r="D12" s="2868"/>
      <c r="E12" s="56" t="s">
        <v>1779</v>
      </c>
      <c r="F12" s="2192"/>
      <c r="G12" s="2192"/>
      <c r="H12" s="2192"/>
      <c r="I12" s="2193"/>
    </row>
    <row r="13" spans="1:12" ht="13.2" hidden="1">
      <c r="A13" s="2864"/>
      <c r="B13" s="2865"/>
      <c r="C13" s="2867"/>
      <c r="D13" s="2868"/>
      <c r="E13" s="56" t="s">
        <v>1780</v>
      </c>
      <c r="F13" s="2192"/>
      <c r="G13" s="2192"/>
      <c r="H13" s="2192"/>
      <c r="I13" s="2193"/>
    </row>
    <row r="14" spans="1:12" ht="13.2" hidden="1">
      <c r="A14" s="2864" t="s">
        <v>1781</v>
      </c>
      <c r="B14" s="2865">
        <v>30</v>
      </c>
      <c r="C14" s="2866">
        <v>5</v>
      </c>
      <c r="D14" s="2868">
        <v>5</v>
      </c>
      <c r="E14" s="56" t="s">
        <v>1782</v>
      </c>
      <c r="F14" s="2192"/>
      <c r="G14" s="2192"/>
      <c r="H14" s="2192"/>
      <c r="I14" s="2193"/>
    </row>
    <row r="15" spans="1:12" ht="13.2" hidden="1">
      <c r="A15" s="2864"/>
      <c r="B15" s="2865"/>
      <c r="C15" s="2875"/>
      <c r="D15" s="2868"/>
      <c r="E15" s="56" t="s">
        <v>1783</v>
      </c>
      <c r="F15" s="2192"/>
      <c r="G15" s="2192"/>
      <c r="H15" s="2192"/>
      <c r="I15" s="2193"/>
    </row>
    <row r="16" spans="1:12" ht="13.2" hidden="1">
      <c r="A16" s="2864"/>
      <c r="B16" s="2865"/>
      <c r="C16" s="2867"/>
      <c r="D16" s="2868"/>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(2905)'!B19,INDIRECT("'"&amp;C4&amp;"'"&amp;"!B:B"))</f>
        <v>4974051</v>
      </c>
      <c r="D19" s="60">
        <f ca="1">SUMIF(INDIRECT("'"&amp;D4&amp;"'"&amp;"!A:A"),'结果表 (2905)'!B19,INDIRECT("'"&amp;D4&amp;"'"&amp;"!B:B"))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(2905)'!B20,INDIRECT("'"&amp;C4&amp;"'"&amp;"!B:B"))</f>
        <v>33037</v>
      </c>
      <c r="D20" s="63">
        <f ca="1">SUMIF(INDIRECT("'"&amp;D4&amp;"'"&amp;"!A:A"),'结果表 (2905)'!B20,INDIRECT("'"&amp;D4&amp;"'"&amp;"!B:B"))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76" t="s">
        <v>1793</v>
      </c>
      <c r="B24" s="2199" t="s">
        <v>1788</v>
      </c>
      <c r="C24" s="61">
        <f>D30</f>
        <v>0</v>
      </c>
      <c r="D24" s="989"/>
      <c r="E24" s="2187"/>
      <c r="F24" s="2187"/>
      <c r="G24" s="2187"/>
      <c r="H24" s="2187"/>
      <c r="I24" s="2187"/>
    </row>
    <row r="25" spans="1:35" ht="21.75" hidden="1" customHeight="1">
      <c r="A25" s="2877"/>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78" t="s">
        <v>1806</v>
      </c>
      <c r="B36" s="2229" t="s">
        <v>1807</v>
      </c>
      <c r="C36" s="69">
        <v>0</v>
      </c>
      <c r="D36" s="2230"/>
      <c r="E36" s="2231"/>
      <c r="F36" s="2231"/>
      <c r="G36" s="2187"/>
      <c r="H36" s="2187"/>
      <c r="I36" s="2187"/>
    </row>
    <row r="37" spans="1:16" ht="15" hidden="1" thickBot="1">
      <c r="A37" s="2879"/>
      <c r="B37" s="2232" t="s">
        <v>1808</v>
      </c>
      <c r="C37" s="71">
        <v>0</v>
      </c>
      <c r="D37" s="2197"/>
      <c r="E37" s="2197"/>
      <c r="F37" s="2231"/>
      <c r="G37" s="2197"/>
      <c r="H37" s="2197"/>
      <c r="I37" s="2197"/>
    </row>
    <row r="38" spans="1:16" ht="15" hidden="1" thickBot="1">
      <c r="A38" s="2880"/>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ROUND(典型户型修正!S30*F45,0)</f>
        <v>7026711</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2757">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2757">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87724</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84" t="s">
        <v>1832</v>
      </c>
      <c r="L48" s="2884"/>
      <c r="M48" s="2888">
        <f ca="1">典型户型修正!S30</f>
        <v>7026711</v>
      </c>
      <c r="N48" s="2888"/>
      <c r="O48" s="2888"/>
      <c r="P48" s="1839"/>
    </row>
    <row r="49" spans="1:16" ht="25.5" customHeight="1">
      <c r="A49" s="92" t="s">
        <v>1833</v>
      </c>
      <c r="B49" s="2889" t="s">
        <v>1834</v>
      </c>
      <c r="C49" s="2889"/>
      <c r="D49" s="93">
        <v>0</v>
      </c>
      <c r="E49" s="13" t="s">
        <v>1835</v>
      </c>
      <c r="F49" s="18" t="s">
        <v>48</v>
      </c>
      <c r="G49" s="2895"/>
      <c r="H49" s="2187"/>
      <c r="I49" s="2252"/>
      <c r="J49" s="2757">
        <v>4</v>
      </c>
      <c r="K49" s="2884" t="str">
        <f>IF(项目基本情况!F5="房地产抵押价值","房地产抵押价值","抵押担保权已注销时的房地产抵押价值")</f>
        <v>房地产抵押价值</v>
      </c>
      <c r="L49" s="2884"/>
      <c r="M49" s="2888">
        <f ca="1">M48</f>
        <v>7026711</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760" t="s">
        <v>1839</v>
      </c>
      <c r="K51" s="2884" t="s">
        <v>1840</v>
      </c>
      <c r="L51" s="2884"/>
      <c r="M51" s="2760" t="s">
        <v>1841</v>
      </c>
      <c r="N51" s="2760" t="s">
        <v>1842</v>
      </c>
      <c r="O51" s="2760" t="s">
        <v>1843</v>
      </c>
      <c r="P51" s="1839"/>
    </row>
    <row r="52" spans="1:16" ht="24" customHeight="1">
      <c r="A52" s="99" t="s">
        <v>1844</v>
      </c>
      <c r="B52" s="2889" t="s">
        <v>1845</v>
      </c>
      <c r="C52" s="2889"/>
      <c r="D52" s="98">
        <f ca="1">ROUND(D45*'数据-取费表'!E29/(1+'数据-取费表'!F30),0)</f>
        <v>374758</v>
      </c>
      <c r="E52" s="10" t="s">
        <v>1846</v>
      </c>
      <c r="F52" s="100">
        <f>'数据-取费表'!E29</f>
        <v>5.6000000000000001E-2</v>
      </c>
      <c r="G52" s="2254"/>
      <c r="H52" s="2187"/>
      <c r="I52" s="2252"/>
      <c r="J52" s="2757">
        <v>1</v>
      </c>
      <c r="K52" s="2890" t="s">
        <v>1847</v>
      </c>
      <c r="L52" s="2890"/>
      <c r="M52" s="777">
        <f ca="1">D48</f>
        <v>87724</v>
      </c>
      <c r="N52" s="2757" t="str">
        <f>E48</f>
        <v>(销售额-原购置价)×税（费）率</v>
      </c>
      <c r="O52" s="778">
        <f>F48</f>
        <v>5.6000000000000001E-2</v>
      </c>
      <c r="P52" s="1839"/>
    </row>
    <row r="53" spans="1:16" ht="12" customHeight="1">
      <c r="A53" s="99" t="s">
        <v>1848</v>
      </c>
      <c r="B53" s="2891" t="s">
        <v>1849</v>
      </c>
      <c r="C53" s="2836"/>
      <c r="D53" s="98">
        <f ca="1">ROUND(D45*'数据-取费表'!E29/(1+'数据-取费表'!F30),0)</f>
        <v>374758</v>
      </c>
      <c r="E53" s="10" t="s">
        <v>1846</v>
      </c>
      <c r="F53" s="100">
        <f>'数据-取费表'!E29</f>
        <v>5.6000000000000001E-2</v>
      </c>
      <c r="G53" s="2254"/>
      <c r="H53" s="2187"/>
      <c r="I53" s="2252"/>
      <c r="J53" s="2757">
        <v>2</v>
      </c>
      <c r="K53" s="2890" t="s">
        <v>1850</v>
      </c>
      <c r="L53" s="2890"/>
      <c r="M53" s="777">
        <f t="shared" ref="M53:O54" ca="1" si="1">D55</f>
        <v>3513</v>
      </c>
      <c r="N53" s="2757" t="str">
        <f t="shared" si="1"/>
        <v>销售额×税（费）率</v>
      </c>
      <c r="O53" s="778">
        <f t="shared" si="1"/>
        <v>5.0000000000000001E-4</v>
      </c>
      <c r="P53" s="1839"/>
    </row>
    <row r="54" spans="1:16" ht="12" customHeight="1">
      <c r="A54" s="99" t="s">
        <v>1851</v>
      </c>
      <c r="B54" s="2891" t="s">
        <v>1852</v>
      </c>
      <c r="C54" s="2836"/>
      <c r="D54" s="98">
        <f ca="1">C68</f>
        <v>87724</v>
      </c>
      <c r="E54" s="20" t="s">
        <v>1853</v>
      </c>
      <c r="F54" s="100">
        <f>'数据-取费表'!E29</f>
        <v>5.6000000000000001E-2</v>
      </c>
      <c r="G54" s="2254"/>
      <c r="H54" s="2255"/>
      <c r="I54" s="2252"/>
      <c r="J54" s="2757">
        <v>3</v>
      </c>
      <c r="K54" s="2890" t="s">
        <v>1854</v>
      </c>
      <c r="L54" s="2890"/>
      <c r="M54" s="777">
        <f t="shared" ca="1" si="1"/>
        <v>486461</v>
      </c>
      <c r="N54" s="2757" t="str">
        <f t="shared" si="1"/>
        <v>增值额×税（费）率</v>
      </c>
      <c r="O54" s="779" t="str">
        <f t="shared" si="1"/>
        <v>——</v>
      </c>
      <c r="P54" s="1839"/>
    </row>
    <row r="55" spans="1:16" ht="24" customHeight="1">
      <c r="A55" s="2828" t="s">
        <v>1855</v>
      </c>
      <c r="B55" s="2894"/>
      <c r="C55" s="2894"/>
      <c r="D55" s="101">
        <f ca="1">IF(H55="个人住宅",0,ROUND(D45*I55,0))</f>
        <v>3513</v>
      </c>
      <c r="E55" s="10" t="s">
        <v>1856</v>
      </c>
      <c r="F55" s="100">
        <f>IF(H55="正常",I55,"免征")</f>
        <v>5.0000000000000001E-4</v>
      </c>
      <c r="G55" s="2254"/>
      <c r="H55" s="2251" t="s">
        <v>1857</v>
      </c>
      <c r="I55" s="102">
        <f>'数据-取费表'!E37</f>
        <v>5.0000000000000001E-4</v>
      </c>
      <c r="J55" s="2757" t="str">
        <f>IF(H59="非个人房产","",4)</f>
        <v/>
      </c>
      <c r="K55" s="2890" t="str">
        <f>IF(H59="非个人房产","——","个人所得税")</f>
        <v>——</v>
      </c>
      <c r="L55" s="2890"/>
      <c r="M55" s="780" t="str">
        <f>D59</f>
        <v>——</v>
      </c>
      <c r="N55" s="2756" t="str">
        <f>E59</f>
        <v>——</v>
      </c>
      <c r="O55" s="781" t="str">
        <f>F59</f>
        <v>——</v>
      </c>
      <c r="P55" s="1839"/>
    </row>
    <row r="56" spans="1:16" ht="25.2">
      <c r="A56" s="2828" t="s">
        <v>1858</v>
      </c>
      <c r="B56" s="2894"/>
      <c r="C56" s="2894"/>
      <c r="D56" s="101">
        <f ca="1">IF(H56="个人住宅",D57,D58)</f>
        <v>486461</v>
      </c>
      <c r="E56" s="10" t="s">
        <v>1859</v>
      </c>
      <c r="F56" s="100" t="str">
        <f>IF(H56="正常",F58,"免征")</f>
        <v>——</v>
      </c>
      <c r="G56" s="2256" t="s">
        <v>1860</v>
      </c>
      <c r="H56" s="2257" t="s">
        <v>1857</v>
      </c>
      <c r="I56" s="1017"/>
      <c r="J56" s="2757"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577698</v>
      </c>
      <c r="O57" s="2259"/>
      <c r="P57" s="1835">
        <f ca="1">N57/M49</f>
        <v>8.2214566672800402E-2</v>
      </c>
    </row>
    <row r="58" spans="1:16" ht="25.2">
      <c r="A58" s="99" t="s">
        <v>1844</v>
      </c>
      <c r="B58" s="2872" t="s">
        <v>1864</v>
      </c>
      <c r="C58" s="2873"/>
      <c r="D58" s="101">
        <f ca="1">IF(H58="转让取得",C81,C97)</f>
        <v>486461</v>
      </c>
      <c r="E58" s="10" t="s">
        <v>1859</v>
      </c>
      <c r="F58" s="14" t="s">
        <v>48</v>
      </c>
      <c r="G58" s="2254"/>
      <c r="H58" s="2257" t="s">
        <v>2905</v>
      </c>
      <c r="I58" s="1017"/>
      <c r="J58" s="2890"/>
      <c r="K58" s="2890"/>
      <c r="L58" s="2258" t="s">
        <v>1866</v>
      </c>
      <c r="M58" s="784"/>
      <c r="N58" s="2260" t="str">
        <f ca="1">IF(H19="元",NUMBERSTRING(INT(N57),2)&amp;"元整",NUMBERSTRING(INT(N57*10000),2)&amp;"元整")</f>
        <v>伍拾柒万柒仟陆佰玖拾捌元整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2757" t="s">
        <v>1863</v>
      </c>
      <c r="M59" s="785"/>
      <c r="N59" s="786">
        <f ca="1">M49-N57</f>
        <v>6449013</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陆佰肆拾肆万玖仟零壹拾叁元整</v>
      </c>
      <c r="O60" s="2261"/>
      <c r="P60" s="1839"/>
    </row>
    <row r="61" spans="1:16" ht="13.8" thickBot="1">
      <c r="A61" s="2912" t="s">
        <v>1869</v>
      </c>
      <c r="B61" s="2912"/>
      <c r="C61" s="2912"/>
      <c r="D61" s="2912"/>
      <c r="E61" s="2912"/>
      <c r="F61" s="1017"/>
      <c r="G61" s="1017"/>
      <c r="H61" s="2240"/>
      <c r="I61" s="2187"/>
      <c r="J61" s="2757">
        <f>J59+1</f>
        <v>6</v>
      </c>
      <c r="K61" s="2890" t="s">
        <v>1870</v>
      </c>
      <c r="L61" s="2890"/>
      <c r="M61" s="787"/>
      <c r="N61" s="788">
        <f ca="1">IF(H19="元",ROUND(N59/典型户型修正!B30,0),ROUND(N59*10000/典型户型修正!B30,0))</f>
        <v>31754</v>
      </c>
      <c r="O61" s="2264"/>
      <c r="P61" s="1839"/>
    </row>
    <row r="62" spans="1:16" ht="13.2">
      <c r="A62" s="2910" t="s">
        <v>1871</v>
      </c>
      <c r="B62" s="291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6692106</v>
      </c>
      <c r="D63" s="112"/>
      <c r="E63" s="113"/>
      <c r="F63" s="1017"/>
      <c r="G63" s="1017"/>
      <c r="H63" s="2240"/>
      <c r="I63" s="2187"/>
      <c r="J63" s="2913" t="s">
        <v>1875</v>
      </c>
      <c r="K63" s="2758" t="s">
        <v>1876</v>
      </c>
      <c r="L63" s="1838">
        <f ca="1">IF(M49&gt;10000,M49*0.5%,IF(AND(M49&gt;1000,M49&lt;=10000),M49*1%,IF(AND(M49&gt;100,M49&lt;=1000),M49*3%,IF(AND(M49&gt;10,M49&lt;=100),M49*5%,M49*8%))))</f>
        <v>35133.555</v>
      </c>
      <c r="M63" s="14">
        <f ca="1">ROUND(L63,1)</f>
        <v>35133.599999999999</v>
      </c>
      <c r="N63" s="1839"/>
      <c r="O63" s="1839"/>
      <c r="P63" s="1839"/>
    </row>
    <row r="64" spans="1:16" ht="13.2">
      <c r="A64" s="114" t="s">
        <v>71</v>
      </c>
      <c r="B64" s="115" t="s">
        <v>1877</v>
      </c>
      <c r="C64" s="116">
        <f ca="1">D45</f>
        <v>7026711</v>
      </c>
      <c r="D64" s="117" t="s">
        <v>41</v>
      </c>
      <c r="E64" s="118"/>
      <c r="F64" s="1017"/>
      <c r="G64" s="1017"/>
      <c r="H64" s="2240"/>
      <c r="I64" s="2187"/>
      <c r="J64" s="2913"/>
      <c r="K64" s="2758" t="s">
        <v>1878</v>
      </c>
      <c r="L64" s="1838">
        <f ca="1">IF(M49&gt;2000,M49*0.5%,IF(AND(M49&gt;1000,M49&lt;=2000),M49*0.6%,IF(AND(M49&gt;500,M49&lt;=1000),M49*0.7%,IF(AND(M49&gt;200,M49&lt;=500),M49*0.8%,IF(AND(M49&gt;100,M49&lt;=200),M49*0.9%,IF(AND(M49&gt;50,M49&lt;=100),M49*1%,IF(AND(M49&gt;20,M49&lt;=50),M49*1.5%,IF(AND(M49&gt;10,M49&lt;=20),M49*2%,IF(AND(M49&gt;1,M49&lt;=10),M49*2.5%)))))))))</f>
        <v>35133.555</v>
      </c>
      <c r="M64" s="14">
        <f t="shared" ref="M64:M65" ca="1" si="2">ROUND(L64,1)</f>
        <v>35133.599999999999</v>
      </c>
      <c r="N64" s="1839" t="s">
        <v>1879</v>
      </c>
      <c r="O64" s="1839"/>
      <c r="P64" s="1839"/>
    </row>
    <row r="65" spans="1:35" ht="13.2">
      <c r="A65" s="114" t="s">
        <v>72</v>
      </c>
      <c r="B65" s="115" t="s">
        <v>1880</v>
      </c>
      <c r="C65" s="119"/>
      <c r="D65" s="117"/>
      <c r="E65" s="118"/>
      <c r="F65" s="1017"/>
      <c r="G65" s="1017"/>
      <c r="H65" s="2240"/>
      <c r="I65" s="2187"/>
      <c r="J65" s="2913"/>
      <c r="K65" s="2758" t="s">
        <v>1881</v>
      </c>
      <c r="L65" s="1838">
        <f ca="1">IF(M49&gt;1000,M49*0.1%,IF(AND(M49&gt;500,M49&lt;=1000),M49*0.5%,IF(AND(M49&gt;50,M49&lt;=500),M49*1%,IF(AND(M49&gt;1,M49&lt;=50),M49*1.5%))))</f>
        <v>7026.7110000000002</v>
      </c>
      <c r="M65" s="14">
        <f t="shared" ca="1" si="2"/>
        <v>7026.7</v>
      </c>
      <c r="N65" s="1839" t="s">
        <v>1879</v>
      </c>
      <c r="O65" s="1839"/>
      <c r="P65" s="1839"/>
    </row>
    <row r="66" spans="1:35" ht="25.2">
      <c r="A66" s="120" t="s">
        <v>47</v>
      </c>
      <c r="B66" s="121" t="s">
        <v>1882</v>
      </c>
      <c r="C66" s="122">
        <f>ROUND(5381885/1.05,0)</f>
        <v>5125605</v>
      </c>
      <c r="D66" s="123" t="s">
        <v>41</v>
      </c>
      <c r="E66" s="1855" t="s">
        <v>1883</v>
      </c>
      <c r="F66" s="1017"/>
      <c r="G66" s="1017"/>
      <c r="H66" s="2240"/>
      <c r="I66" s="2187"/>
      <c r="J66" s="2913"/>
      <c r="K66" s="2758" t="s">
        <v>1884</v>
      </c>
      <c r="L66" s="1838">
        <f ca="1">M49*0.5%</f>
        <v>35133.555</v>
      </c>
      <c r="M66" s="14">
        <f ca="1">IF(L66&gt;0.5,0.5,ROUND(L66,0))</f>
        <v>0.5</v>
      </c>
      <c r="N66" s="1839" t="s">
        <v>1885</v>
      </c>
      <c r="O66" s="1839"/>
      <c r="P66" s="1839"/>
    </row>
    <row r="67" spans="1:35" ht="13.2">
      <c r="A67" s="120" t="s">
        <v>42</v>
      </c>
      <c r="B67" s="121" t="s">
        <v>1886</v>
      </c>
      <c r="C67" s="124">
        <f ca="1">C63-C66</f>
        <v>1566501</v>
      </c>
      <c r="D67" s="117" t="s">
        <v>41</v>
      </c>
      <c r="E67" s="118"/>
      <c r="F67" s="1017"/>
      <c r="G67" s="1017"/>
      <c r="H67" s="2240"/>
      <c r="I67" s="2187"/>
      <c r="J67" s="2913"/>
      <c r="K67" s="2758" t="s">
        <v>1887</v>
      </c>
      <c r="L67" s="1838">
        <f ca="1">IF(M49&gt;=10000,(8.25+(M49-10000)*0.01%),IF(AND(M49&gt;=8000,M49&lt;10000),(7.85+(M49-8000)*0.02%),IF(AND(M49&gt;=5000,M49&lt;8000),(6.65+(M49-5000)*0.04%),IF(AND(M49&gt;=2000,M49&lt;5000),(4.25+(PM49-2000)*0.08%),IF(AND(M49&gt;=1000,M49&lt;2000),(2.75+(M49-1000)*0.15%),IF(AND(M49&gt;=100,M49&lt;1000),(0.5+(M49-100)*0.25%),IF(AND(M49&gt;0,M49&lt;100),M49*0.5%)))))))</f>
        <v>709.92110000000002</v>
      </c>
      <c r="M67" s="14">
        <f ca="1">ROUND(L67*0.9,1)</f>
        <v>638.9</v>
      </c>
      <c r="N67" s="1839"/>
      <c r="O67" s="1839"/>
      <c r="P67" s="1839"/>
    </row>
    <row r="68" spans="1:35" ht="13.8" thickBot="1">
      <c r="A68" s="125" t="s">
        <v>46</v>
      </c>
      <c r="B68" s="126" t="s">
        <v>1888</v>
      </c>
      <c r="C68" s="127">
        <f ca="1">IF(C67&lt;=0,0,ROUND(C67*D68,0))</f>
        <v>87724</v>
      </c>
      <c r="D68" s="128">
        <f>'数据-取费表'!E29</f>
        <v>5.6000000000000001E-2</v>
      </c>
      <c r="E68" s="129"/>
      <c r="F68" s="1017"/>
      <c r="G68" s="1017"/>
      <c r="H68" s="2240"/>
      <c r="I68" s="2187"/>
      <c r="J68" s="2913"/>
      <c r="K68" s="2758" t="s">
        <v>1889</v>
      </c>
      <c r="L68" s="1838">
        <f ca="1">IF(M49&gt;10000,M49*0.5%,IF(AND(M49&gt;5000,M49&lt;=10000),M49*1%,IF(AND(M49&gt;1000,M49&lt;=5000),M49*2%,IF(AND(M49&gt;200,M49&lt;=1000),M49*3%,M49*5%))))</f>
        <v>35133.555</v>
      </c>
      <c r="M68" s="14">
        <f ca="1">ROUND(L68,1)</f>
        <v>35133.599999999999</v>
      </c>
      <c r="N68" s="1839"/>
      <c r="O68" s="1839"/>
      <c r="P68" s="1839"/>
    </row>
    <row r="69" spans="1:35" s="2214" customFormat="1" ht="7.5" customHeight="1">
      <c r="A69" s="2266"/>
      <c r="B69" s="2267"/>
      <c r="C69" s="2268"/>
      <c r="D69" s="2269"/>
      <c r="E69" s="2270"/>
      <c r="F69" s="1017"/>
      <c r="G69" s="1017"/>
      <c r="H69" s="2240"/>
      <c r="I69" s="2187"/>
      <c r="J69" s="2913"/>
      <c r="K69" s="2758" t="s">
        <v>1890</v>
      </c>
      <c r="L69" s="2271"/>
      <c r="M69" s="14">
        <f ca="1">ROUND(SUM(M63:M68),0)</f>
        <v>113067</v>
      </c>
      <c r="N69" s="1835">
        <f ca="1">M69/M49</f>
        <v>1.6091027509171789E-2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6692106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5070569</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5030416</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5125605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148887</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40153</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1621537</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0.31979389295363103</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486461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6692106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40153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40153</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6651953</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165.66515577914478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3977118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24" t="s">
        <v>1925</v>
      </c>
      <c r="B99" s="2925"/>
      <c r="C99" s="2925"/>
      <c r="D99" s="2926"/>
      <c r="E99" s="2187"/>
      <c r="F99" s="2927" t="s">
        <v>1926</v>
      </c>
      <c r="G99" s="2928"/>
      <c r="H99" s="2928"/>
      <c r="I99" s="2929"/>
    </row>
    <row r="100" spans="1:35" ht="15.6" hidden="1">
      <c r="A100" s="2930" t="s">
        <v>1927</v>
      </c>
      <c r="B100" s="2931"/>
      <c r="C100" s="719" t="str">
        <f>C4</f>
        <v>比较法-办公</v>
      </c>
      <c r="D100" s="720" t="str">
        <f>D4</f>
        <v>收益法</v>
      </c>
      <c r="E100" s="2187"/>
      <c r="F100" s="2932" t="s">
        <v>1928</v>
      </c>
      <c r="G100" s="2933"/>
      <c r="H100" s="2932" t="s">
        <v>1929</v>
      </c>
      <c r="I100" s="2915"/>
    </row>
    <row r="101" spans="1:35" ht="15.6" hidden="1">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hidden="1">
      <c r="A102" s="2918"/>
      <c r="B102" s="2282" t="s">
        <v>1931</v>
      </c>
      <c r="C102" s="721">
        <f ca="1">C20</f>
        <v>33037</v>
      </c>
      <c r="D102" s="722">
        <f ca="1">D20</f>
        <v>36160</v>
      </c>
      <c r="E102" s="2187"/>
      <c r="F102" s="2916" t="s">
        <v>1932</v>
      </c>
      <c r="G102" s="2917"/>
      <c r="H102" s="2283" t="str">
        <f>C106</f>
        <v>总价（元）</v>
      </c>
      <c r="I102" s="1856">
        <f ca="1">H121</f>
        <v>39246684</v>
      </c>
    </row>
    <row r="103" spans="1:35" ht="15.6" hidden="1">
      <c r="A103" s="2918" t="s">
        <v>1933</v>
      </c>
      <c r="B103" s="2284" t="str">
        <f>B101</f>
        <v>总价（元）</v>
      </c>
      <c r="C103" s="723">
        <f ca="1">H121</f>
        <v>39246684</v>
      </c>
      <c r="D103" s="724"/>
      <c r="E103" s="2187"/>
      <c r="F103" s="2916"/>
      <c r="G103" s="2917"/>
      <c r="H103" s="2283" t="s">
        <v>1931</v>
      </c>
      <c r="I103" s="1045">
        <f ca="1">I121</f>
        <v>34599</v>
      </c>
    </row>
    <row r="104" spans="1:35" ht="16.2" hidden="1" thickBot="1">
      <c r="A104" s="2919"/>
      <c r="B104" s="2285" t="s">
        <v>1931</v>
      </c>
      <c r="C104" s="725">
        <f ca="1">I121</f>
        <v>34599</v>
      </c>
      <c r="D104" s="726"/>
      <c r="E104" s="2187"/>
      <c r="F104" s="2920"/>
      <c r="G104" s="2921"/>
      <c r="H104" s="2922"/>
      <c r="I104" s="2923"/>
    </row>
    <row r="105" spans="1:35" ht="15.6" hidden="1">
      <c r="A105" s="2924" t="s">
        <v>1934</v>
      </c>
      <c r="B105" s="2925"/>
      <c r="C105" s="2925"/>
      <c r="D105" s="2926"/>
      <c r="E105" s="2187"/>
      <c r="F105" s="2934" t="s">
        <v>1935</v>
      </c>
      <c r="G105" s="2935"/>
      <c r="H105" s="2286" t="str">
        <f>C108</f>
        <v>总额（元）</v>
      </c>
      <c r="I105" s="1856">
        <f>SUMIF(I106:I108,"&lt;9E307")</f>
        <v>0</v>
      </c>
    </row>
    <row r="106" spans="1:35" ht="15.6" hidden="1">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36"/>
      <c r="B107" s="2937"/>
      <c r="C107" s="2283" t="s">
        <v>1931</v>
      </c>
      <c r="D107" s="1047">
        <f ca="1">I121</f>
        <v>34599</v>
      </c>
      <c r="E107" s="2187"/>
      <c r="F107" s="2938" t="s">
        <v>1938</v>
      </c>
      <c r="G107" s="2939"/>
      <c r="H107" s="2286" t="str">
        <f>C110</f>
        <v>总额（元）</v>
      </c>
      <c r="I107" s="1045">
        <f>C37</f>
        <v>0</v>
      </c>
      <c r="K107" s="2287"/>
    </row>
    <row r="108" spans="1:35" ht="15.6" hidden="1">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hidden="1">
      <c r="A109" s="2938" t="s">
        <v>1937</v>
      </c>
      <c r="B109" s="2939"/>
      <c r="C109" s="2286" t="str">
        <f>C108</f>
        <v>总额（元）</v>
      </c>
      <c r="D109" s="2759">
        <f>IF(D36="同一抵押权人同一抵押物续贷",C36&amp;"（未扣减，详见特别提示）",C36)</f>
        <v>0</v>
      </c>
      <c r="E109" s="2187"/>
      <c r="F109" s="2920"/>
      <c r="G109" s="2921"/>
      <c r="H109" s="2951"/>
      <c r="I109" s="2952"/>
    </row>
    <row r="110" spans="1:35" ht="28.5" hidden="1" customHeight="1">
      <c r="A110" s="2938" t="s">
        <v>1938</v>
      </c>
      <c r="B110" s="2939"/>
      <c r="C110" s="2286" t="str">
        <f>C108</f>
        <v>总额（元）</v>
      </c>
      <c r="D110" s="2759">
        <f>C37</f>
        <v>0</v>
      </c>
      <c r="E110" s="2187"/>
      <c r="F110" s="2942" t="str">
        <f>IF(项目基本情况!F5="已注销","——","3.房地产抵押价值")</f>
        <v>3.房地产抵押价值</v>
      </c>
      <c r="G110" s="2943"/>
      <c r="H110" s="2288" t="str">
        <f>C112</f>
        <v>总价（元）</v>
      </c>
      <c r="I110" s="1857">
        <f ca="1">IF(F110="——","——",I102-I105)</f>
        <v>39246684</v>
      </c>
    </row>
    <row r="111" spans="1:35" ht="15.6" hidden="1">
      <c r="A111" s="2938" t="s">
        <v>1940</v>
      </c>
      <c r="B111" s="2939"/>
      <c r="C111" s="2286" t="str">
        <f>C108</f>
        <v>总额（元）</v>
      </c>
      <c r="D111" s="2759">
        <f>C38</f>
        <v>0</v>
      </c>
      <c r="E111" s="2187"/>
      <c r="F111" s="2944"/>
      <c r="G111" s="2945"/>
      <c r="H111" s="2283" t="s">
        <v>1931</v>
      </c>
      <c r="I111" s="2289">
        <f ca="1">D113</f>
        <v>34599</v>
      </c>
    </row>
    <row r="112" spans="1:35" ht="26.25" hidden="1"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hidden="1">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hidden="1">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hidden="1"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hidden="1">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hidden="1"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hidden="1">
      <c r="A118" s="2955" t="s">
        <v>1941</v>
      </c>
      <c r="B118" s="2956"/>
      <c r="C118" s="2956"/>
      <c r="D118" s="2956"/>
      <c r="E118" s="2956"/>
      <c r="F118" s="2956"/>
      <c r="G118" s="2956"/>
      <c r="H118" s="2956"/>
      <c r="I118" s="2956"/>
    </row>
    <row r="119" spans="1:15" ht="13.8" hidden="1">
      <c r="A119" s="2957" t="s">
        <v>1942</v>
      </c>
      <c r="B119" s="2958" t="s">
        <v>1943</v>
      </c>
      <c r="C119" s="2958" t="s">
        <v>1944</v>
      </c>
      <c r="D119" s="2960" t="s">
        <v>1945</v>
      </c>
      <c r="E119" s="2961"/>
      <c r="F119" s="2865" t="s">
        <v>1804</v>
      </c>
      <c r="G119" s="2865"/>
      <c r="H119" s="2865" t="s">
        <v>1946</v>
      </c>
      <c r="I119" s="2962"/>
    </row>
    <row r="120" spans="1:15" ht="14.4" hidden="1">
      <c r="A120" s="2957"/>
      <c r="B120" s="2959"/>
      <c r="C120" s="2959"/>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hidden="1">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hidden="1">
      <c r="A124" s="2963" t="s">
        <v>1950</v>
      </c>
      <c r="B124" s="2964"/>
      <c r="C124" s="2965"/>
      <c r="D124" s="2966">
        <f>H109</f>
        <v>0</v>
      </c>
      <c r="E124" s="2967"/>
      <c r="F124" s="2967"/>
      <c r="G124" s="2967"/>
      <c r="H124" s="2967"/>
      <c r="I124" s="2968"/>
    </row>
    <row r="125" spans="1:15" ht="13.8" hidden="1">
      <c r="A125" s="2969" t="str">
        <f>IF(项目基本情况!D5="房地产市场价值","——",MID(A112,3,LEN(A112)-2))</f>
        <v>房地产抵押价值</v>
      </c>
      <c r="B125" s="2970"/>
      <c r="C125" s="2970"/>
      <c r="D125" s="2971">
        <f ca="1">I110</f>
        <v>39246684</v>
      </c>
      <c r="E125" s="2972"/>
      <c r="F125" s="2972"/>
      <c r="G125" s="2972"/>
      <c r="H125" s="2972"/>
      <c r="I125" s="2973"/>
    </row>
    <row r="126" spans="1:15" ht="13.8" hidden="1">
      <c r="A126" s="2957" t="s">
        <v>1950</v>
      </c>
      <c r="B126" s="2865"/>
      <c r="C126" s="2865"/>
      <c r="D126" s="2966">
        <f ca="1">I111</f>
        <v>34599</v>
      </c>
      <c r="E126" s="2967"/>
      <c r="F126" s="2967"/>
      <c r="G126" s="2967"/>
      <c r="H126" s="2967"/>
      <c r="I126" s="2968"/>
    </row>
    <row r="127" spans="1:15" ht="14.4" hidden="1" thickBot="1">
      <c r="A127" s="2969" t="str">
        <f>IF(项目基本情况!D5="房地产市场价值","——",MID(A114,3,LEN(A114)-2))</f>
        <v/>
      </c>
      <c r="B127" s="2970"/>
      <c r="C127" s="2970"/>
      <c r="D127" s="2985" t="str">
        <f>I112</f>
        <v>——</v>
      </c>
      <c r="E127" s="2986"/>
      <c r="F127" s="2986"/>
      <c r="G127" s="2986"/>
      <c r="H127" s="2986"/>
      <c r="I127" s="2987"/>
    </row>
    <row r="128" spans="1:15" ht="15" hidden="1" thickTop="1" thickBot="1">
      <c r="A128" s="2957" t="s">
        <v>1950</v>
      </c>
      <c r="B128" s="2865"/>
      <c r="C128" s="2988"/>
      <c r="D128" s="2989" t="str">
        <f>I113</f>
        <v>——</v>
      </c>
      <c r="E128" s="2989"/>
      <c r="F128" s="2989"/>
      <c r="G128" s="2989"/>
      <c r="H128" s="2989"/>
      <c r="I128" s="2989"/>
    </row>
    <row r="129" spans="1:9" ht="15" hidden="1" thickTop="1" thickBot="1">
      <c r="A129" s="2969" t="str">
        <f>IF(项目基本情况!D5="房地产市场价值","——",MID(F114,3,LEN(F114)-2))</f>
        <v/>
      </c>
      <c r="B129" s="2970"/>
      <c r="C129" s="2971"/>
      <c r="D129" s="2990" t="str">
        <f>I114</f>
        <v>——</v>
      </c>
      <c r="E129" s="2990"/>
      <c r="F129" s="2990"/>
      <c r="G129" s="2990"/>
      <c r="H129" s="2990"/>
      <c r="I129" s="2990"/>
    </row>
    <row r="130" spans="1:9" ht="15" hidden="1" thickTop="1" thickBot="1">
      <c r="A130" s="2979" t="s">
        <v>1950</v>
      </c>
      <c r="B130" s="2980"/>
      <c r="C130" s="2980"/>
      <c r="D130" s="2981">
        <f>H116</f>
        <v>0</v>
      </c>
      <c r="E130" s="2982"/>
      <c r="F130" s="2982"/>
      <c r="G130" s="2982"/>
      <c r="H130" s="2982"/>
      <c r="I130" s="2983"/>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7" priority="9" stopIfTrue="1" operator="equal">
      <formula>25</formula>
    </cfRule>
  </conditionalFormatting>
  <conditionalFormatting sqref="C8:C9">
    <cfRule type="cellIs" dxfId="176" priority="8" stopIfTrue="1" operator="equal">
      <formula>15</formula>
    </cfRule>
  </conditionalFormatting>
  <conditionalFormatting sqref="C14:C16">
    <cfRule type="cellIs" dxfId="175" priority="7" stopIfTrue="1" operator="equal">
      <formula>30</formula>
    </cfRule>
  </conditionalFormatting>
  <conditionalFormatting sqref="D5:D7">
    <cfRule type="cellIs" dxfId="174" priority="6" stopIfTrue="1" operator="equal">
      <formula>25</formula>
    </cfRule>
  </conditionalFormatting>
  <conditionalFormatting sqref="D8:D9">
    <cfRule type="cellIs" dxfId="173" priority="5" stopIfTrue="1" operator="equal">
      <formula>15</formula>
    </cfRule>
  </conditionalFormatting>
  <conditionalFormatting sqref="C10:D13">
    <cfRule type="cellIs" dxfId="172" priority="4" stopIfTrue="1" operator="equal">
      <formula>15</formula>
    </cfRule>
  </conditionalFormatting>
  <conditionalFormatting sqref="D14:D16">
    <cfRule type="cellIs" dxfId="171" priority="3" stopIfTrue="1" operator="equal">
      <formula>30</formula>
    </cfRule>
  </conditionalFormatting>
  <conditionalFormatting sqref="C90">
    <cfRule type="expression" dxfId="170" priority="2" stopIfTrue="1">
      <formula>$H$88&lt;&gt;"仅含出让金"</formula>
    </cfRule>
  </conditionalFormatting>
  <conditionalFormatting sqref="C91">
    <cfRule type="expression" dxfId="169" priority="1" stopIfTrue="1">
      <formula>$H$91="由企业提供"</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zoomScalePageLayoutView="80" workbookViewId="0">
      <selection activeCell="D45" sqref="D45"/>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hidden="1">
      <c r="A3" s="2870" t="s">
        <v>1764</v>
      </c>
      <c r="B3" s="2871"/>
      <c r="C3" s="2871"/>
      <c r="D3" s="2871"/>
      <c r="E3" s="2871"/>
      <c r="F3" s="2871"/>
      <c r="G3" s="2871"/>
      <c r="H3" s="2871"/>
      <c r="I3" s="2871"/>
    </row>
    <row r="4" spans="1:12" ht="14.4" hidden="1">
      <c r="A4" s="2189" t="s">
        <v>1765</v>
      </c>
      <c r="B4" s="2747" t="s">
        <v>1766</v>
      </c>
      <c r="C4" s="2191" t="s">
        <v>2856</v>
      </c>
      <c r="D4" s="2191" t="s">
        <v>2857</v>
      </c>
      <c r="E4" s="2872" t="s">
        <v>1767</v>
      </c>
      <c r="F4" s="2873"/>
      <c r="G4" s="2873"/>
      <c r="H4" s="2873"/>
      <c r="I4" s="2874"/>
      <c r="K4" s="1839" t="str">
        <f>IF(ISNUMBER(FIND("比较法",'结果表 (2906)'!C4)),"比较法",IF(ISNUMBER(FIND("成本法",'结果表 (2906)'!C4)),"成本法",IF(ISNUMBER(FIND("假设开发法",'结果表 (2906)'!C4)),"假设开发法",IF(ISNUMBER(FIND("收益法",'结果表 (2906)'!C4)),"收益法","基准地价系数修正法"))))</f>
        <v>比较法</v>
      </c>
      <c r="L4" s="1839" t="str">
        <f>IF(ISNUMBER(FIND("比较法",'结果表 (2906)'!D4)),"比较法",IF(ISNUMBER(FIND("成本法",'结果表 (2906)'!D4)),"成本法",IF(ISNUMBER(FIND("假设开发法",'结果表 (2906)'!D4)),"假设开发法",IF(ISNUMBER(FIND("收益法",'结果表 (2906)'!D4)),"收益法","基准地价系数修正法"))))</f>
        <v>收益法</v>
      </c>
    </row>
    <row r="5" spans="1:12" ht="13.2" hidden="1">
      <c r="A5" s="2864" t="s">
        <v>1768</v>
      </c>
      <c r="B5" s="2865">
        <v>25</v>
      </c>
      <c r="C5" s="2866"/>
      <c r="D5" s="2868"/>
      <c r="E5" s="56" t="s">
        <v>1769</v>
      </c>
      <c r="F5" s="2192"/>
      <c r="G5" s="2192"/>
      <c r="H5" s="2192"/>
      <c r="I5" s="2193"/>
    </row>
    <row r="6" spans="1:12" ht="13.2" hidden="1">
      <c r="A6" s="2864"/>
      <c r="B6" s="2865"/>
      <c r="C6" s="2875"/>
      <c r="D6" s="2868"/>
      <c r="E6" s="56" t="s">
        <v>1770</v>
      </c>
      <c r="F6" s="2192"/>
      <c r="G6" s="2192"/>
      <c r="H6" s="2192"/>
      <c r="I6" s="2193"/>
    </row>
    <row r="7" spans="1:12" ht="13.2" hidden="1">
      <c r="A7" s="2864"/>
      <c r="B7" s="2865"/>
      <c r="C7" s="2867"/>
      <c r="D7" s="2868"/>
      <c r="E7" s="56" t="s">
        <v>1771</v>
      </c>
      <c r="F7" s="2192"/>
      <c r="G7" s="2192"/>
      <c r="H7" s="2192"/>
      <c r="I7" s="2193"/>
    </row>
    <row r="8" spans="1:12" ht="13.2" hidden="1">
      <c r="A8" s="2864" t="s">
        <v>1772</v>
      </c>
      <c r="B8" s="2865">
        <v>15</v>
      </c>
      <c r="C8" s="2866"/>
      <c r="D8" s="2868"/>
      <c r="E8" s="56" t="s">
        <v>1773</v>
      </c>
      <c r="F8" s="2192"/>
      <c r="G8" s="2192"/>
      <c r="H8" s="2192"/>
      <c r="I8" s="2193"/>
    </row>
    <row r="9" spans="1:12" ht="13.2" hidden="1">
      <c r="A9" s="2864"/>
      <c r="B9" s="2865"/>
      <c r="C9" s="2867"/>
      <c r="D9" s="2868"/>
      <c r="E9" s="56" t="s">
        <v>1774</v>
      </c>
      <c r="F9" s="2192"/>
      <c r="G9" s="2192"/>
      <c r="H9" s="2192"/>
      <c r="I9" s="2193"/>
    </row>
    <row r="10" spans="1:12" ht="13.2" hidden="1">
      <c r="A10" s="2864" t="s">
        <v>1775</v>
      </c>
      <c r="B10" s="2865">
        <v>15</v>
      </c>
      <c r="C10" s="2866"/>
      <c r="D10" s="2868"/>
      <c r="E10" s="56" t="s">
        <v>1776</v>
      </c>
      <c r="F10" s="2192"/>
      <c r="G10" s="2192"/>
      <c r="H10" s="2192"/>
      <c r="I10" s="2193"/>
    </row>
    <row r="11" spans="1:12" ht="13.2" hidden="1">
      <c r="A11" s="2864"/>
      <c r="B11" s="2865"/>
      <c r="C11" s="2867"/>
      <c r="D11" s="2868"/>
      <c r="E11" s="56" t="s">
        <v>1777</v>
      </c>
      <c r="F11" s="2192"/>
      <c r="G11" s="2192"/>
      <c r="H11" s="2192"/>
      <c r="I11" s="2193"/>
    </row>
    <row r="12" spans="1:12" ht="13.2" hidden="1">
      <c r="A12" s="2864" t="s">
        <v>1778</v>
      </c>
      <c r="B12" s="2865">
        <v>15</v>
      </c>
      <c r="C12" s="2866"/>
      <c r="D12" s="2868"/>
      <c r="E12" s="56" t="s">
        <v>1779</v>
      </c>
      <c r="F12" s="2192"/>
      <c r="G12" s="2192"/>
      <c r="H12" s="2192"/>
      <c r="I12" s="2193"/>
    </row>
    <row r="13" spans="1:12" ht="13.2" hidden="1">
      <c r="A13" s="2864"/>
      <c r="B13" s="2865"/>
      <c r="C13" s="2867"/>
      <c r="D13" s="2868"/>
      <c r="E13" s="56" t="s">
        <v>1780</v>
      </c>
      <c r="F13" s="2192"/>
      <c r="G13" s="2192"/>
      <c r="H13" s="2192"/>
      <c r="I13" s="2193"/>
    </row>
    <row r="14" spans="1:12" ht="13.2" hidden="1">
      <c r="A14" s="2864" t="s">
        <v>1781</v>
      </c>
      <c r="B14" s="2865">
        <v>30</v>
      </c>
      <c r="C14" s="2866">
        <v>5</v>
      </c>
      <c r="D14" s="2868">
        <v>5</v>
      </c>
      <c r="E14" s="56" t="s">
        <v>1782</v>
      </c>
      <c r="F14" s="2192"/>
      <c r="G14" s="2192"/>
      <c r="H14" s="2192"/>
      <c r="I14" s="2193"/>
    </row>
    <row r="15" spans="1:12" ht="13.2" hidden="1">
      <c r="A15" s="2864"/>
      <c r="B15" s="2865"/>
      <c r="C15" s="2875"/>
      <c r="D15" s="2868"/>
      <c r="E15" s="56" t="s">
        <v>1783</v>
      </c>
      <c r="F15" s="2192"/>
      <c r="G15" s="2192"/>
      <c r="H15" s="2192"/>
      <c r="I15" s="2193"/>
    </row>
    <row r="16" spans="1:12" ht="13.2" hidden="1">
      <c r="A16" s="2864"/>
      <c r="B16" s="2865"/>
      <c r="C16" s="2867"/>
      <c r="D16" s="2868"/>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(2906)'!B19,INDIRECT("'"&amp;C4&amp;"'"&amp;"!B:B"))</f>
        <v>4974051</v>
      </c>
      <c r="D19" s="60">
        <f ca="1">SUMIF(INDIRECT("'"&amp;D4&amp;"'"&amp;"!A:A"),'结果表 (2906)'!B19,INDIRECT("'"&amp;D4&amp;"'"&amp;"!B:B"))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(2906)'!B20,INDIRECT("'"&amp;C4&amp;"'"&amp;"!B:B"))</f>
        <v>33037</v>
      </c>
      <c r="D20" s="63">
        <f ca="1">SUMIF(INDIRECT("'"&amp;D4&amp;"'"&amp;"!A:A"),'结果表 (2906)'!B20,INDIRECT("'"&amp;D4&amp;"'"&amp;"!B:B"))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76" t="s">
        <v>1793</v>
      </c>
      <c r="B24" s="2199" t="s">
        <v>1788</v>
      </c>
      <c r="C24" s="61">
        <f>D30</f>
        <v>0</v>
      </c>
      <c r="D24" s="989"/>
      <c r="E24" s="2187"/>
      <c r="F24" s="2187"/>
      <c r="G24" s="2187"/>
      <c r="H24" s="2187"/>
      <c r="I24" s="2187"/>
    </row>
    <row r="25" spans="1:35" ht="21.75" hidden="1" customHeight="1">
      <c r="A25" s="2877"/>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78" t="s">
        <v>1806</v>
      </c>
      <c r="B36" s="2229" t="s">
        <v>1807</v>
      </c>
      <c r="C36" s="69">
        <v>0</v>
      </c>
      <c r="D36" s="2230"/>
      <c r="E36" s="2231"/>
      <c r="F36" s="2231"/>
      <c r="G36" s="2187"/>
      <c r="H36" s="2187"/>
      <c r="I36" s="2187"/>
    </row>
    <row r="37" spans="1:16" ht="15" hidden="1" thickBot="1">
      <c r="A37" s="2879"/>
      <c r="B37" s="2232" t="s">
        <v>1808</v>
      </c>
      <c r="C37" s="71">
        <v>0</v>
      </c>
      <c r="D37" s="2197"/>
      <c r="E37" s="2197"/>
      <c r="F37" s="2231"/>
      <c r="G37" s="2197"/>
      <c r="H37" s="2197"/>
      <c r="I37" s="2197"/>
    </row>
    <row r="38" spans="1:16" ht="15" hidden="1" thickBot="1">
      <c r="A38" s="2880"/>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ROUND(典型户型修正!S31*F45,0)</f>
        <v>7352288</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2757">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2757">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91789</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84" t="s">
        <v>1832</v>
      </c>
      <c r="L48" s="2884"/>
      <c r="M48" s="2888">
        <f ca="1">典型户型修正!S31</f>
        <v>7352288</v>
      </c>
      <c r="N48" s="2888"/>
      <c r="O48" s="2888"/>
      <c r="P48" s="1839"/>
    </row>
    <row r="49" spans="1:16" ht="25.5" customHeight="1">
      <c r="A49" s="92" t="s">
        <v>1833</v>
      </c>
      <c r="B49" s="2889" t="s">
        <v>1834</v>
      </c>
      <c r="C49" s="2889"/>
      <c r="D49" s="93">
        <v>0</v>
      </c>
      <c r="E49" s="13" t="s">
        <v>1835</v>
      </c>
      <c r="F49" s="18" t="s">
        <v>48</v>
      </c>
      <c r="G49" s="2895"/>
      <c r="H49" s="2187"/>
      <c r="I49" s="2252"/>
      <c r="J49" s="2757">
        <v>4</v>
      </c>
      <c r="K49" s="2884" t="str">
        <f>IF(项目基本情况!F5="房地产抵押价值","房地产抵押价值","抵押担保权已注销时的房地产抵押价值")</f>
        <v>房地产抵押价值</v>
      </c>
      <c r="L49" s="2884"/>
      <c r="M49" s="2888">
        <f ca="1">M48</f>
        <v>7352288</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760" t="s">
        <v>1839</v>
      </c>
      <c r="K51" s="2884" t="s">
        <v>1840</v>
      </c>
      <c r="L51" s="2884"/>
      <c r="M51" s="2760" t="s">
        <v>1841</v>
      </c>
      <c r="N51" s="2760" t="s">
        <v>1842</v>
      </c>
      <c r="O51" s="2760" t="s">
        <v>1843</v>
      </c>
      <c r="P51" s="1839"/>
    </row>
    <row r="52" spans="1:16" ht="24" customHeight="1">
      <c r="A52" s="99" t="s">
        <v>1844</v>
      </c>
      <c r="B52" s="2889" t="s">
        <v>1845</v>
      </c>
      <c r="C52" s="2889"/>
      <c r="D52" s="98">
        <f ca="1">ROUND(D45*'数据-取费表'!E29/(1+'数据-取费表'!F30),0)</f>
        <v>392122</v>
      </c>
      <c r="E52" s="10" t="s">
        <v>1846</v>
      </c>
      <c r="F52" s="100">
        <f>'数据-取费表'!E29</f>
        <v>5.6000000000000001E-2</v>
      </c>
      <c r="G52" s="2254"/>
      <c r="H52" s="2187"/>
      <c r="I52" s="2252"/>
      <c r="J52" s="2757">
        <v>1</v>
      </c>
      <c r="K52" s="2890" t="s">
        <v>1847</v>
      </c>
      <c r="L52" s="2890"/>
      <c r="M52" s="777">
        <f ca="1">D48</f>
        <v>91789</v>
      </c>
      <c r="N52" s="2757" t="str">
        <f>E48</f>
        <v>(销售额-原购置价)×税（费）率</v>
      </c>
      <c r="O52" s="778">
        <f>F48</f>
        <v>5.6000000000000001E-2</v>
      </c>
      <c r="P52" s="1839"/>
    </row>
    <row r="53" spans="1:16" ht="12" customHeight="1">
      <c r="A53" s="99" t="s">
        <v>1848</v>
      </c>
      <c r="B53" s="2891" t="s">
        <v>1849</v>
      </c>
      <c r="C53" s="2836"/>
      <c r="D53" s="98">
        <f ca="1">ROUND(D45*'数据-取费表'!E29/(1+'数据-取费表'!F30),0)</f>
        <v>392122</v>
      </c>
      <c r="E53" s="10" t="s">
        <v>1846</v>
      </c>
      <c r="F53" s="100">
        <f>'数据-取费表'!E29</f>
        <v>5.6000000000000001E-2</v>
      </c>
      <c r="G53" s="2254"/>
      <c r="H53" s="2187"/>
      <c r="I53" s="2252"/>
      <c r="J53" s="2757">
        <v>2</v>
      </c>
      <c r="K53" s="2890" t="s">
        <v>1850</v>
      </c>
      <c r="L53" s="2890"/>
      <c r="M53" s="777">
        <f t="shared" ref="M53:O54" ca="1" si="1">D55</f>
        <v>3676</v>
      </c>
      <c r="N53" s="2757" t="str">
        <f t="shared" si="1"/>
        <v>销售额×税（费）率</v>
      </c>
      <c r="O53" s="778">
        <f t="shared" si="1"/>
        <v>5.0000000000000001E-4</v>
      </c>
      <c r="P53" s="1839"/>
    </row>
    <row r="54" spans="1:16" ht="12" customHeight="1">
      <c r="A54" s="99" t="s">
        <v>1851</v>
      </c>
      <c r="B54" s="2891" t="s">
        <v>1852</v>
      </c>
      <c r="C54" s="2836"/>
      <c r="D54" s="98">
        <f ca="1">C68</f>
        <v>91789</v>
      </c>
      <c r="E54" s="20" t="s">
        <v>1853</v>
      </c>
      <c r="F54" s="100">
        <f>'数据-取费表'!E29</f>
        <v>5.6000000000000001E-2</v>
      </c>
      <c r="G54" s="2254"/>
      <c r="H54" s="2255"/>
      <c r="I54" s="2252"/>
      <c r="J54" s="2757">
        <v>3</v>
      </c>
      <c r="K54" s="2890" t="s">
        <v>1854</v>
      </c>
      <c r="L54" s="2890"/>
      <c r="M54" s="777">
        <f t="shared" ca="1" si="1"/>
        <v>509001</v>
      </c>
      <c r="N54" s="2757" t="str">
        <f t="shared" si="1"/>
        <v>增值额×税（费）率</v>
      </c>
      <c r="O54" s="779" t="str">
        <f t="shared" si="1"/>
        <v>——</v>
      </c>
      <c r="P54" s="1839"/>
    </row>
    <row r="55" spans="1:16" ht="24" customHeight="1">
      <c r="A55" s="2828" t="s">
        <v>1855</v>
      </c>
      <c r="B55" s="2894"/>
      <c r="C55" s="2894"/>
      <c r="D55" s="101">
        <f ca="1">IF(H55="个人住宅",0,ROUND(D45*I55,0))</f>
        <v>3676</v>
      </c>
      <c r="E55" s="10" t="s">
        <v>1856</v>
      </c>
      <c r="F55" s="100">
        <f>IF(H55="正常",I55,"免征")</f>
        <v>5.0000000000000001E-4</v>
      </c>
      <c r="G55" s="2254"/>
      <c r="H55" s="2251" t="s">
        <v>1857</v>
      </c>
      <c r="I55" s="102">
        <f>'数据-取费表'!E37</f>
        <v>5.0000000000000001E-4</v>
      </c>
      <c r="J55" s="2757" t="str">
        <f>IF(H59="非个人房产","",4)</f>
        <v/>
      </c>
      <c r="K55" s="2890" t="str">
        <f>IF(H59="非个人房产","——","个人所得税")</f>
        <v>——</v>
      </c>
      <c r="L55" s="2890"/>
      <c r="M55" s="780" t="str">
        <f>D59</f>
        <v>——</v>
      </c>
      <c r="N55" s="2756" t="str">
        <f>E59</f>
        <v>——</v>
      </c>
      <c r="O55" s="781" t="str">
        <f>F59</f>
        <v>——</v>
      </c>
      <c r="P55" s="1839"/>
    </row>
    <row r="56" spans="1:16" ht="25.2">
      <c r="A56" s="2828" t="s">
        <v>1858</v>
      </c>
      <c r="B56" s="2894"/>
      <c r="C56" s="2894"/>
      <c r="D56" s="101">
        <f ca="1">IF(H56="个人住宅",D57,D58)</f>
        <v>509001</v>
      </c>
      <c r="E56" s="10" t="s">
        <v>1859</v>
      </c>
      <c r="F56" s="100" t="str">
        <f>IF(H56="正常",F58,"免征")</f>
        <v>——</v>
      </c>
      <c r="G56" s="2256" t="s">
        <v>1860</v>
      </c>
      <c r="H56" s="2257" t="s">
        <v>1857</v>
      </c>
      <c r="I56" s="1017"/>
      <c r="J56" s="2757"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604466</v>
      </c>
      <c r="O57" s="2259"/>
      <c r="P57" s="1835">
        <f ca="1">N57/M49</f>
        <v>8.221467929439108E-2</v>
      </c>
    </row>
    <row r="58" spans="1:16" ht="25.2">
      <c r="A58" s="99" t="s">
        <v>1844</v>
      </c>
      <c r="B58" s="2872" t="s">
        <v>1864</v>
      </c>
      <c r="C58" s="2873"/>
      <c r="D58" s="101">
        <f ca="1">IF(H58="转让取得",C81,C97)</f>
        <v>509001</v>
      </c>
      <c r="E58" s="10" t="s">
        <v>1859</v>
      </c>
      <c r="F58" s="14" t="s">
        <v>48</v>
      </c>
      <c r="G58" s="2254"/>
      <c r="H58" s="2257" t="s">
        <v>2905</v>
      </c>
      <c r="I58" s="1017"/>
      <c r="J58" s="2890"/>
      <c r="K58" s="2890"/>
      <c r="L58" s="2258" t="s">
        <v>1866</v>
      </c>
      <c r="M58" s="784"/>
      <c r="N58" s="2260" t="str">
        <f ca="1">IF(H19="元",NUMBERSTRING(INT(N57),2)&amp;"元整",NUMBERSTRING(INT(N57*10000),2)&amp;"元整")</f>
        <v>陆拾万肆仟肆佰陆拾陆元整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2757" t="s">
        <v>1863</v>
      </c>
      <c r="M59" s="785"/>
      <c r="N59" s="786">
        <f ca="1">M49-N57</f>
        <v>6747822</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陆佰柒拾肆万柒仟捌佰贰拾贰元整</v>
      </c>
      <c r="O60" s="2261"/>
      <c r="P60" s="1839"/>
    </row>
    <row r="61" spans="1:16" ht="13.8" thickBot="1">
      <c r="A61" s="2912" t="s">
        <v>1869</v>
      </c>
      <c r="B61" s="2912"/>
      <c r="C61" s="2912"/>
      <c r="D61" s="2912"/>
      <c r="E61" s="2912"/>
      <c r="F61" s="1017"/>
      <c r="G61" s="1017"/>
      <c r="H61" s="2240"/>
      <c r="I61" s="2187"/>
      <c r="J61" s="2757">
        <f>J59+1</f>
        <v>6</v>
      </c>
      <c r="K61" s="2890" t="s">
        <v>1870</v>
      </c>
      <c r="L61" s="2890"/>
      <c r="M61" s="787"/>
      <c r="N61" s="788">
        <f ca="1">IF(H19="元",ROUND(N59/典型户型修正!B31,0),ROUND(N59*10000/典型户型修正!B31,0))</f>
        <v>31754</v>
      </c>
      <c r="O61" s="2264"/>
      <c r="P61" s="1839"/>
    </row>
    <row r="62" spans="1:16" ht="13.2">
      <c r="A62" s="2910" t="s">
        <v>1871</v>
      </c>
      <c r="B62" s="291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7002179</v>
      </c>
      <c r="D63" s="112"/>
      <c r="E63" s="113"/>
      <c r="F63" s="1017"/>
      <c r="G63" s="1017"/>
      <c r="H63" s="2240"/>
      <c r="I63" s="2187"/>
      <c r="J63" s="2913" t="s">
        <v>1875</v>
      </c>
      <c r="K63" s="2758" t="s">
        <v>1876</v>
      </c>
      <c r="L63" s="1838">
        <f ca="1">IF(M49&gt;10000,M49*0.5%,IF(AND(M49&gt;1000,M49&lt;=10000),M49*1%,IF(AND(M49&gt;100,M49&lt;=1000),M49*3%,IF(AND(M49&gt;10,M49&lt;=100),M49*5%,M49*8%))))</f>
        <v>36761.440000000002</v>
      </c>
      <c r="M63" s="14">
        <f ca="1">ROUND(L63,1)</f>
        <v>36761.4</v>
      </c>
      <c r="N63" s="1839"/>
      <c r="O63" s="1839"/>
      <c r="P63" s="1839"/>
    </row>
    <row r="64" spans="1:16" ht="13.2">
      <c r="A64" s="114" t="s">
        <v>71</v>
      </c>
      <c r="B64" s="115" t="s">
        <v>1877</v>
      </c>
      <c r="C64" s="116">
        <f ca="1">D45</f>
        <v>7352288</v>
      </c>
      <c r="D64" s="117" t="s">
        <v>41</v>
      </c>
      <c r="E64" s="118"/>
      <c r="F64" s="1017"/>
      <c r="G64" s="1017"/>
      <c r="H64" s="2240"/>
      <c r="I64" s="2187"/>
      <c r="J64" s="2913"/>
      <c r="K64" s="2758" t="s">
        <v>1878</v>
      </c>
      <c r="L64" s="1838">
        <f ca="1">IF(M49&gt;2000,M49*0.5%,IF(AND(M49&gt;1000,M49&lt;=2000),M49*0.6%,IF(AND(M49&gt;500,M49&lt;=1000),M49*0.7%,IF(AND(M49&gt;200,M49&lt;=500),M49*0.8%,IF(AND(M49&gt;100,M49&lt;=200),M49*0.9%,IF(AND(M49&gt;50,M49&lt;=100),M49*1%,IF(AND(M49&gt;20,M49&lt;=50),M49*1.5%,IF(AND(M49&gt;10,M49&lt;=20),M49*2%,IF(AND(M49&gt;1,M49&lt;=10),M49*2.5%)))))))))</f>
        <v>36761.440000000002</v>
      </c>
      <c r="M64" s="14">
        <f t="shared" ref="M64:M65" ca="1" si="2">ROUND(L64,1)</f>
        <v>36761.4</v>
      </c>
      <c r="N64" s="1839" t="s">
        <v>1879</v>
      </c>
      <c r="O64" s="1839"/>
      <c r="P64" s="1839"/>
    </row>
    <row r="65" spans="1:35" ht="13.2">
      <c r="A65" s="114" t="s">
        <v>72</v>
      </c>
      <c r="B65" s="115" t="s">
        <v>1880</v>
      </c>
      <c r="C65" s="119"/>
      <c r="D65" s="117"/>
      <c r="E65" s="118"/>
      <c r="F65" s="1017"/>
      <c r="G65" s="1017"/>
      <c r="H65" s="2240"/>
      <c r="I65" s="2187"/>
      <c r="J65" s="2913"/>
      <c r="K65" s="2758" t="s">
        <v>1881</v>
      </c>
      <c r="L65" s="1838">
        <f ca="1">IF(M49&gt;1000,M49*0.1%,IF(AND(M49&gt;500,M49&lt;=1000),M49*0.5%,IF(AND(M49&gt;50,M49&lt;=500),M49*1%,IF(AND(M49&gt;1,M49&lt;=50),M49*1.5%))))</f>
        <v>7352.2880000000005</v>
      </c>
      <c r="M65" s="14">
        <f t="shared" ca="1" si="2"/>
        <v>7352.3</v>
      </c>
      <c r="N65" s="1839" t="s">
        <v>1879</v>
      </c>
      <c r="O65" s="1839"/>
      <c r="P65" s="1839"/>
    </row>
    <row r="66" spans="1:35" ht="25.2">
      <c r="A66" s="120" t="s">
        <v>47</v>
      </c>
      <c r="B66" s="121" t="s">
        <v>1882</v>
      </c>
      <c r="C66" s="122">
        <f>ROUND(5631250/1.05,0)</f>
        <v>5363095</v>
      </c>
      <c r="D66" s="123" t="s">
        <v>41</v>
      </c>
      <c r="E66" s="1855" t="s">
        <v>1883</v>
      </c>
      <c r="F66" s="1017"/>
      <c r="G66" s="1017"/>
      <c r="H66" s="2240"/>
      <c r="I66" s="2187"/>
      <c r="J66" s="2913"/>
      <c r="K66" s="2758" t="s">
        <v>1884</v>
      </c>
      <c r="L66" s="1838">
        <f ca="1">M49*0.5%</f>
        <v>36761.440000000002</v>
      </c>
      <c r="M66" s="14">
        <f ca="1">IF(L66&gt;0.5,0.5,ROUND(L66,0))</f>
        <v>0.5</v>
      </c>
      <c r="N66" s="1839" t="s">
        <v>1885</v>
      </c>
      <c r="O66" s="1839"/>
      <c r="P66" s="1839"/>
    </row>
    <row r="67" spans="1:35" ht="13.2">
      <c r="A67" s="120" t="s">
        <v>42</v>
      </c>
      <c r="B67" s="121" t="s">
        <v>1886</v>
      </c>
      <c r="C67" s="124">
        <f ca="1">C63-C66</f>
        <v>1639084</v>
      </c>
      <c r="D67" s="117" t="s">
        <v>41</v>
      </c>
      <c r="E67" s="118"/>
      <c r="F67" s="1017"/>
      <c r="G67" s="1017"/>
      <c r="H67" s="2240"/>
      <c r="I67" s="2187"/>
      <c r="J67" s="2913"/>
      <c r="K67" s="2758" t="s">
        <v>1887</v>
      </c>
      <c r="L67" s="1838">
        <f ca="1">IF(M49&gt;=10000,(8.25+(M49-10000)*0.01%),IF(AND(M49&gt;=8000,M49&lt;10000),(7.85+(M49-8000)*0.02%),IF(AND(M49&gt;=5000,M49&lt;8000),(6.65+(M49-5000)*0.04%),IF(AND(M49&gt;=2000,M49&lt;5000),(4.25+(PM49-2000)*0.08%),IF(AND(M49&gt;=1000,M49&lt;2000),(2.75+(M49-1000)*0.15%),IF(AND(M49&gt;=100,M49&lt;1000),(0.5+(M49-100)*0.25%),IF(AND(M49&gt;0,M49&lt;100),M49*0.5%)))))))</f>
        <v>742.47880000000009</v>
      </c>
      <c r="M67" s="14">
        <f ca="1">ROUND(L67*0.9,1)</f>
        <v>668.2</v>
      </c>
      <c r="N67" s="1839"/>
      <c r="O67" s="1839"/>
      <c r="P67" s="1839"/>
    </row>
    <row r="68" spans="1:35" ht="13.8" thickBot="1">
      <c r="A68" s="125" t="s">
        <v>46</v>
      </c>
      <c r="B68" s="126" t="s">
        <v>1888</v>
      </c>
      <c r="C68" s="127">
        <f ca="1">IF(C67&lt;=0,0,ROUND(C67*D68,0))</f>
        <v>91789</v>
      </c>
      <c r="D68" s="128">
        <f>'数据-取费表'!E29</f>
        <v>5.6000000000000001E-2</v>
      </c>
      <c r="E68" s="129"/>
      <c r="F68" s="1017"/>
      <c r="G68" s="1017"/>
      <c r="H68" s="2240"/>
      <c r="I68" s="2187"/>
      <c r="J68" s="2913"/>
      <c r="K68" s="2758" t="s">
        <v>1889</v>
      </c>
      <c r="L68" s="1838">
        <f ca="1">IF(M49&gt;10000,M49*0.5%,IF(AND(M49&gt;5000,M49&lt;=10000),M49*1%,IF(AND(M49&gt;1000,M49&lt;=5000),M49*2%,IF(AND(M49&gt;200,M49&lt;=1000),M49*3%,M49*5%))))</f>
        <v>36761.440000000002</v>
      </c>
      <c r="M68" s="14">
        <f ca="1">ROUND(L68,1)</f>
        <v>36761.4</v>
      </c>
      <c r="N68" s="1839"/>
      <c r="O68" s="1839"/>
      <c r="P68" s="1839"/>
    </row>
    <row r="69" spans="1:35" s="2214" customFormat="1" ht="7.5" customHeight="1">
      <c r="A69" s="2266"/>
      <c r="B69" s="2267"/>
      <c r="C69" s="2268"/>
      <c r="D69" s="2269"/>
      <c r="E69" s="2270"/>
      <c r="F69" s="1017"/>
      <c r="G69" s="1017"/>
      <c r="H69" s="2240"/>
      <c r="I69" s="2187"/>
      <c r="J69" s="2913"/>
      <c r="K69" s="2758" t="s">
        <v>1890</v>
      </c>
      <c r="L69" s="2271"/>
      <c r="M69" s="14">
        <f ca="1">ROUND(SUM(M63:M68),0)</f>
        <v>118305</v>
      </c>
      <c r="N69" s="1835">
        <f ca="1">M69/M49</f>
        <v>1.6090909387662725E-2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7002179</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5305508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5263495</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5363095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155785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42013</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1696671</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0.31979425909828052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509001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7002179</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42013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42013</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6960166</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165.66696022659653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4161395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24" t="s">
        <v>1925</v>
      </c>
      <c r="B99" s="2925"/>
      <c r="C99" s="2925"/>
      <c r="D99" s="2926"/>
      <c r="E99" s="2187"/>
      <c r="F99" s="2927" t="s">
        <v>1926</v>
      </c>
      <c r="G99" s="2928"/>
      <c r="H99" s="2928"/>
      <c r="I99" s="2929"/>
    </row>
    <row r="100" spans="1:35" ht="15.6" hidden="1">
      <c r="A100" s="2930" t="s">
        <v>1927</v>
      </c>
      <c r="B100" s="2931"/>
      <c r="C100" s="719" t="str">
        <f>C4</f>
        <v>比较法-办公</v>
      </c>
      <c r="D100" s="720" t="str">
        <f>D4</f>
        <v>收益法</v>
      </c>
      <c r="E100" s="2187"/>
      <c r="F100" s="2932" t="s">
        <v>1928</v>
      </c>
      <c r="G100" s="2933"/>
      <c r="H100" s="2932" t="s">
        <v>1929</v>
      </c>
      <c r="I100" s="2915"/>
    </row>
    <row r="101" spans="1:35" ht="15.6" hidden="1">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hidden="1">
      <c r="A102" s="2918"/>
      <c r="B102" s="2282" t="s">
        <v>1931</v>
      </c>
      <c r="C102" s="721">
        <f ca="1">C20</f>
        <v>33037</v>
      </c>
      <c r="D102" s="722">
        <f ca="1">D20</f>
        <v>36160</v>
      </c>
      <c r="E102" s="2187"/>
      <c r="F102" s="2916" t="s">
        <v>1932</v>
      </c>
      <c r="G102" s="2917"/>
      <c r="H102" s="2283" t="str">
        <f>C106</f>
        <v>总价（元）</v>
      </c>
      <c r="I102" s="1856">
        <f ca="1">H121</f>
        <v>39246684</v>
      </c>
    </row>
    <row r="103" spans="1:35" ht="15.6" hidden="1">
      <c r="A103" s="2918" t="s">
        <v>1933</v>
      </c>
      <c r="B103" s="2284" t="str">
        <f>B101</f>
        <v>总价（元）</v>
      </c>
      <c r="C103" s="723">
        <f ca="1">H121</f>
        <v>39246684</v>
      </c>
      <c r="D103" s="724"/>
      <c r="E103" s="2187"/>
      <c r="F103" s="2916"/>
      <c r="G103" s="2917"/>
      <c r="H103" s="2283" t="s">
        <v>1931</v>
      </c>
      <c r="I103" s="1045">
        <f ca="1">I121</f>
        <v>34599</v>
      </c>
    </row>
    <row r="104" spans="1:35" ht="16.2" hidden="1" thickBot="1">
      <c r="A104" s="2919"/>
      <c r="B104" s="2285" t="s">
        <v>1931</v>
      </c>
      <c r="C104" s="725">
        <f ca="1">I121</f>
        <v>34599</v>
      </c>
      <c r="D104" s="726"/>
      <c r="E104" s="2187"/>
      <c r="F104" s="2920"/>
      <c r="G104" s="2921"/>
      <c r="H104" s="2922"/>
      <c r="I104" s="2923"/>
    </row>
    <row r="105" spans="1:35" ht="15.6" hidden="1">
      <c r="A105" s="2924" t="s">
        <v>1934</v>
      </c>
      <c r="B105" s="2925"/>
      <c r="C105" s="2925"/>
      <c r="D105" s="2926"/>
      <c r="E105" s="2187"/>
      <c r="F105" s="2934" t="s">
        <v>1935</v>
      </c>
      <c r="G105" s="2935"/>
      <c r="H105" s="2286" t="str">
        <f>C108</f>
        <v>总额（元）</v>
      </c>
      <c r="I105" s="1856">
        <f>SUMIF(I106:I108,"&lt;9E307")</f>
        <v>0</v>
      </c>
    </row>
    <row r="106" spans="1:35" ht="15.6" hidden="1">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36"/>
      <c r="B107" s="2937"/>
      <c r="C107" s="2283" t="s">
        <v>1931</v>
      </c>
      <c r="D107" s="1047">
        <f ca="1">I121</f>
        <v>34599</v>
      </c>
      <c r="E107" s="2187"/>
      <c r="F107" s="2938" t="s">
        <v>1938</v>
      </c>
      <c r="G107" s="2939"/>
      <c r="H107" s="2286" t="str">
        <f>C110</f>
        <v>总额（元）</v>
      </c>
      <c r="I107" s="1045">
        <f>C37</f>
        <v>0</v>
      </c>
      <c r="K107" s="2287"/>
    </row>
    <row r="108" spans="1:35" ht="15.6" hidden="1">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hidden="1">
      <c r="A109" s="2938" t="s">
        <v>1937</v>
      </c>
      <c r="B109" s="2939"/>
      <c r="C109" s="2286" t="str">
        <f>C108</f>
        <v>总额（元）</v>
      </c>
      <c r="D109" s="2759">
        <f>IF(D36="同一抵押权人同一抵押物续贷",C36&amp;"（未扣减，详见特别提示）",C36)</f>
        <v>0</v>
      </c>
      <c r="E109" s="2187"/>
      <c r="F109" s="2920"/>
      <c r="G109" s="2921"/>
      <c r="H109" s="2951"/>
      <c r="I109" s="2952"/>
    </row>
    <row r="110" spans="1:35" ht="28.5" hidden="1" customHeight="1">
      <c r="A110" s="2938" t="s">
        <v>1938</v>
      </c>
      <c r="B110" s="2939"/>
      <c r="C110" s="2286" t="str">
        <f>C108</f>
        <v>总额（元）</v>
      </c>
      <c r="D110" s="2759">
        <f>C37</f>
        <v>0</v>
      </c>
      <c r="E110" s="2187"/>
      <c r="F110" s="2942" t="str">
        <f>IF(项目基本情况!F5="已注销","——","3.房地产抵押价值")</f>
        <v>3.房地产抵押价值</v>
      </c>
      <c r="G110" s="2943"/>
      <c r="H110" s="2288" t="str">
        <f>C112</f>
        <v>总价（元）</v>
      </c>
      <c r="I110" s="1857">
        <f ca="1">IF(F110="——","——",I102-I105)</f>
        <v>39246684</v>
      </c>
    </row>
    <row r="111" spans="1:35" ht="15.6" hidden="1">
      <c r="A111" s="2938" t="s">
        <v>1940</v>
      </c>
      <c r="B111" s="2939"/>
      <c r="C111" s="2286" t="str">
        <f>C108</f>
        <v>总额（元）</v>
      </c>
      <c r="D111" s="2759">
        <f>C38</f>
        <v>0</v>
      </c>
      <c r="E111" s="2187"/>
      <c r="F111" s="2944"/>
      <c r="G111" s="2945"/>
      <c r="H111" s="2283" t="s">
        <v>1931</v>
      </c>
      <c r="I111" s="2289">
        <f ca="1">D113</f>
        <v>34599</v>
      </c>
    </row>
    <row r="112" spans="1:35" ht="26.25" hidden="1"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hidden="1">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hidden="1">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hidden="1"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hidden="1">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hidden="1"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hidden="1">
      <c r="A118" s="2955" t="s">
        <v>1941</v>
      </c>
      <c r="B118" s="2956"/>
      <c r="C118" s="2956"/>
      <c r="D118" s="2956"/>
      <c r="E118" s="2956"/>
      <c r="F118" s="2956"/>
      <c r="G118" s="2956"/>
      <c r="H118" s="2956"/>
      <c r="I118" s="2956"/>
    </row>
    <row r="119" spans="1:15" ht="13.8" hidden="1">
      <c r="A119" s="2957" t="s">
        <v>1942</v>
      </c>
      <c r="B119" s="2958" t="s">
        <v>1943</v>
      </c>
      <c r="C119" s="2958" t="s">
        <v>1944</v>
      </c>
      <c r="D119" s="2960" t="s">
        <v>1945</v>
      </c>
      <c r="E119" s="2961"/>
      <c r="F119" s="2865" t="s">
        <v>1804</v>
      </c>
      <c r="G119" s="2865"/>
      <c r="H119" s="2865" t="s">
        <v>1946</v>
      </c>
      <c r="I119" s="2962"/>
    </row>
    <row r="120" spans="1:15" ht="14.4" hidden="1">
      <c r="A120" s="2957"/>
      <c r="B120" s="2959"/>
      <c r="C120" s="2959"/>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hidden="1">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hidden="1">
      <c r="A124" s="2963" t="s">
        <v>1950</v>
      </c>
      <c r="B124" s="2964"/>
      <c r="C124" s="2965"/>
      <c r="D124" s="2966">
        <f>H109</f>
        <v>0</v>
      </c>
      <c r="E124" s="2967"/>
      <c r="F124" s="2967"/>
      <c r="G124" s="2967"/>
      <c r="H124" s="2967"/>
      <c r="I124" s="2968"/>
    </row>
    <row r="125" spans="1:15" ht="13.8" hidden="1">
      <c r="A125" s="2969" t="str">
        <f>IF(项目基本情况!D5="房地产市场价值","——",MID(A112,3,LEN(A112)-2))</f>
        <v>房地产抵押价值</v>
      </c>
      <c r="B125" s="2970"/>
      <c r="C125" s="2970"/>
      <c r="D125" s="2971">
        <f ca="1">I110</f>
        <v>39246684</v>
      </c>
      <c r="E125" s="2972"/>
      <c r="F125" s="2972"/>
      <c r="G125" s="2972"/>
      <c r="H125" s="2972"/>
      <c r="I125" s="2973"/>
    </row>
    <row r="126" spans="1:15" ht="13.8" hidden="1">
      <c r="A126" s="2957" t="s">
        <v>1950</v>
      </c>
      <c r="B126" s="2865"/>
      <c r="C126" s="2865"/>
      <c r="D126" s="2966">
        <f ca="1">I111</f>
        <v>34599</v>
      </c>
      <c r="E126" s="2967"/>
      <c r="F126" s="2967"/>
      <c r="G126" s="2967"/>
      <c r="H126" s="2967"/>
      <c r="I126" s="2968"/>
    </row>
    <row r="127" spans="1:15" ht="14.4" hidden="1" thickBot="1">
      <c r="A127" s="2969" t="str">
        <f>IF(项目基本情况!D5="房地产市场价值","——",MID(A114,3,LEN(A114)-2))</f>
        <v/>
      </c>
      <c r="B127" s="2970"/>
      <c r="C127" s="2970"/>
      <c r="D127" s="2985" t="str">
        <f>I112</f>
        <v>——</v>
      </c>
      <c r="E127" s="2986"/>
      <c r="F127" s="2986"/>
      <c r="G127" s="2986"/>
      <c r="H127" s="2986"/>
      <c r="I127" s="2987"/>
    </row>
    <row r="128" spans="1:15" ht="15" hidden="1" thickTop="1" thickBot="1">
      <c r="A128" s="2957" t="s">
        <v>1950</v>
      </c>
      <c r="B128" s="2865"/>
      <c r="C128" s="2988"/>
      <c r="D128" s="2989" t="str">
        <f>I113</f>
        <v>——</v>
      </c>
      <c r="E128" s="2989"/>
      <c r="F128" s="2989"/>
      <c r="G128" s="2989"/>
      <c r="H128" s="2989"/>
      <c r="I128" s="2989"/>
    </row>
    <row r="129" spans="1:9" ht="15" hidden="1" thickTop="1" thickBot="1">
      <c r="A129" s="2969" t="str">
        <f>IF(项目基本情况!D5="房地产市场价值","——",MID(F114,3,LEN(F114)-2))</f>
        <v/>
      </c>
      <c r="B129" s="2970"/>
      <c r="C129" s="2971"/>
      <c r="D129" s="2990" t="str">
        <f>I114</f>
        <v>——</v>
      </c>
      <c r="E129" s="2990"/>
      <c r="F129" s="2990"/>
      <c r="G129" s="2990"/>
      <c r="H129" s="2990"/>
      <c r="I129" s="2990"/>
    </row>
    <row r="130" spans="1:9" ht="15" hidden="1" thickTop="1" thickBot="1">
      <c r="A130" s="2979" t="s">
        <v>1950</v>
      </c>
      <c r="B130" s="2980"/>
      <c r="C130" s="2980"/>
      <c r="D130" s="2981">
        <f>H116</f>
        <v>0</v>
      </c>
      <c r="E130" s="2982"/>
      <c r="F130" s="2982"/>
      <c r="G130" s="2982"/>
      <c r="H130" s="2982"/>
      <c r="I130" s="2983"/>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86" priority="9" stopIfTrue="1" operator="equal">
      <formula>25</formula>
    </cfRule>
  </conditionalFormatting>
  <conditionalFormatting sqref="C8:C9">
    <cfRule type="cellIs" dxfId="185" priority="8" stopIfTrue="1" operator="equal">
      <formula>15</formula>
    </cfRule>
  </conditionalFormatting>
  <conditionalFormatting sqref="C14:C16">
    <cfRule type="cellIs" dxfId="184" priority="7" stopIfTrue="1" operator="equal">
      <formula>30</formula>
    </cfRule>
  </conditionalFormatting>
  <conditionalFormatting sqref="D5:D7">
    <cfRule type="cellIs" dxfId="183" priority="6" stopIfTrue="1" operator="equal">
      <formula>25</formula>
    </cfRule>
  </conditionalFormatting>
  <conditionalFormatting sqref="D8:D9">
    <cfRule type="cellIs" dxfId="182" priority="5" stopIfTrue="1" operator="equal">
      <formula>15</formula>
    </cfRule>
  </conditionalFormatting>
  <conditionalFormatting sqref="C10:D13">
    <cfRule type="cellIs" dxfId="181" priority="4" stopIfTrue="1" operator="equal">
      <formula>15</formula>
    </cfRule>
  </conditionalFormatting>
  <conditionalFormatting sqref="D14:D16">
    <cfRule type="cellIs" dxfId="180" priority="3" stopIfTrue="1" operator="equal">
      <formula>30</formula>
    </cfRule>
  </conditionalFormatting>
  <conditionalFormatting sqref="C90">
    <cfRule type="expression" dxfId="179" priority="2" stopIfTrue="1">
      <formula>$H$88&lt;&gt;"仅含出让金"</formula>
    </cfRule>
  </conditionalFormatting>
  <conditionalFormatting sqref="C91">
    <cfRule type="expression" dxfId="178" priority="1"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zoomScalePageLayoutView="80" workbookViewId="0">
      <selection activeCell="A98" sqref="A98:XFD146"/>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869" t="str">
        <f>项目基本情况!B1</f>
        <v>北京市海淀区花园东路15号9层2901至2903、2905至2907共6套办公用房房地产抵押价值预评估</v>
      </c>
      <c r="B2" s="2869"/>
      <c r="C2" s="2869"/>
      <c r="D2" s="2869"/>
      <c r="E2" s="2869"/>
      <c r="F2" s="2869"/>
      <c r="G2" s="2869"/>
      <c r="H2" s="2869"/>
      <c r="I2" s="2869"/>
    </row>
    <row r="3" spans="1:12" ht="13.2" hidden="1">
      <c r="A3" s="2870" t="s">
        <v>1764</v>
      </c>
      <c r="B3" s="2871"/>
      <c r="C3" s="2871"/>
      <c r="D3" s="2871"/>
      <c r="E3" s="2871"/>
      <c r="F3" s="2871"/>
      <c r="G3" s="2871"/>
      <c r="H3" s="2871"/>
      <c r="I3" s="2871"/>
    </row>
    <row r="4" spans="1:12" ht="14.4" hidden="1">
      <c r="A4" s="2189" t="s">
        <v>1765</v>
      </c>
      <c r="B4" s="2747" t="s">
        <v>1766</v>
      </c>
      <c r="C4" s="2191" t="s">
        <v>2856</v>
      </c>
      <c r="D4" s="2191" t="s">
        <v>2857</v>
      </c>
      <c r="E4" s="2872" t="s">
        <v>1767</v>
      </c>
      <c r="F4" s="2873"/>
      <c r="G4" s="2873"/>
      <c r="H4" s="2873"/>
      <c r="I4" s="2874"/>
      <c r="K4" s="1839" t="str">
        <f>IF(ISNUMBER(FIND("比较法",'结果表 (2907)'!C4)),"比较法",IF(ISNUMBER(FIND("成本法",'结果表 (2907)'!C4)),"成本法",IF(ISNUMBER(FIND("假设开发法",'结果表 (2907)'!C4)),"假设开发法",IF(ISNUMBER(FIND("收益法",'结果表 (2907)'!C4)),"收益法","基准地价系数修正法"))))</f>
        <v>比较法</v>
      </c>
      <c r="L4" s="1839" t="str">
        <f>IF(ISNUMBER(FIND("比较法",'结果表 (2907)'!D4)),"比较法",IF(ISNUMBER(FIND("成本法",'结果表 (2907)'!D4)),"成本法",IF(ISNUMBER(FIND("假设开发法",'结果表 (2907)'!D4)),"假设开发法",IF(ISNUMBER(FIND("收益法",'结果表 (2907)'!D4)),"收益法","基准地价系数修正法"))))</f>
        <v>收益法</v>
      </c>
    </row>
    <row r="5" spans="1:12" ht="13.2" hidden="1">
      <c r="A5" s="2864" t="s">
        <v>1768</v>
      </c>
      <c r="B5" s="2865">
        <v>25</v>
      </c>
      <c r="C5" s="2866"/>
      <c r="D5" s="2868"/>
      <c r="E5" s="56" t="s">
        <v>1769</v>
      </c>
      <c r="F5" s="2192"/>
      <c r="G5" s="2192"/>
      <c r="H5" s="2192"/>
      <c r="I5" s="2193"/>
    </row>
    <row r="6" spans="1:12" ht="13.2" hidden="1">
      <c r="A6" s="2864"/>
      <c r="B6" s="2865"/>
      <c r="C6" s="2875"/>
      <c r="D6" s="2868"/>
      <c r="E6" s="56" t="s">
        <v>1770</v>
      </c>
      <c r="F6" s="2192"/>
      <c r="G6" s="2192"/>
      <c r="H6" s="2192"/>
      <c r="I6" s="2193"/>
    </row>
    <row r="7" spans="1:12" ht="13.2" hidden="1">
      <c r="A7" s="2864"/>
      <c r="B7" s="2865"/>
      <c r="C7" s="2867"/>
      <c r="D7" s="2868"/>
      <c r="E7" s="56" t="s">
        <v>1771</v>
      </c>
      <c r="F7" s="2192"/>
      <c r="G7" s="2192"/>
      <c r="H7" s="2192"/>
      <c r="I7" s="2193"/>
    </row>
    <row r="8" spans="1:12" ht="13.2" hidden="1">
      <c r="A8" s="2864" t="s">
        <v>1772</v>
      </c>
      <c r="B8" s="2865">
        <v>15</v>
      </c>
      <c r="C8" s="2866"/>
      <c r="D8" s="2868"/>
      <c r="E8" s="56" t="s">
        <v>1773</v>
      </c>
      <c r="F8" s="2192"/>
      <c r="G8" s="2192"/>
      <c r="H8" s="2192"/>
      <c r="I8" s="2193"/>
    </row>
    <row r="9" spans="1:12" ht="13.2" hidden="1">
      <c r="A9" s="2864"/>
      <c r="B9" s="2865"/>
      <c r="C9" s="2867"/>
      <c r="D9" s="2868"/>
      <c r="E9" s="56" t="s">
        <v>1774</v>
      </c>
      <c r="F9" s="2192"/>
      <c r="G9" s="2192"/>
      <c r="H9" s="2192"/>
      <c r="I9" s="2193"/>
    </row>
    <row r="10" spans="1:12" ht="13.2" hidden="1">
      <c r="A10" s="2864" t="s">
        <v>1775</v>
      </c>
      <c r="B10" s="2865">
        <v>15</v>
      </c>
      <c r="C10" s="2866"/>
      <c r="D10" s="2868"/>
      <c r="E10" s="56" t="s">
        <v>1776</v>
      </c>
      <c r="F10" s="2192"/>
      <c r="G10" s="2192"/>
      <c r="H10" s="2192"/>
      <c r="I10" s="2193"/>
    </row>
    <row r="11" spans="1:12" ht="13.2" hidden="1">
      <c r="A11" s="2864"/>
      <c r="B11" s="2865"/>
      <c r="C11" s="2867"/>
      <c r="D11" s="2868"/>
      <c r="E11" s="56" t="s">
        <v>1777</v>
      </c>
      <c r="F11" s="2192"/>
      <c r="G11" s="2192"/>
      <c r="H11" s="2192"/>
      <c r="I11" s="2193"/>
    </row>
    <row r="12" spans="1:12" ht="13.2" hidden="1">
      <c r="A12" s="2864" t="s">
        <v>1778</v>
      </c>
      <c r="B12" s="2865">
        <v>15</v>
      </c>
      <c r="C12" s="2866"/>
      <c r="D12" s="2868"/>
      <c r="E12" s="56" t="s">
        <v>1779</v>
      </c>
      <c r="F12" s="2192"/>
      <c r="G12" s="2192"/>
      <c r="H12" s="2192"/>
      <c r="I12" s="2193"/>
    </row>
    <row r="13" spans="1:12" ht="13.2" hidden="1">
      <c r="A13" s="2864"/>
      <c r="B13" s="2865"/>
      <c r="C13" s="2867"/>
      <c r="D13" s="2868"/>
      <c r="E13" s="56" t="s">
        <v>1780</v>
      </c>
      <c r="F13" s="2192"/>
      <c r="G13" s="2192"/>
      <c r="H13" s="2192"/>
      <c r="I13" s="2193"/>
    </row>
    <row r="14" spans="1:12" ht="13.2" hidden="1">
      <c r="A14" s="2864" t="s">
        <v>1781</v>
      </c>
      <c r="B14" s="2865">
        <v>30</v>
      </c>
      <c r="C14" s="2866">
        <v>5</v>
      </c>
      <c r="D14" s="2868">
        <v>5</v>
      </c>
      <c r="E14" s="56" t="s">
        <v>1782</v>
      </c>
      <c r="F14" s="2192"/>
      <c r="G14" s="2192"/>
      <c r="H14" s="2192"/>
      <c r="I14" s="2193"/>
    </row>
    <row r="15" spans="1:12" ht="13.2" hidden="1">
      <c r="A15" s="2864"/>
      <c r="B15" s="2865"/>
      <c r="C15" s="2875"/>
      <c r="D15" s="2868"/>
      <c r="E15" s="56" t="s">
        <v>1783</v>
      </c>
      <c r="F15" s="2192"/>
      <c r="G15" s="2192"/>
      <c r="H15" s="2192"/>
      <c r="I15" s="2193"/>
    </row>
    <row r="16" spans="1:12" ht="13.2" hidden="1">
      <c r="A16" s="2864"/>
      <c r="B16" s="2865"/>
      <c r="C16" s="2867"/>
      <c r="D16" s="2868"/>
      <c r="E16" s="56" t="s">
        <v>1784</v>
      </c>
      <c r="F16" s="2192"/>
      <c r="G16" s="2192"/>
      <c r="H16" s="2192"/>
      <c r="I16" s="2193"/>
    </row>
    <row r="17" spans="1:35" ht="14.4" hidden="1">
      <c r="A17" s="2194" t="s">
        <v>1785</v>
      </c>
      <c r="B17" s="2195"/>
      <c r="C17" s="57">
        <f>SUM(C5:C16)</f>
        <v>5</v>
      </c>
      <c r="D17" s="57">
        <f>SUM(D5:D16)</f>
        <v>5</v>
      </c>
      <c r="E17" s="2187"/>
      <c r="F17" s="2187"/>
      <c r="G17" s="2187"/>
      <c r="H17" s="2187"/>
      <c r="I17" s="2187"/>
    </row>
    <row r="18" spans="1:35" ht="15" hidden="1" thickBot="1">
      <c r="A18" s="2196" t="s">
        <v>1786</v>
      </c>
      <c r="B18" s="2197"/>
      <c r="C18" s="58">
        <f>ROUND(C17/SUM(C17:D17),2)</f>
        <v>0.5</v>
      </c>
      <c r="D18" s="58">
        <f>1-C18</f>
        <v>0.5</v>
      </c>
      <c r="E18" s="2187"/>
      <c r="F18" s="2187"/>
      <c r="G18" s="2187"/>
      <c r="H18" s="2187"/>
      <c r="I18" s="2187"/>
    </row>
    <row r="19" spans="1:35" ht="14.4" hidden="1">
      <c r="A19" s="2198" t="s">
        <v>1787</v>
      </c>
      <c r="B19" s="2199" t="s">
        <v>1788</v>
      </c>
      <c r="C19" s="59">
        <f ca="1">SUMIF(INDIRECT("'"&amp;C4&amp;"'"&amp;"!A:A"),'结果表 (2907)'!B19,INDIRECT("'"&amp;C4&amp;"'"&amp;"!B:B"))</f>
        <v>4974051</v>
      </c>
      <c r="D19" s="60">
        <f ca="1">SUMIF(INDIRECT("'"&amp;D4&amp;"'"&amp;"!A:A"),'结果表 (2907)'!B19,INDIRECT("'"&amp;D4&amp;"'"&amp;"!B:B"))</f>
        <v>5444273</v>
      </c>
      <c r="E19" s="2198" t="s">
        <v>1789</v>
      </c>
      <c r="F19" s="2199" t="s">
        <v>1788</v>
      </c>
      <c r="G19" s="61">
        <f ca="1">ROUND(C19*$C$18+D19*$D$18,0)</f>
        <v>5209162</v>
      </c>
      <c r="H19" s="2200" t="str">
        <f>'数据-取费表'!B3</f>
        <v>元</v>
      </c>
      <c r="I19" s="2187"/>
    </row>
    <row r="20" spans="1:35" ht="14.4" hidden="1">
      <c r="A20" s="2201"/>
      <c r="B20" s="2202" t="s">
        <v>1790</v>
      </c>
      <c r="C20" s="62">
        <f ca="1">SUMIF(INDIRECT("'"&amp;C4&amp;"'"&amp;"!A:A"),'结果表 (2907)'!B20,INDIRECT("'"&amp;C4&amp;"'"&amp;"!B:B"))</f>
        <v>33037</v>
      </c>
      <c r="D20" s="63">
        <f ca="1">SUMIF(INDIRECT("'"&amp;D4&amp;"'"&amp;"!A:A"),'结果表 (2907)'!B20,INDIRECT("'"&amp;D4&amp;"'"&amp;"!B:B"))</f>
        <v>36160</v>
      </c>
      <c r="E20" s="2201"/>
      <c r="F20" s="2202" t="s">
        <v>1790</v>
      </c>
      <c r="G20" s="64">
        <f ca="1">ROUND(C20*$C$18+D20*$D$18,0)</f>
        <v>34599</v>
      </c>
      <c r="H20" s="2203" t="s">
        <v>1791</v>
      </c>
      <c r="I20" s="2187"/>
    </row>
    <row r="21" spans="1:35" ht="15" hidden="1" customHeight="1" thickBot="1">
      <c r="A21" s="2204"/>
      <c r="B21" s="2205"/>
      <c r="C21" s="769"/>
      <c r="D21" s="770"/>
      <c r="E21" s="2204"/>
      <c r="F21" s="2205"/>
      <c r="G21" s="65"/>
      <c r="H21" s="2206"/>
      <c r="I21" s="2187"/>
    </row>
    <row r="22" spans="1:35" ht="15" hidden="1" thickBot="1">
      <c r="A22" s="2207" t="s">
        <v>1792</v>
      </c>
      <c r="B22" s="2208"/>
      <c r="C22" s="2209"/>
      <c r="D22" s="771">
        <f ca="1">IF(C19&lt;D19,D19/C19-1,C19/D19-1)</f>
        <v>9.4535017835563062E-2</v>
      </c>
      <c r="E22" s="2187"/>
      <c r="F22" s="2187"/>
      <c r="G22" s="2187"/>
      <c r="H22" s="2187"/>
      <c r="I22" s="2187"/>
    </row>
    <row r="23" spans="1:35" ht="13.8" hidden="1" thickBot="1">
      <c r="A23" s="2187"/>
      <c r="B23" s="2187"/>
      <c r="C23" s="2187"/>
      <c r="D23" s="2187"/>
      <c r="E23" s="2187"/>
      <c r="F23" s="2187"/>
      <c r="G23" s="2187"/>
      <c r="H23" s="2187"/>
      <c r="I23" s="2187"/>
    </row>
    <row r="24" spans="1:35" ht="21.75" hidden="1" customHeight="1">
      <c r="A24" s="2876" t="s">
        <v>1793</v>
      </c>
      <c r="B24" s="2199" t="s">
        <v>1788</v>
      </c>
      <c r="C24" s="61">
        <f>D30</f>
        <v>0</v>
      </c>
      <c r="D24" s="989"/>
      <c r="E24" s="2187"/>
      <c r="F24" s="2187"/>
      <c r="G24" s="2187"/>
      <c r="H24" s="2187"/>
      <c r="I24" s="2187"/>
    </row>
    <row r="25" spans="1:35" ht="21.75" hidden="1" customHeight="1">
      <c r="A25" s="2877"/>
      <c r="B25" s="2202" t="s">
        <v>1790</v>
      </c>
      <c r="C25" s="66">
        <f>IF(B30=0,0,C30)</f>
        <v>0</v>
      </c>
      <c r="D25" s="2210"/>
      <c r="E25" s="2187"/>
      <c r="F25" s="2187"/>
      <c r="G25" s="2187"/>
      <c r="H25" s="2187"/>
      <c r="I25" s="2187"/>
    </row>
    <row r="26" spans="1:35" ht="13.5" hidden="1" customHeight="1">
      <c r="A26" s="2211" t="s">
        <v>1794</v>
      </c>
      <c r="B26" s="67" t="s">
        <v>1795</v>
      </c>
      <c r="C26" s="67" t="s">
        <v>1796</v>
      </c>
      <c r="D26" s="68" t="s">
        <v>1797</v>
      </c>
      <c r="E26" s="2187"/>
      <c r="F26" s="2187"/>
      <c r="G26" s="2187"/>
      <c r="H26" s="2187"/>
      <c r="I26" s="2187"/>
    </row>
    <row r="27" spans="1:35" ht="13.8" hidden="1">
      <c r="A27" s="2212"/>
      <c r="B27" s="67">
        <v>0</v>
      </c>
      <c r="C27" s="67">
        <v>0</v>
      </c>
      <c r="D27" s="68">
        <f>ROUND(C27*B27/10000,0)</f>
        <v>0</v>
      </c>
      <c r="E27" s="2187"/>
      <c r="F27" s="2187"/>
      <c r="G27" s="2187"/>
      <c r="H27" s="2187"/>
      <c r="I27" s="2187"/>
    </row>
    <row r="28" spans="1:35" ht="13.8" hidden="1">
      <c r="A28" s="2211"/>
      <c r="B28" s="67"/>
      <c r="C28" s="67"/>
      <c r="D28" s="68">
        <f t="shared" ref="D28:D29" si="0">ROUND(C28*B28/10000,0)</f>
        <v>0</v>
      </c>
      <c r="E28" s="2187"/>
      <c r="F28" s="2187"/>
      <c r="G28" s="2187"/>
      <c r="H28" s="2187"/>
      <c r="I28" s="2187"/>
    </row>
    <row r="29" spans="1:35" ht="13.8" hidden="1">
      <c r="A29" s="2211"/>
      <c r="B29" s="67"/>
      <c r="C29" s="67"/>
      <c r="D29" s="68">
        <f t="shared" si="0"/>
        <v>0</v>
      </c>
      <c r="E29" s="2187"/>
      <c r="F29" s="2187"/>
      <c r="G29" s="2187"/>
      <c r="H29" s="2187"/>
      <c r="I29" s="2187"/>
    </row>
    <row r="30" spans="1:35" ht="14.4" hidden="1">
      <c r="A30" s="67" t="s">
        <v>1798</v>
      </c>
      <c r="B30" s="67"/>
      <c r="C30" s="67"/>
      <c r="D30" s="67"/>
      <c r="E30" s="2695" t="s">
        <v>2795</v>
      </c>
      <c r="F30" s="2187"/>
      <c r="G30" s="2187"/>
      <c r="H30" s="2187"/>
      <c r="I30" s="2187"/>
    </row>
    <row r="31" spans="1:35" s="2214" customFormat="1" ht="14.4" hidden="1"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hidden="1"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hidden="1">
      <c r="A33" s="2217" t="s">
        <v>1800</v>
      </c>
      <c r="B33" s="2218"/>
      <c r="C33" s="2219"/>
      <c r="D33" s="2220"/>
      <c r="E33" s="2221" t="s">
        <v>1801</v>
      </c>
      <c r="F33" s="2222" t="str">
        <f>IF(B32="楼面单价","取值（单价）","取值（总价）")</f>
        <v>取值（单价）</v>
      </c>
      <c r="G33" s="2187"/>
      <c r="H33" s="2187"/>
      <c r="I33" s="2187"/>
    </row>
    <row r="34" spans="1:16" ht="14.4" hidden="1">
      <c r="A34" s="2223"/>
      <c r="B34" s="2224" t="s">
        <v>1802</v>
      </c>
      <c r="C34" s="72">
        <f ca="1">IF(D33="自定义",F34,C32-C35)</f>
        <v>30482</v>
      </c>
      <c r="D34" s="1086">
        <f ca="1">IF(D33="自定义",ROUND(C34/C32,3),1-D35)</f>
        <v>0.88100000000000001</v>
      </c>
      <c r="E34" s="2225" t="s">
        <v>1803</v>
      </c>
      <c r="F34" s="1822"/>
      <c r="G34" s="2187"/>
      <c r="H34" s="2187"/>
      <c r="I34" s="2187"/>
    </row>
    <row r="35" spans="1:16" ht="15" hidden="1"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hidden="1" thickBot="1">
      <c r="A36" s="2878" t="s">
        <v>1806</v>
      </c>
      <c r="B36" s="2229" t="s">
        <v>1807</v>
      </c>
      <c r="C36" s="69">
        <v>0</v>
      </c>
      <c r="D36" s="2230"/>
      <c r="E36" s="2231"/>
      <c r="F36" s="2231"/>
      <c r="G36" s="2187"/>
      <c r="H36" s="2187"/>
      <c r="I36" s="2187"/>
    </row>
    <row r="37" spans="1:16" ht="15" hidden="1" thickBot="1">
      <c r="A37" s="2879"/>
      <c r="B37" s="2232" t="s">
        <v>1808</v>
      </c>
      <c r="C37" s="71">
        <v>0</v>
      </c>
      <c r="D37" s="2197"/>
      <c r="E37" s="2197"/>
      <c r="F37" s="2231"/>
      <c r="G37" s="2197"/>
      <c r="H37" s="2197"/>
      <c r="I37" s="2197"/>
    </row>
    <row r="38" spans="1:16" ht="15" hidden="1" thickBot="1">
      <c r="A38" s="2880"/>
      <c r="B38" s="2233" t="s">
        <v>1809</v>
      </c>
      <c r="C38" s="711">
        <v>0</v>
      </c>
      <c r="D38" s="2234" t="s">
        <v>1810</v>
      </c>
      <c r="E38" s="2197"/>
      <c r="F38" s="2231"/>
      <c r="G38" s="2197"/>
      <c r="H38" s="2197"/>
      <c r="I38" s="2197"/>
    </row>
    <row r="39" spans="1:16" ht="14.4" hidden="1">
      <c r="A39" s="2201" t="s">
        <v>1811</v>
      </c>
      <c r="B39" s="2235" t="s">
        <v>1795</v>
      </c>
      <c r="C39" s="2236" t="s">
        <v>1796</v>
      </c>
      <c r="D39" s="2236" t="s">
        <v>1812</v>
      </c>
      <c r="E39" s="2237" t="s">
        <v>1797</v>
      </c>
      <c r="F39" s="2231"/>
      <c r="G39" s="2197"/>
      <c r="H39" s="2197"/>
      <c r="I39" s="2197"/>
    </row>
    <row r="40" spans="1:16" ht="13.8" hidden="1">
      <c r="A40" s="2238" t="s">
        <v>1813</v>
      </c>
      <c r="B40" s="74"/>
      <c r="C40" s="75"/>
      <c r="D40" s="75"/>
      <c r="E40" s="76"/>
      <c r="F40" s="2231"/>
      <c r="G40" s="2197"/>
      <c r="H40" s="2197"/>
      <c r="I40" s="2197"/>
    </row>
    <row r="41" spans="1:16" ht="13.8" hidden="1">
      <c r="A41" s="2238" t="s">
        <v>1814</v>
      </c>
      <c r="B41" s="74"/>
      <c r="C41" s="75"/>
      <c r="D41" s="75"/>
      <c r="E41" s="76"/>
      <c r="F41" s="2231"/>
      <c r="G41" s="2197"/>
      <c r="H41" s="2197"/>
      <c r="I41" s="2197"/>
    </row>
    <row r="42" spans="1:16" ht="14.4" hidden="1" thickBot="1">
      <c r="A42" s="2239"/>
      <c r="B42" s="77"/>
      <c r="C42" s="78"/>
      <c r="D42" s="78"/>
      <c r="E42" s="79"/>
      <c r="F42" s="2231"/>
      <c r="G42" s="2197"/>
      <c r="H42" s="2197"/>
      <c r="I42" s="2197"/>
    </row>
    <row r="43" spans="1:16" ht="13.2" hidden="1">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881" t="s">
        <v>1817</v>
      </c>
      <c r="B45" s="2882"/>
      <c r="C45" s="2883"/>
      <c r="D45" s="3138">
        <f ca="1">ROUND(典型户型修正!S32*F45,0)</f>
        <v>6584882</v>
      </c>
      <c r="E45" s="81" t="s">
        <v>1818</v>
      </c>
      <c r="F45" s="82">
        <v>1</v>
      </c>
      <c r="G45" s="83" t="s">
        <v>1819</v>
      </c>
      <c r="H45" s="2187"/>
      <c r="I45" s="2187"/>
      <c r="J45" s="2884" t="s">
        <v>1820</v>
      </c>
      <c r="K45" s="2884"/>
      <c r="L45" s="2884"/>
      <c r="M45" s="2884"/>
      <c r="N45" s="2884"/>
      <c r="O45" s="2884"/>
      <c r="P45" s="1839"/>
    </row>
    <row r="46" spans="1:16" ht="14.25" customHeight="1">
      <c r="A46" s="2885" t="s">
        <v>1821</v>
      </c>
      <c r="B46" s="2886"/>
      <c r="C46" s="2886"/>
      <c r="D46" s="2886"/>
      <c r="E46" s="2886"/>
      <c r="F46" s="2886"/>
      <c r="G46" s="2887"/>
      <c r="H46" s="2249"/>
      <c r="I46" s="1139"/>
      <c r="J46" s="2757">
        <v>1</v>
      </c>
      <c r="K46" s="2884" t="s">
        <v>1822</v>
      </c>
      <c r="L46" s="2884"/>
      <c r="M46" s="2888" t="str">
        <f>项目基本情况!B1</f>
        <v>北京市海淀区花园东路15号9层2901至2903、2905至2907共6套办公用房房地产抵押价值预评估</v>
      </c>
      <c r="N46" s="2888"/>
      <c r="O46" s="2888"/>
      <c r="P46" s="1839"/>
    </row>
    <row r="47" spans="1:16" ht="12" customHeight="1">
      <c r="A47" s="85" t="s">
        <v>1823</v>
      </c>
      <c r="B47" s="86"/>
      <c r="C47" s="87"/>
      <c r="D47" s="88" t="s">
        <v>1824</v>
      </c>
      <c r="E47" s="14" t="s">
        <v>1825</v>
      </c>
      <c r="F47" s="89" t="s">
        <v>1826</v>
      </c>
      <c r="G47" s="90" t="s">
        <v>1827</v>
      </c>
      <c r="H47" s="2249"/>
      <c r="I47" s="1139"/>
      <c r="J47" s="2757">
        <v>2</v>
      </c>
      <c r="K47" s="2884" t="s">
        <v>1828</v>
      </c>
      <c r="L47" s="2884"/>
      <c r="M47" s="2892">
        <f>'数据-取费表'!B2</f>
        <v>43924</v>
      </c>
      <c r="N47" s="2892"/>
      <c r="O47" s="2892"/>
      <c r="P47" s="1839"/>
    </row>
    <row r="48" spans="1:16" ht="39.6">
      <c r="A48" s="2893" t="s">
        <v>1829</v>
      </c>
      <c r="B48" s="2894"/>
      <c r="C48" s="2894"/>
      <c r="D48" s="56">
        <f ca="1">IF(H48="情况1",0,IF(H48="情况2",D52,IF(H48="情况3",D53,IF(H48="情况4",D54))))</f>
        <v>82208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884" t="s">
        <v>1832</v>
      </c>
      <c r="L48" s="2884"/>
      <c r="M48" s="2888">
        <f ca="1">典型户型修正!S32</f>
        <v>6584882</v>
      </c>
      <c r="N48" s="2888"/>
      <c r="O48" s="2888"/>
      <c r="P48" s="1839"/>
    </row>
    <row r="49" spans="1:16" ht="25.5" customHeight="1">
      <c r="A49" s="92" t="s">
        <v>1833</v>
      </c>
      <c r="B49" s="2889" t="s">
        <v>1834</v>
      </c>
      <c r="C49" s="2889"/>
      <c r="D49" s="93">
        <v>0</v>
      </c>
      <c r="E49" s="13" t="s">
        <v>1835</v>
      </c>
      <c r="F49" s="18" t="s">
        <v>48</v>
      </c>
      <c r="G49" s="2895"/>
      <c r="H49" s="2187"/>
      <c r="I49" s="2252"/>
      <c r="J49" s="2757">
        <v>4</v>
      </c>
      <c r="K49" s="2884" t="str">
        <f>IF(项目基本情况!F5="房地产抵押价值","房地产抵押价值","抵押担保权已注销时的房地产抵押价值")</f>
        <v>房地产抵押价值</v>
      </c>
      <c r="L49" s="2884"/>
      <c r="M49" s="2888">
        <f ca="1">M48</f>
        <v>6584882</v>
      </c>
      <c r="N49" s="2888"/>
      <c r="O49" s="2888"/>
      <c r="P49" s="1839"/>
    </row>
    <row r="50" spans="1:16" ht="25.5" customHeight="1">
      <c r="A50" s="94"/>
      <c r="B50" s="2889" t="s">
        <v>1836</v>
      </c>
      <c r="C50" s="2889"/>
      <c r="D50" s="95"/>
      <c r="E50" s="21"/>
      <c r="F50" s="96"/>
      <c r="G50" s="2896"/>
      <c r="H50" s="2187"/>
      <c r="I50" s="2252"/>
      <c r="J50" s="2884" t="s">
        <v>1837</v>
      </c>
      <c r="K50" s="2884"/>
      <c r="L50" s="2884"/>
      <c r="M50" s="2884"/>
      <c r="N50" s="2884"/>
      <c r="O50" s="2884"/>
      <c r="P50" s="1839"/>
    </row>
    <row r="51" spans="1:16" ht="12" customHeight="1">
      <c r="A51" s="97"/>
      <c r="B51" s="2889" t="s">
        <v>1838</v>
      </c>
      <c r="C51" s="2889"/>
      <c r="D51" s="98"/>
      <c r="E51" s="20"/>
      <c r="F51" s="96"/>
      <c r="G51" s="2897"/>
      <c r="H51" s="2187"/>
      <c r="I51" s="2252"/>
      <c r="J51" s="2760" t="s">
        <v>1839</v>
      </c>
      <c r="K51" s="2884" t="s">
        <v>1840</v>
      </c>
      <c r="L51" s="2884"/>
      <c r="M51" s="2760" t="s">
        <v>1841</v>
      </c>
      <c r="N51" s="2760" t="s">
        <v>1842</v>
      </c>
      <c r="O51" s="2760" t="s">
        <v>1843</v>
      </c>
      <c r="P51" s="1839"/>
    </row>
    <row r="52" spans="1:16" ht="24" customHeight="1">
      <c r="A52" s="99" t="s">
        <v>1844</v>
      </c>
      <c r="B52" s="2889" t="s">
        <v>1845</v>
      </c>
      <c r="C52" s="2889"/>
      <c r="D52" s="98">
        <f ca="1">ROUND(D45*'数据-取费表'!E29/(1+'数据-取费表'!F30),0)</f>
        <v>351194</v>
      </c>
      <c r="E52" s="10" t="s">
        <v>1846</v>
      </c>
      <c r="F52" s="100">
        <f>'数据-取费表'!E29</f>
        <v>5.6000000000000001E-2</v>
      </c>
      <c r="G52" s="2254"/>
      <c r="H52" s="2187"/>
      <c r="I52" s="2252"/>
      <c r="J52" s="2757">
        <v>1</v>
      </c>
      <c r="K52" s="2890" t="s">
        <v>1847</v>
      </c>
      <c r="L52" s="2890"/>
      <c r="M52" s="777">
        <f ca="1">D48</f>
        <v>82208</v>
      </c>
      <c r="N52" s="2757" t="str">
        <f>E48</f>
        <v>(销售额-原购置价)×税（费）率</v>
      </c>
      <c r="O52" s="778">
        <f>F48</f>
        <v>5.6000000000000001E-2</v>
      </c>
      <c r="P52" s="1839"/>
    </row>
    <row r="53" spans="1:16" ht="12" customHeight="1">
      <c r="A53" s="99" t="s">
        <v>1848</v>
      </c>
      <c r="B53" s="2891" t="s">
        <v>1849</v>
      </c>
      <c r="C53" s="2836"/>
      <c r="D53" s="98">
        <f ca="1">ROUND(D45*'数据-取费表'!E29/(1+'数据-取费表'!F30),0)</f>
        <v>351194</v>
      </c>
      <c r="E53" s="10" t="s">
        <v>1846</v>
      </c>
      <c r="F53" s="100">
        <f>'数据-取费表'!E29</f>
        <v>5.6000000000000001E-2</v>
      </c>
      <c r="G53" s="2254"/>
      <c r="H53" s="2187"/>
      <c r="I53" s="2252"/>
      <c r="J53" s="2757">
        <v>2</v>
      </c>
      <c r="K53" s="2890" t="s">
        <v>1850</v>
      </c>
      <c r="L53" s="2890"/>
      <c r="M53" s="777">
        <f t="shared" ref="M53:O54" ca="1" si="1">D55</f>
        <v>3292</v>
      </c>
      <c r="N53" s="2757" t="str">
        <f t="shared" si="1"/>
        <v>销售额×税（费）率</v>
      </c>
      <c r="O53" s="778">
        <f t="shared" si="1"/>
        <v>5.0000000000000001E-4</v>
      </c>
      <c r="P53" s="1839"/>
    </row>
    <row r="54" spans="1:16" ht="12" customHeight="1">
      <c r="A54" s="99" t="s">
        <v>1851</v>
      </c>
      <c r="B54" s="2891" t="s">
        <v>1852</v>
      </c>
      <c r="C54" s="2836"/>
      <c r="D54" s="98">
        <f ca="1">C68</f>
        <v>82208</v>
      </c>
      <c r="E54" s="20" t="s">
        <v>1853</v>
      </c>
      <c r="F54" s="100">
        <f>'数据-取费表'!E29</f>
        <v>5.6000000000000001E-2</v>
      </c>
      <c r="G54" s="2254"/>
      <c r="H54" s="2255"/>
      <c r="I54" s="2252"/>
      <c r="J54" s="2757">
        <v>3</v>
      </c>
      <c r="K54" s="2890" t="s">
        <v>1854</v>
      </c>
      <c r="L54" s="2890"/>
      <c r="M54" s="777">
        <f t="shared" ca="1" si="1"/>
        <v>455873</v>
      </c>
      <c r="N54" s="2757" t="str">
        <f t="shared" si="1"/>
        <v>增值额×税（费）率</v>
      </c>
      <c r="O54" s="779" t="str">
        <f t="shared" si="1"/>
        <v>——</v>
      </c>
      <c r="P54" s="1839"/>
    </row>
    <row r="55" spans="1:16" ht="24" customHeight="1">
      <c r="A55" s="2828" t="s">
        <v>1855</v>
      </c>
      <c r="B55" s="2894"/>
      <c r="C55" s="2894"/>
      <c r="D55" s="101">
        <f ca="1">IF(H55="个人住宅",0,ROUND(D45*I55,0))</f>
        <v>3292</v>
      </c>
      <c r="E55" s="10" t="s">
        <v>1856</v>
      </c>
      <c r="F55" s="100">
        <f>IF(H55="正常",I55,"免征")</f>
        <v>5.0000000000000001E-4</v>
      </c>
      <c r="G55" s="2254"/>
      <c r="H55" s="2251" t="s">
        <v>1857</v>
      </c>
      <c r="I55" s="102">
        <f>'数据-取费表'!E37</f>
        <v>5.0000000000000001E-4</v>
      </c>
      <c r="J55" s="2757" t="str">
        <f>IF(H59="非个人房产","",4)</f>
        <v/>
      </c>
      <c r="K55" s="2890" t="str">
        <f>IF(H59="非个人房产","——","个人所得税")</f>
        <v>——</v>
      </c>
      <c r="L55" s="2890"/>
      <c r="M55" s="780" t="str">
        <f>D59</f>
        <v>——</v>
      </c>
      <c r="N55" s="2756" t="str">
        <f>E59</f>
        <v>——</v>
      </c>
      <c r="O55" s="781" t="str">
        <f>F59</f>
        <v>——</v>
      </c>
      <c r="P55" s="1839"/>
    </row>
    <row r="56" spans="1:16" ht="25.2">
      <c r="A56" s="2828" t="s">
        <v>1858</v>
      </c>
      <c r="B56" s="2894"/>
      <c r="C56" s="2894"/>
      <c r="D56" s="101">
        <f ca="1">IF(H56="个人住宅",D57,D58)</f>
        <v>455873</v>
      </c>
      <c r="E56" s="10" t="s">
        <v>1859</v>
      </c>
      <c r="F56" s="100" t="str">
        <f>IF(H56="正常",F58,"免征")</f>
        <v>——</v>
      </c>
      <c r="G56" s="2256" t="s">
        <v>1860</v>
      </c>
      <c r="H56" s="2257" t="s">
        <v>1857</v>
      </c>
      <c r="I56" s="1017"/>
      <c r="J56" s="2757" t="str">
        <f>IF(项目基本情况!I6="上海银行",IF(J55="",4,J55+1),"")</f>
        <v/>
      </c>
      <c r="K56" s="2902" t="str">
        <f>IF(项目基本情况!I6="上海银行","其他处置费用","")</f>
        <v/>
      </c>
      <c r="L56" s="2903"/>
      <c r="M56" s="777" t="str">
        <f>IF(项目基本情况!I6="上海银行",M69,"")</f>
        <v/>
      </c>
      <c r="N56" s="2898" t="str">
        <f>IF(项目基本情况!I6="上海银行","包含处置中涉及的律师、诉讼、拍卖、评估等费用","")</f>
        <v/>
      </c>
      <c r="O56" s="2899"/>
      <c r="P56" s="1839"/>
    </row>
    <row r="57" spans="1:16" ht="13.2">
      <c r="A57" s="99" t="s">
        <v>1833</v>
      </c>
      <c r="B57" s="2872" t="s">
        <v>1861</v>
      </c>
      <c r="C57" s="2874"/>
      <c r="D57" s="103">
        <v>0</v>
      </c>
      <c r="E57" s="13" t="s">
        <v>1835</v>
      </c>
      <c r="F57" s="70"/>
      <c r="G57" s="2254"/>
      <c r="H57" s="1017"/>
      <c r="I57" s="1017"/>
      <c r="J57" s="2890">
        <f>IF(AND(J55="",J56=""),4,IF(项目基本情况!I6="上海银行",J56+1,J55+1))</f>
        <v>4</v>
      </c>
      <c r="K57" s="2890" t="s">
        <v>1862</v>
      </c>
      <c r="L57" s="2258" t="s">
        <v>1863</v>
      </c>
      <c r="M57" s="782"/>
      <c r="N57" s="783">
        <f ca="1">SUMIF(M52:M56,"&lt;9e307")</f>
        <v>541373</v>
      </c>
      <c r="O57" s="2259"/>
      <c r="P57" s="1835">
        <f ca="1">N57/M49</f>
        <v>8.2214533229297046E-2</v>
      </c>
    </row>
    <row r="58" spans="1:16" ht="25.2">
      <c r="A58" s="99" t="s">
        <v>1844</v>
      </c>
      <c r="B58" s="2872" t="s">
        <v>1864</v>
      </c>
      <c r="C58" s="2873"/>
      <c r="D58" s="101">
        <f ca="1">IF(H58="转让取得",C81,C97)</f>
        <v>455873</v>
      </c>
      <c r="E58" s="10" t="s">
        <v>1859</v>
      </c>
      <c r="F58" s="14" t="s">
        <v>48</v>
      </c>
      <c r="G58" s="2254"/>
      <c r="H58" s="2257" t="s">
        <v>2905</v>
      </c>
      <c r="I58" s="1017"/>
      <c r="J58" s="2890"/>
      <c r="K58" s="2890"/>
      <c r="L58" s="2258" t="s">
        <v>1866</v>
      </c>
      <c r="M58" s="784"/>
      <c r="N58" s="2260" t="str">
        <f ca="1">IF(H19="元",NUMBERSTRING(INT(N57),2)&amp;"元整",NUMBERSTRING(INT(N57*10000),2)&amp;"元整")</f>
        <v>伍拾肆万壹仟叁佰柒拾叁元整</v>
      </c>
      <c r="O58" s="2261"/>
      <c r="P58" s="1839"/>
    </row>
    <row r="59" spans="1:16" ht="24.6" thickBot="1">
      <c r="A59" s="2829" t="s">
        <v>1867</v>
      </c>
      <c r="B59" s="2832"/>
      <c r="C59" s="2832"/>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00">
        <f>J57+1</f>
        <v>5</v>
      </c>
      <c r="K59" s="2890" t="s">
        <v>1868</v>
      </c>
      <c r="L59" s="2757" t="s">
        <v>1863</v>
      </c>
      <c r="M59" s="785"/>
      <c r="N59" s="786">
        <f ca="1">M49-N57</f>
        <v>6043509</v>
      </c>
      <c r="O59" s="2263"/>
      <c r="P59" s="1839"/>
    </row>
    <row r="60" spans="1:16" ht="12" customHeight="1">
      <c r="A60" s="2058"/>
      <c r="B60" s="2187"/>
      <c r="C60" s="2187"/>
      <c r="D60" s="2187"/>
      <c r="E60" s="1017"/>
      <c r="F60" s="1017"/>
      <c r="G60" s="1017"/>
      <c r="H60" s="2240"/>
      <c r="I60" s="2187"/>
      <c r="J60" s="2901"/>
      <c r="K60" s="2890"/>
      <c r="L60" s="2258" t="s">
        <v>1866</v>
      </c>
      <c r="M60" s="784"/>
      <c r="N60" s="2260" t="str">
        <f ca="1">IF(H19="元",NUMBERSTRING(INT(N59),2)&amp;"元整",NUMBERSTRING(INT(N59*10000),2)&amp;"元整")</f>
        <v>陆佰零肆万叁仟伍佰零玖元整</v>
      </c>
      <c r="O60" s="2261"/>
      <c r="P60" s="1839"/>
    </row>
    <row r="61" spans="1:16" ht="13.8" thickBot="1">
      <c r="A61" s="2912" t="s">
        <v>1869</v>
      </c>
      <c r="B61" s="2912"/>
      <c r="C61" s="2912"/>
      <c r="D61" s="2912"/>
      <c r="E61" s="2912"/>
      <c r="F61" s="1017"/>
      <c r="G61" s="1017"/>
      <c r="H61" s="2240"/>
      <c r="I61" s="2187"/>
      <c r="J61" s="2757">
        <f>J59+1</f>
        <v>6</v>
      </c>
      <c r="K61" s="2890" t="s">
        <v>1870</v>
      </c>
      <c r="L61" s="2890"/>
      <c r="M61" s="787"/>
      <c r="N61" s="788">
        <f ca="1">IF(H19="元",ROUND(N59/典型户型修正!B32,0),ROUND(N59*10000/典型户型修正!B32,0))</f>
        <v>31754</v>
      </c>
      <c r="O61" s="2264"/>
      <c r="P61" s="1839"/>
    </row>
    <row r="62" spans="1:16" ht="13.2">
      <c r="A62" s="2910" t="s">
        <v>1871</v>
      </c>
      <c r="B62" s="291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6271316</v>
      </c>
      <c r="D63" s="112"/>
      <c r="E63" s="113"/>
      <c r="F63" s="1017"/>
      <c r="G63" s="1017"/>
      <c r="H63" s="2240"/>
      <c r="I63" s="2187"/>
      <c r="J63" s="2913" t="s">
        <v>1875</v>
      </c>
      <c r="K63" s="2758" t="s">
        <v>1876</v>
      </c>
      <c r="L63" s="1838">
        <f ca="1">IF(M49&gt;10000,M49*0.5%,IF(AND(M49&gt;1000,M49&lt;=10000),M49*1%,IF(AND(M49&gt;100,M49&lt;=1000),M49*3%,IF(AND(M49&gt;10,M49&lt;=100),M49*5%,M49*8%))))</f>
        <v>32924.410000000003</v>
      </c>
      <c r="M63" s="14">
        <f ca="1">ROUND(L63,1)</f>
        <v>32924.400000000001</v>
      </c>
      <c r="N63" s="1839"/>
      <c r="O63" s="1839"/>
      <c r="P63" s="1839"/>
    </row>
    <row r="64" spans="1:16" ht="13.2">
      <c r="A64" s="114" t="s">
        <v>71</v>
      </c>
      <c r="B64" s="115" t="s">
        <v>1877</v>
      </c>
      <c r="C64" s="116">
        <f ca="1">D45</f>
        <v>6584882</v>
      </c>
      <c r="D64" s="117" t="s">
        <v>41</v>
      </c>
      <c r="E64" s="118"/>
      <c r="F64" s="1017"/>
      <c r="G64" s="1017"/>
      <c r="H64" s="2240"/>
      <c r="I64" s="2187"/>
      <c r="J64" s="2913"/>
      <c r="K64" s="2758" t="s">
        <v>1878</v>
      </c>
      <c r="L64" s="1838">
        <f ca="1">IF(M49&gt;2000,M49*0.5%,IF(AND(M49&gt;1000,M49&lt;=2000),M49*0.6%,IF(AND(M49&gt;500,M49&lt;=1000),M49*0.7%,IF(AND(M49&gt;200,M49&lt;=500),M49*0.8%,IF(AND(M49&gt;100,M49&lt;=200),M49*0.9%,IF(AND(M49&gt;50,M49&lt;=100),M49*1%,IF(AND(M49&gt;20,M49&lt;=50),M49*1.5%,IF(AND(M49&gt;10,M49&lt;=20),M49*2%,IF(AND(M49&gt;1,M49&lt;=10),M49*2.5%)))))))))</f>
        <v>32924.410000000003</v>
      </c>
      <c r="M64" s="14">
        <f t="shared" ref="M64:M65" ca="1" si="2">ROUND(L64,1)</f>
        <v>32924.400000000001</v>
      </c>
      <c r="N64" s="1839" t="s">
        <v>1879</v>
      </c>
      <c r="O64" s="1839"/>
      <c r="P64" s="1839"/>
    </row>
    <row r="65" spans="1:35" ht="13.2">
      <c r="A65" s="114" t="s">
        <v>72</v>
      </c>
      <c r="B65" s="115" t="s">
        <v>1880</v>
      </c>
      <c r="C65" s="119"/>
      <c r="D65" s="117"/>
      <c r="E65" s="118"/>
      <c r="F65" s="1017"/>
      <c r="G65" s="1017"/>
      <c r="H65" s="2240"/>
      <c r="I65" s="2187"/>
      <c r="J65" s="2913"/>
      <c r="K65" s="2758" t="s">
        <v>1881</v>
      </c>
      <c r="L65" s="1838">
        <f ca="1">IF(M49&gt;1000,M49*0.1%,IF(AND(M49&gt;500,M49&lt;=1000),M49*0.5%,IF(AND(M49&gt;50,M49&lt;=500),M49*1%,IF(AND(M49&gt;1,M49&lt;=50),M49*1.5%))))</f>
        <v>6584.8820000000005</v>
      </c>
      <c r="M65" s="14">
        <f t="shared" ca="1" si="2"/>
        <v>6584.9</v>
      </c>
      <c r="N65" s="1839" t="s">
        <v>1879</v>
      </c>
      <c r="O65" s="1839"/>
      <c r="P65" s="1839"/>
    </row>
    <row r="66" spans="1:35" ht="25.2">
      <c r="A66" s="120" t="s">
        <v>47</v>
      </c>
      <c r="B66" s="121" t="s">
        <v>1882</v>
      </c>
      <c r="C66" s="122">
        <f>ROUND(5043480/1.05,0)</f>
        <v>4803314</v>
      </c>
      <c r="D66" s="123" t="s">
        <v>41</v>
      </c>
      <c r="E66" s="1855" t="s">
        <v>1883</v>
      </c>
      <c r="F66" s="1017"/>
      <c r="G66" s="1017"/>
      <c r="H66" s="2240"/>
      <c r="I66" s="2187"/>
      <c r="J66" s="2913"/>
      <c r="K66" s="2758" t="s">
        <v>1884</v>
      </c>
      <c r="L66" s="1838">
        <f ca="1">M49*0.5%</f>
        <v>32924.410000000003</v>
      </c>
      <c r="M66" s="14">
        <f ca="1">IF(L66&gt;0.5,0.5,ROUND(L66,0))</f>
        <v>0.5</v>
      </c>
      <c r="N66" s="1839" t="s">
        <v>1885</v>
      </c>
      <c r="O66" s="1839"/>
      <c r="P66" s="1839"/>
    </row>
    <row r="67" spans="1:35" ht="13.2">
      <c r="A67" s="120" t="s">
        <v>42</v>
      </c>
      <c r="B67" s="121" t="s">
        <v>1886</v>
      </c>
      <c r="C67" s="124">
        <f ca="1">C63-C66</f>
        <v>1468002</v>
      </c>
      <c r="D67" s="117" t="s">
        <v>41</v>
      </c>
      <c r="E67" s="118"/>
      <c r="F67" s="1017"/>
      <c r="G67" s="1017"/>
      <c r="H67" s="2240"/>
      <c r="I67" s="2187"/>
      <c r="J67" s="2913"/>
      <c r="K67" s="2758" t="s">
        <v>1887</v>
      </c>
      <c r="L67" s="1838">
        <f ca="1">IF(M49&gt;=10000,(8.25+(M49-10000)*0.01%),IF(AND(M49&gt;=8000,M49&lt;10000),(7.85+(M49-8000)*0.02%),IF(AND(M49&gt;=5000,M49&lt;8000),(6.65+(M49-5000)*0.04%),IF(AND(M49&gt;=2000,M49&lt;5000),(4.25+(PM49-2000)*0.08%),IF(AND(M49&gt;=1000,M49&lt;2000),(2.75+(M49-1000)*0.15%),IF(AND(M49&gt;=100,M49&lt;1000),(0.5+(M49-100)*0.25%),IF(AND(M49&gt;0,M49&lt;100),M49*0.5%)))))))</f>
        <v>665.73820000000001</v>
      </c>
      <c r="M67" s="14">
        <f ca="1">ROUND(L67*0.9,1)</f>
        <v>599.20000000000005</v>
      </c>
      <c r="N67" s="1839"/>
      <c r="O67" s="1839"/>
      <c r="P67" s="1839"/>
    </row>
    <row r="68" spans="1:35" ht="13.8" thickBot="1">
      <c r="A68" s="125" t="s">
        <v>46</v>
      </c>
      <c r="B68" s="126" t="s">
        <v>1888</v>
      </c>
      <c r="C68" s="127">
        <f ca="1">IF(C67&lt;=0,0,ROUND(C67*D68,0))</f>
        <v>82208</v>
      </c>
      <c r="D68" s="128">
        <f>'数据-取费表'!E29</f>
        <v>5.6000000000000001E-2</v>
      </c>
      <c r="E68" s="129"/>
      <c r="F68" s="1017"/>
      <c r="G68" s="1017"/>
      <c r="H68" s="2240"/>
      <c r="I68" s="2187"/>
      <c r="J68" s="2913"/>
      <c r="K68" s="2758" t="s">
        <v>1889</v>
      </c>
      <c r="L68" s="1838">
        <f ca="1">IF(M49&gt;10000,M49*0.5%,IF(AND(M49&gt;5000,M49&lt;=10000),M49*1%,IF(AND(M49&gt;1000,M49&lt;=5000),M49*2%,IF(AND(M49&gt;200,M49&lt;=1000),M49*3%,M49*5%))))</f>
        <v>32924.410000000003</v>
      </c>
      <c r="M68" s="14">
        <f ca="1">ROUND(L68,1)</f>
        <v>32924.400000000001</v>
      </c>
      <c r="N68" s="1839"/>
      <c r="O68" s="1839"/>
      <c r="P68" s="1839"/>
    </row>
    <row r="69" spans="1:35" s="2214" customFormat="1" ht="7.5" customHeight="1">
      <c r="A69" s="2266"/>
      <c r="B69" s="2267"/>
      <c r="C69" s="2268"/>
      <c r="D69" s="2269"/>
      <c r="E69" s="2270"/>
      <c r="F69" s="1017"/>
      <c r="G69" s="1017"/>
      <c r="H69" s="2240"/>
      <c r="I69" s="2187"/>
      <c r="J69" s="2913"/>
      <c r="K69" s="2758" t="s">
        <v>1890</v>
      </c>
      <c r="L69" s="2271"/>
      <c r="M69" s="14">
        <f ca="1">ROUND(SUM(M63:M68),0)</f>
        <v>105958</v>
      </c>
      <c r="N69" s="1835">
        <f ca="1">M69/M49</f>
        <v>1.6091100797250429E-2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08" t="s">
        <v>1891</v>
      </c>
      <c r="B70" s="2909"/>
      <c r="C70" s="2909"/>
      <c r="D70" s="2909"/>
      <c r="E70" s="2909"/>
      <c r="F70" s="2909"/>
      <c r="G70" s="2909"/>
      <c r="H70" s="290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10" t="s">
        <v>1871</v>
      </c>
      <c r="B71" s="291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6271316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4751738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4714110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4803314</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891" t="s">
        <v>1901</v>
      </c>
      <c r="F76" s="2889"/>
      <c r="G76" s="2889"/>
      <c r="H76" s="2904"/>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139525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37628</v>
      </c>
      <c r="D78" s="145">
        <f>'数据-取费表'!E31</f>
        <v>6.000000000000001E-3</v>
      </c>
      <c r="E78" s="2905" t="s">
        <v>1906</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1519578</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0.31979414689951341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455873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08" t="s">
        <v>1910</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10" t="s">
        <v>1871</v>
      </c>
      <c r="B84" s="291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6271316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37628</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05" t="s">
        <v>1918</v>
      </c>
      <c r="F91" s="2906"/>
      <c r="G91" s="2906"/>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05" t="s">
        <v>1921</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37628</v>
      </c>
      <c r="D93" s="145">
        <f>'数据-取费表'!E31</f>
        <v>6.000000000000001E-3</v>
      </c>
      <c r="E93" s="2905" t="s">
        <v>1906</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05" t="s">
        <v>1923</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6233688</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165.666206016796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3727043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hidden="1" customHeight="1" thickBot="1">
      <c r="A98" s="2243" t="s">
        <v>1924</v>
      </c>
      <c r="B98" s="2187"/>
      <c r="C98" s="2187"/>
      <c r="D98" s="2187"/>
      <c r="E98" s="1017"/>
      <c r="F98" s="1017"/>
      <c r="G98" s="1017"/>
      <c r="H98" s="2240"/>
      <c r="I98" s="2187"/>
    </row>
    <row r="99" spans="1:35" ht="15.6" hidden="1">
      <c r="A99" s="2924" t="s">
        <v>1925</v>
      </c>
      <c r="B99" s="2925"/>
      <c r="C99" s="2925"/>
      <c r="D99" s="2926"/>
      <c r="E99" s="2187"/>
      <c r="F99" s="2927" t="s">
        <v>1926</v>
      </c>
      <c r="G99" s="2928"/>
      <c r="H99" s="2928"/>
      <c r="I99" s="2929"/>
    </row>
    <row r="100" spans="1:35" ht="15.6" hidden="1">
      <c r="A100" s="2930" t="s">
        <v>1927</v>
      </c>
      <c r="B100" s="2931"/>
      <c r="C100" s="719" t="str">
        <f>C4</f>
        <v>比较法-办公</v>
      </c>
      <c r="D100" s="720" t="str">
        <f>D4</f>
        <v>收益法</v>
      </c>
      <c r="E100" s="2187"/>
      <c r="F100" s="2932" t="s">
        <v>1928</v>
      </c>
      <c r="G100" s="2933"/>
      <c r="H100" s="2932" t="s">
        <v>1929</v>
      </c>
      <c r="I100" s="2915"/>
    </row>
    <row r="101" spans="1:35" ht="15.6" hidden="1">
      <c r="A101" s="2918" t="s">
        <v>1930</v>
      </c>
      <c r="B101" s="2282" t="str">
        <f>IF(H19="元","总价（元）","总价（万元）")</f>
        <v>总价（元）</v>
      </c>
      <c r="C101" s="719">
        <f ca="1">C19</f>
        <v>4974051</v>
      </c>
      <c r="D101" s="720">
        <f ca="1">D19</f>
        <v>5444273</v>
      </c>
      <c r="E101" s="2187"/>
      <c r="F101" s="2932" t="str">
        <f>项目基本情况!I1</f>
        <v>北京市海淀区花园东路15号9层2901至2903、2905至2907共6套办公用房房地产</v>
      </c>
      <c r="G101" s="2933"/>
      <c r="H101" s="2914">
        <f>项目基本情况!C12</f>
        <v>1134.33</v>
      </c>
      <c r="I101" s="2915"/>
    </row>
    <row r="102" spans="1:35" ht="15.6" hidden="1">
      <c r="A102" s="2918"/>
      <c r="B102" s="2282" t="s">
        <v>1931</v>
      </c>
      <c r="C102" s="721">
        <f ca="1">C20</f>
        <v>33037</v>
      </c>
      <c r="D102" s="722">
        <f ca="1">D20</f>
        <v>36160</v>
      </c>
      <c r="E102" s="2187"/>
      <c r="F102" s="2916" t="s">
        <v>1932</v>
      </c>
      <c r="G102" s="2917"/>
      <c r="H102" s="2283" t="str">
        <f>C106</f>
        <v>总价（元）</v>
      </c>
      <c r="I102" s="1856">
        <f ca="1">H121</f>
        <v>39246684</v>
      </c>
    </row>
    <row r="103" spans="1:35" ht="15.6" hidden="1">
      <c r="A103" s="2918" t="s">
        <v>1933</v>
      </c>
      <c r="B103" s="2284" t="str">
        <f>B101</f>
        <v>总价（元）</v>
      </c>
      <c r="C103" s="723">
        <f ca="1">H121</f>
        <v>39246684</v>
      </c>
      <c r="D103" s="724"/>
      <c r="E103" s="2187"/>
      <c r="F103" s="2916"/>
      <c r="G103" s="2917"/>
      <c r="H103" s="2283" t="s">
        <v>1931</v>
      </c>
      <c r="I103" s="1045">
        <f ca="1">I121</f>
        <v>34599</v>
      </c>
    </row>
    <row r="104" spans="1:35" ht="16.2" hidden="1" thickBot="1">
      <c r="A104" s="2919"/>
      <c r="B104" s="2285" t="s">
        <v>1931</v>
      </c>
      <c r="C104" s="725">
        <f ca="1">I121</f>
        <v>34599</v>
      </c>
      <c r="D104" s="726"/>
      <c r="E104" s="2187"/>
      <c r="F104" s="2920"/>
      <c r="G104" s="2921"/>
      <c r="H104" s="2922"/>
      <c r="I104" s="2923"/>
    </row>
    <row r="105" spans="1:35" ht="15.6" hidden="1">
      <c r="A105" s="2924" t="s">
        <v>1934</v>
      </c>
      <c r="B105" s="2925"/>
      <c r="C105" s="2925"/>
      <c r="D105" s="2926"/>
      <c r="E105" s="2187"/>
      <c r="F105" s="2934" t="s">
        <v>1935</v>
      </c>
      <c r="G105" s="2935"/>
      <c r="H105" s="2286" t="str">
        <f>C108</f>
        <v>总额（元）</v>
      </c>
      <c r="I105" s="1856">
        <f>SUMIF(I106:I108,"&lt;9E307")</f>
        <v>0</v>
      </c>
    </row>
    <row r="106" spans="1:35" ht="15.6" hidden="1">
      <c r="A106" s="2936" t="s">
        <v>1936</v>
      </c>
      <c r="B106" s="2937"/>
      <c r="C106" s="2283" t="str">
        <f>B101</f>
        <v>总价（元）</v>
      </c>
      <c r="D106" s="1046">
        <f ca="1">H121</f>
        <v>39246684</v>
      </c>
      <c r="E106" s="2187"/>
      <c r="F106" s="2938" t="s">
        <v>1937</v>
      </c>
      <c r="G106" s="2939"/>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hidden="1">
      <c r="A107" s="2936"/>
      <c r="B107" s="2937"/>
      <c r="C107" s="2283" t="s">
        <v>1931</v>
      </c>
      <c r="D107" s="1047">
        <f ca="1">I121</f>
        <v>34599</v>
      </c>
      <c r="E107" s="2187"/>
      <c r="F107" s="2938" t="s">
        <v>1938</v>
      </c>
      <c r="G107" s="2939"/>
      <c r="H107" s="2286" t="str">
        <f>C110</f>
        <v>总额（元）</v>
      </c>
      <c r="I107" s="1045">
        <f>C37</f>
        <v>0</v>
      </c>
      <c r="K107" s="2287"/>
    </row>
    <row r="108" spans="1:35" ht="15.6" hidden="1">
      <c r="A108" s="2940" t="s">
        <v>1939</v>
      </c>
      <c r="B108" s="2941"/>
      <c r="C108" s="2286" t="str">
        <f>IF(H19="元","总额（元）","总额（万元）")</f>
        <v>总额（元）</v>
      </c>
      <c r="D108" s="1046">
        <f>IF(D36="正常操作",I106+I107+I108,I107+I108)</f>
        <v>0</v>
      </c>
      <c r="E108" s="2187"/>
      <c r="F108" s="2938" t="s">
        <v>1940</v>
      </c>
      <c r="G108" s="2939"/>
      <c r="H108" s="2286" t="str">
        <f>C111</f>
        <v>总额（元）</v>
      </c>
      <c r="I108" s="1045">
        <f>C38</f>
        <v>0</v>
      </c>
    </row>
    <row r="109" spans="1:35" ht="15.6" hidden="1">
      <c r="A109" s="2938" t="s">
        <v>1937</v>
      </c>
      <c r="B109" s="2939"/>
      <c r="C109" s="2286" t="str">
        <f>C108</f>
        <v>总额（元）</v>
      </c>
      <c r="D109" s="2759">
        <f>IF(D36="同一抵押权人同一抵押物续贷",C36&amp;"（未扣减，详见特别提示）",C36)</f>
        <v>0</v>
      </c>
      <c r="E109" s="2187"/>
      <c r="F109" s="2920"/>
      <c r="G109" s="2921"/>
      <c r="H109" s="2951"/>
      <c r="I109" s="2952"/>
    </row>
    <row r="110" spans="1:35" ht="28.5" hidden="1" customHeight="1">
      <c r="A110" s="2938" t="s">
        <v>1938</v>
      </c>
      <c r="B110" s="2939"/>
      <c r="C110" s="2286" t="str">
        <f>C108</f>
        <v>总额（元）</v>
      </c>
      <c r="D110" s="2759">
        <f>C37</f>
        <v>0</v>
      </c>
      <c r="E110" s="2187"/>
      <c r="F110" s="2942" t="str">
        <f>IF(项目基本情况!F5="已注销","——","3.房地产抵押价值")</f>
        <v>3.房地产抵押价值</v>
      </c>
      <c r="G110" s="2943"/>
      <c r="H110" s="2288" t="str">
        <f>C112</f>
        <v>总价（元）</v>
      </c>
      <c r="I110" s="1857">
        <f ca="1">IF(F110="——","——",I102-I105)</f>
        <v>39246684</v>
      </c>
    </row>
    <row r="111" spans="1:35" ht="15.6" hidden="1">
      <c r="A111" s="2938" t="s">
        <v>1940</v>
      </c>
      <c r="B111" s="2939"/>
      <c r="C111" s="2286" t="str">
        <f>C108</f>
        <v>总额（元）</v>
      </c>
      <c r="D111" s="2759">
        <f>C38</f>
        <v>0</v>
      </c>
      <c r="E111" s="2187"/>
      <c r="F111" s="2944"/>
      <c r="G111" s="2945"/>
      <c r="H111" s="2283" t="s">
        <v>1931</v>
      </c>
      <c r="I111" s="2289">
        <f ca="1">D113</f>
        <v>34599</v>
      </c>
    </row>
    <row r="112" spans="1:35" ht="26.25" hidden="1" customHeight="1">
      <c r="A112" s="2936" t="str">
        <f>IF(项目基本情况!F5="已注销","——","3.房地产抵押价值")</f>
        <v>3.房地产抵押价值</v>
      </c>
      <c r="B112" s="2937"/>
      <c r="C112" s="2283" t="str">
        <f>B101</f>
        <v>总价（元）</v>
      </c>
      <c r="D112" s="1046">
        <f ca="1">IF(A112="——","——",D106-D108)</f>
        <v>39246684</v>
      </c>
      <c r="E112" s="2187"/>
      <c r="F112" s="2942" t="str">
        <f>IF(项目基本情况!F5="已注销及未注销","4.抵押担保权已注销时的房地产抵押价值",IF(项目基本情况!F5="已注销","3.抵押担保权已注销时的房地产抵押价值","——"))</f>
        <v>——</v>
      </c>
      <c r="G112" s="2943"/>
      <c r="H112" s="2288" t="str">
        <f>C114</f>
        <v>总价（元）</v>
      </c>
      <c r="I112" s="1857" t="str">
        <f>IF(F112="——","——",I102-I107-I108)</f>
        <v>——</v>
      </c>
    </row>
    <row r="113" spans="1:15" ht="15.6" hidden="1">
      <c r="A113" s="2936"/>
      <c r="B113" s="2937"/>
      <c r="C113" s="2283" t="s">
        <v>1931</v>
      </c>
      <c r="D113" s="1047">
        <f ca="1">ROUND(IF(D112=D106,D107,IF(H19="元",D112/项目基本情况!C12,D112*10000/项目基本情况!C12)),0)</f>
        <v>34599</v>
      </c>
      <c r="E113" s="2187"/>
      <c r="F113" s="2944"/>
      <c r="G113" s="2945"/>
      <c r="H113" s="2283" t="s">
        <v>1931</v>
      </c>
      <c r="I113" s="2290" t="str">
        <f>D115</f>
        <v>——</v>
      </c>
    </row>
    <row r="114" spans="1:15" ht="15.6" hidden="1">
      <c r="A114" s="2936" t="str">
        <f>IF(项目基本情况!F5="已注销及未注销","4.抵押担保权已注销时的房地产抵押价值",IF(项目基本情况!F5="已注销","3.抵押担保权已注销时的房地产抵押价值","——"))</f>
        <v>——</v>
      </c>
      <c r="B114" s="2937"/>
      <c r="C114" s="2283" t="str">
        <f>B101</f>
        <v>总价（元）</v>
      </c>
      <c r="D114" s="1046" t="str">
        <f>IF(A114="——","——",D106-D110-D111)</f>
        <v>——</v>
      </c>
      <c r="E114" s="2187"/>
      <c r="F114" s="2942" t="str">
        <f>IF(项目基本情况!G5="抵押净值",IF(OR(项目基本情况!F5="已注销",项目基本情况!F5="房地产抵押价值"),"4.抵押净值","5.抵押净值"),"——")</f>
        <v>——</v>
      </c>
      <c r="G114" s="2943"/>
      <c r="H114" s="2283" t="str">
        <f>C116</f>
        <v>总价（元）</v>
      </c>
      <c r="I114" s="1856" t="str">
        <f>IF(F114="——","——",N59)</f>
        <v>——</v>
      </c>
    </row>
    <row r="115" spans="1:15" ht="16.2" hidden="1" thickBot="1">
      <c r="A115" s="2936"/>
      <c r="B115" s="2937"/>
      <c r="C115" s="2283" t="s">
        <v>1931</v>
      </c>
      <c r="D115" s="1047" t="str">
        <f>IF(A114="——","——",ROUND(IF(D114=D106,D107,IF(H19="元",D114/项目基本情况!C12,D114*10000/项目基本情况!C12)),0))</f>
        <v>——</v>
      </c>
      <c r="E115" s="2187"/>
      <c r="F115" s="2946"/>
      <c r="G115" s="2947"/>
      <c r="H115" s="2291" t="s">
        <v>1931</v>
      </c>
      <c r="I115" s="1858" t="str">
        <f ca="1">D117</f>
        <v>——</v>
      </c>
    </row>
    <row r="116" spans="1:15" ht="15.6" hidden="1">
      <c r="A116" s="2936" t="str">
        <f>IF(项目基本情况!G5="抵押净值",IF(OR(项目基本情况!F5="已注销",项目基本情况!F5="房地产抵押价值"),"4.抵押净值","5.抵押净值"),"——")</f>
        <v>——</v>
      </c>
      <c r="B116" s="2937"/>
      <c r="C116" s="2283" t="str">
        <f>B101</f>
        <v>总价（元）</v>
      </c>
      <c r="D116" s="1046" t="str">
        <f>IF(A116="——","——",N59)</f>
        <v>——</v>
      </c>
      <c r="E116" s="2187"/>
      <c r="F116" s="2950"/>
      <c r="G116" s="2950"/>
      <c r="H116" s="2953"/>
      <c r="I116" s="2953"/>
      <c r="N116" s="55"/>
      <c r="O116" s="55"/>
    </row>
    <row r="117" spans="1:15" ht="16.2" hidden="1" thickBot="1">
      <c r="A117" s="2948"/>
      <c r="B117" s="2949"/>
      <c r="C117" s="2291" t="s">
        <v>1931</v>
      </c>
      <c r="D117" s="1048" t="str">
        <f ca="1">IF(D116=D112,D113,IF(A116="——","——",N61))</f>
        <v>——</v>
      </c>
      <c r="E117" s="2187"/>
      <c r="F117" s="2954" t="str">
        <f>IF(B32="总价","（以上估价结果中单价为总价除以建筑面积得出）","（以上估价结果中总价为楼面单价乘以建筑面积得出）")</f>
        <v>（以上估价结果中总价为楼面单价乘以建筑面积得出）</v>
      </c>
      <c r="G117" s="2954"/>
      <c r="H117" s="2954"/>
      <c r="I117" s="2954"/>
      <c r="N117" s="55"/>
      <c r="O117" s="55"/>
    </row>
    <row r="118" spans="1:15" ht="14.4" hidden="1">
      <c r="A118" s="2955" t="s">
        <v>1941</v>
      </c>
      <c r="B118" s="2956"/>
      <c r="C118" s="2956"/>
      <c r="D118" s="2956"/>
      <c r="E118" s="2956"/>
      <c r="F118" s="2956"/>
      <c r="G118" s="2956"/>
      <c r="H118" s="2956"/>
      <c r="I118" s="2956"/>
    </row>
    <row r="119" spans="1:15" ht="13.8" hidden="1">
      <c r="A119" s="2957" t="s">
        <v>1942</v>
      </c>
      <c r="B119" s="2958" t="s">
        <v>1943</v>
      </c>
      <c r="C119" s="2958" t="s">
        <v>1944</v>
      </c>
      <c r="D119" s="2960" t="s">
        <v>1945</v>
      </c>
      <c r="E119" s="2961"/>
      <c r="F119" s="2865" t="s">
        <v>1804</v>
      </c>
      <c r="G119" s="2865"/>
      <c r="H119" s="2865" t="s">
        <v>1946</v>
      </c>
      <c r="I119" s="2962"/>
    </row>
    <row r="120" spans="1:15" ht="14.4" hidden="1">
      <c r="A120" s="2957"/>
      <c r="B120" s="2959"/>
      <c r="C120" s="2959"/>
      <c r="D120" s="2746" t="s">
        <v>1947</v>
      </c>
      <c r="E120" s="2746" t="s">
        <v>1948</v>
      </c>
      <c r="F120" s="2746" t="s">
        <v>1947</v>
      </c>
      <c r="G120" s="2746" t="s">
        <v>1949</v>
      </c>
      <c r="H120" s="2746" t="s">
        <v>1947</v>
      </c>
      <c r="I120" s="2759" t="s">
        <v>1949</v>
      </c>
    </row>
    <row r="121" spans="1:15" ht="96.6" hidden="1">
      <c r="A121" s="2745" t="str">
        <f>项目基本情况!I1</f>
        <v>北京市海淀区花园东路15号9层2901至2903、2905至2907共6套办公用房房地产</v>
      </c>
      <c r="B121" s="2746">
        <f>项目基本情况!C12</f>
        <v>1134.33</v>
      </c>
      <c r="C121" s="2746">
        <f>项目基本情况!C13</f>
        <v>0</v>
      </c>
      <c r="D121" s="2746">
        <f ca="1">ROUND(IF(B32="总价",C34,IF('数据-取费表'!B3="万元",E121*B121/10000,E121*B121)),0)</f>
        <v>34576647</v>
      </c>
      <c r="E121" s="2746">
        <f ca="1">ROUND(IF(B32="楼面单价",C34,IF(H19="元",D121/B121,D121*10000/B121)),0)</f>
        <v>30482</v>
      </c>
      <c r="F121" s="2746">
        <f ca="1">ROUND(IF(B32="总价",C35,IF('数据-取费表'!B3="万元",G121*B121/10000,G121*B121)),0)</f>
        <v>4670037</v>
      </c>
      <c r="G121" s="2746">
        <f ca="1">ROUND(IF(B32="楼面单价",C35,IF(H19="元",F121/B121,F121*10000/B121)),0)</f>
        <v>4117</v>
      </c>
      <c r="H121" s="2746">
        <f ca="1">ROUND(IF(B32="总价",C32,IF('数据-取费表'!B3="万元",I121*B121/10000,I121*B121)),0)</f>
        <v>39246684</v>
      </c>
      <c r="I121" s="2759">
        <f ca="1">ROUND(IF(B32="楼面单价",C32,IF(H19="元",H121/B121,H121*10000/B121)),0)</f>
        <v>34599</v>
      </c>
    </row>
    <row r="122" spans="1:15" ht="13.8" hidden="1">
      <c r="A122" s="2957" t="s">
        <v>1950</v>
      </c>
      <c r="B122" s="2865"/>
      <c r="C122" s="2865"/>
      <c r="D122" s="2974" t="str">
        <f ca="1">IF(H19="元",NUMBERSTRING(INT(D121),2)&amp;"元整",NUMBERSTRING(INT(D121*10000),2)&amp;"元整")</f>
        <v>叁仟肆佰伍拾柒万陆仟陆佰肆拾柒元整</v>
      </c>
      <c r="E122" s="2975"/>
      <c r="F122" s="2974" t="str">
        <f ca="1">IF(H19="元",NUMBERSTRING(INT(F121),2)&amp;"元整",NUMBERSTRING(INT(F121*10000),2)&amp;"元整")</f>
        <v>肆佰陆拾柒万零叁拾柒元整</v>
      </c>
      <c r="G122" s="2975"/>
      <c r="H122" s="2974" t="str">
        <f ca="1">IF(H19="元",NUMBERSTRING(INT(H121),2)&amp;"元整",NUMBERSTRING(INT(H121*10000),2)&amp;"元整")</f>
        <v>叁仟玖佰贰拾肆万陆仟陆佰捌拾肆元整</v>
      </c>
      <c r="I122" s="2976"/>
    </row>
    <row r="123" spans="1:15" ht="13.8" hidden="1">
      <c r="A123" s="2977" t="str">
        <f>IF(项目基本情况!D5="房地产市场价值","——",MID(A108,3,LEN(A108)-2))</f>
        <v>估价师所知悉的法定优先受偿款</v>
      </c>
      <c r="B123" s="2972"/>
      <c r="C123" s="2978"/>
      <c r="D123" s="2971">
        <f>I105</f>
        <v>0</v>
      </c>
      <c r="E123" s="2972"/>
      <c r="F123" s="2972"/>
      <c r="G123" s="2972"/>
      <c r="H123" s="2972"/>
      <c r="I123" s="2973"/>
    </row>
    <row r="124" spans="1:15" ht="13.8" hidden="1">
      <c r="A124" s="2963" t="s">
        <v>1950</v>
      </c>
      <c r="B124" s="2964"/>
      <c r="C124" s="2965"/>
      <c r="D124" s="2966">
        <f>H109</f>
        <v>0</v>
      </c>
      <c r="E124" s="2967"/>
      <c r="F124" s="2967"/>
      <c r="G124" s="2967"/>
      <c r="H124" s="2967"/>
      <c r="I124" s="2968"/>
    </row>
    <row r="125" spans="1:15" ht="13.8" hidden="1">
      <c r="A125" s="2969" t="str">
        <f>IF(项目基本情况!D5="房地产市场价值","——",MID(A112,3,LEN(A112)-2))</f>
        <v>房地产抵押价值</v>
      </c>
      <c r="B125" s="2970"/>
      <c r="C125" s="2970"/>
      <c r="D125" s="2971">
        <f ca="1">I110</f>
        <v>39246684</v>
      </c>
      <c r="E125" s="2972"/>
      <c r="F125" s="2972"/>
      <c r="G125" s="2972"/>
      <c r="H125" s="2972"/>
      <c r="I125" s="2973"/>
    </row>
    <row r="126" spans="1:15" ht="13.8" hidden="1">
      <c r="A126" s="2957" t="s">
        <v>1950</v>
      </c>
      <c r="B126" s="2865"/>
      <c r="C126" s="2865"/>
      <c r="D126" s="2966">
        <f ca="1">I111</f>
        <v>34599</v>
      </c>
      <c r="E126" s="2967"/>
      <c r="F126" s="2967"/>
      <c r="G126" s="2967"/>
      <c r="H126" s="2967"/>
      <c r="I126" s="2968"/>
    </row>
    <row r="127" spans="1:15" ht="14.4" hidden="1" thickBot="1">
      <c r="A127" s="2969" t="str">
        <f>IF(项目基本情况!D5="房地产市场价值","——",MID(A114,3,LEN(A114)-2))</f>
        <v/>
      </c>
      <c r="B127" s="2970"/>
      <c r="C127" s="2970"/>
      <c r="D127" s="2985" t="str">
        <f>I112</f>
        <v>——</v>
      </c>
      <c r="E127" s="2986"/>
      <c r="F127" s="2986"/>
      <c r="G127" s="2986"/>
      <c r="H127" s="2986"/>
      <c r="I127" s="2987"/>
    </row>
    <row r="128" spans="1:15" ht="15" hidden="1" thickTop="1" thickBot="1">
      <c r="A128" s="2957" t="s">
        <v>1950</v>
      </c>
      <c r="B128" s="2865"/>
      <c r="C128" s="2988"/>
      <c r="D128" s="2989" t="str">
        <f>I113</f>
        <v>——</v>
      </c>
      <c r="E128" s="2989"/>
      <c r="F128" s="2989"/>
      <c r="G128" s="2989"/>
      <c r="H128" s="2989"/>
      <c r="I128" s="2989"/>
    </row>
    <row r="129" spans="1:9" ht="15" hidden="1" thickTop="1" thickBot="1">
      <c r="A129" s="2969" t="str">
        <f>IF(项目基本情况!D5="房地产市场价值","——",MID(F114,3,LEN(F114)-2))</f>
        <v/>
      </c>
      <c r="B129" s="2970"/>
      <c r="C129" s="2971"/>
      <c r="D129" s="2990" t="str">
        <f>I114</f>
        <v>——</v>
      </c>
      <c r="E129" s="2990"/>
      <c r="F129" s="2990"/>
      <c r="G129" s="2990"/>
      <c r="H129" s="2990"/>
      <c r="I129" s="2990"/>
    </row>
    <row r="130" spans="1:9" ht="15" hidden="1" thickTop="1" thickBot="1">
      <c r="A130" s="2979" t="s">
        <v>1950</v>
      </c>
      <c r="B130" s="2980"/>
      <c r="C130" s="2980"/>
      <c r="D130" s="2981">
        <f>H116</f>
        <v>0</v>
      </c>
      <c r="E130" s="2982"/>
      <c r="F130" s="2982"/>
      <c r="G130" s="2982"/>
      <c r="H130" s="2982"/>
      <c r="I130" s="2983"/>
    </row>
    <row r="131" spans="1:9" ht="13.2" hidden="1">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hidden="1"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hidden="1" customHeight="1">
      <c r="A133" s="2292" t="s">
        <v>1951</v>
      </c>
      <c r="B133" s="2293"/>
      <c r="C133" s="2294" t="s">
        <v>1952</v>
      </c>
      <c r="D133" s="2295"/>
      <c r="E133" s="2295"/>
      <c r="F133" s="2295"/>
      <c r="G133" s="2295"/>
      <c r="H133" s="2296"/>
      <c r="I133" s="2297"/>
    </row>
    <row r="134" spans="1:9" ht="21.75" hidden="1" customHeight="1">
      <c r="A134" s="2298">
        <v>1</v>
      </c>
      <c r="B134" s="2299"/>
      <c r="C134" s="2299"/>
      <c r="D134" s="2295"/>
      <c r="E134" s="2295"/>
      <c r="F134" s="2295"/>
      <c r="G134" s="2295"/>
      <c r="H134" s="2296"/>
      <c r="I134" s="2297"/>
    </row>
    <row r="135" spans="1:9" ht="21.75" hidden="1" customHeight="1">
      <c r="A135" s="2298">
        <v>2</v>
      </c>
      <c r="B135" s="2299"/>
      <c r="C135" s="2299"/>
      <c r="D135" s="2295"/>
      <c r="E135" s="2295"/>
      <c r="F135" s="2295"/>
      <c r="G135" s="2295"/>
      <c r="H135" s="2296"/>
      <c r="I135" s="2297"/>
    </row>
    <row r="136" spans="1:9" ht="21.75" hidden="1" customHeight="1">
      <c r="A136" s="2298">
        <v>3</v>
      </c>
      <c r="B136" s="2299"/>
      <c r="C136" s="2299"/>
      <c r="D136" s="2295"/>
      <c r="E136" s="2295"/>
      <c r="F136" s="55"/>
      <c r="G136" s="55"/>
      <c r="H136" s="55"/>
      <c r="I136" s="55"/>
    </row>
    <row r="137" spans="1:9" ht="21.75" hidden="1" customHeight="1">
      <c r="A137" s="2300"/>
      <c r="B137" s="2301"/>
      <c r="C137" s="2301"/>
      <c r="D137" s="2302"/>
      <c r="E137" s="2302"/>
      <c r="F137" s="2302"/>
      <c r="G137" s="2302"/>
      <c r="H137" s="2303"/>
      <c r="I137" s="2304"/>
    </row>
    <row r="138" spans="1:9" ht="21.75" hidden="1" customHeight="1">
      <c r="A138" s="2299"/>
      <c r="B138" s="2299"/>
      <c r="C138" s="2299"/>
      <c r="D138" s="2295"/>
      <c r="E138" s="2295"/>
      <c r="F138" s="2295"/>
      <c r="G138" s="2295"/>
      <c r="H138" s="2296"/>
      <c r="I138" s="797"/>
    </row>
    <row r="139" spans="1:9" ht="21.75" hidden="1" customHeight="1">
      <c r="A139" s="797"/>
      <c r="B139" s="797"/>
      <c r="C139" s="797"/>
      <c r="D139" s="797"/>
      <c r="E139" s="797"/>
      <c r="F139" s="2305" t="s">
        <v>1953</v>
      </c>
      <c r="G139" s="2306"/>
      <c r="H139" s="2306"/>
      <c r="I139" s="2307" t="s">
        <v>1954</v>
      </c>
    </row>
    <row r="140" spans="1:9" ht="21.75" hidden="1" customHeight="1">
      <c r="A140" s="797"/>
      <c r="B140" s="2308" t="s">
        <v>1955</v>
      </c>
      <c r="C140" s="797"/>
      <c r="D140" s="797"/>
      <c r="E140" s="797"/>
      <c r="F140" s="797"/>
      <c r="G140" s="797"/>
      <c r="H140" s="797"/>
      <c r="I140" s="797"/>
    </row>
    <row r="141" spans="1:9" ht="21.75" hidden="1" customHeight="1">
      <c r="A141" s="797"/>
      <c r="B141" s="797"/>
      <c r="C141" s="797"/>
      <c r="D141" s="797"/>
      <c r="E141" s="797"/>
      <c r="F141" s="797"/>
      <c r="G141" s="797"/>
      <c r="H141" s="797"/>
      <c r="I141" s="797"/>
    </row>
    <row r="142" spans="1:9" ht="21.75" hidden="1" customHeight="1">
      <c r="A142" s="797"/>
      <c r="B142" s="2306"/>
      <c r="C142" s="2306"/>
      <c r="D142" s="2306"/>
      <c r="E142" s="2306"/>
      <c r="F142" s="2306"/>
      <c r="G142" s="2306"/>
      <c r="H142" s="2306"/>
      <c r="I142" s="2307" t="s">
        <v>1956</v>
      </c>
    </row>
    <row r="143" spans="1:9" ht="21.75" hidden="1" customHeight="1">
      <c r="A143" s="797"/>
      <c r="B143" s="2308" t="s">
        <v>1957</v>
      </c>
      <c r="C143" s="797"/>
      <c r="D143" s="797"/>
      <c r="E143" s="797"/>
      <c r="F143" s="797"/>
      <c r="G143" s="797"/>
      <c r="H143" s="797"/>
      <c r="I143" s="797"/>
    </row>
    <row r="144" spans="1:9" ht="21.75" hidden="1" customHeight="1">
      <c r="A144" s="797"/>
      <c r="B144" s="2308"/>
      <c r="C144" s="797"/>
      <c r="D144" s="797"/>
      <c r="E144" s="797"/>
      <c r="F144" s="797"/>
      <c r="G144" s="797"/>
      <c r="H144" s="797"/>
      <c r="I144" s="797"/>
    </row>
    <row r="145" spans="1:35" ht="21.75" hidden="1" customHeight="1">
      <c r="A145" s="797"/>
      <c r="B145" s="2306"/>
      <c r="C145" s="2306"/>
      <c r="D145" s="2306"/>
      <c r="E145" s="2306"/>
      <c r="F145" s="2306"/>
      <c r="G145" s="2306"/>
      <c r="H145" s="2306"/>
      <c r="I145" s="2307" t="s">
        <v>1956</v>
      </c>
    </row>
    <row r="146" spans="1:35" ht="21.75" hidden="1"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130:C130"/>
    <mergeCell ref="D130:I130"/>
    <mergeCell ref="A132:I132"/>
    <mergeCell ref="A127:C127"/>
    <mergeCell ref="D127:I127"/>
    <mergeCell ref="A128:C128"/>
    <mergeCell ref="D128:I128"/>
    <mergeCell ref="A129:C129"/>
    <mergeCell ref="D129:I129"/>
    <mergeCell ref="A125:C125"/>
    <mergeCell ref="D125:I125"/>
    <mergeCell ref="A126:C126"/>
    <mergeCell ref="D126:I126"/>
    <mergeCell ref="A122:C122"/>
    <mergeCell ref="D122:E122"/>
    <mergeCell ref="F122:G122"/>
    <mergeCell ref="H122:I122"/>
    <mergeCell ref="A123:C123"/>
    <mergeCell ref="D123:I123"/>
    <mergeCell ref="A118:I118"/>
    <mergeCell ref="A119:A120"/>
    <mergeCell ref="B119:B120"/>
    <mergeCell ref="C119:C120"/>
    <mergeCell ref="D119:E119"/>
    <mergeCell ref="F119:G119"/>
    <mergeCell ref="H119:I119"/>
    <mergeCell ref="A124:C124"/>
    <mergeCell ref="D124:I124"/>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05:D105"/>
    <mergeCell ref="F105:G105"/>
    <mergeCell ref="A106:B107"/>
    <mergeCell ref="F106:G106"/>
    <mergeCell ref="F107:G107"/>
    <mergeCell ref="A108:B108"/>
    <mergeCell ref="F108:G108"/>
    <mergeCell ref="A101:A102"/>
    <mergeCell ref="F101:G101"/>
    <mergeCell ref="H101:I101"/>
    <mergeCell ref="F102:G103"/>
    <mergeCell ref="A103:A104"/>
    <mergeCell ref="F104:G104"/>
    <mergeCell ref="H104:I104"/>
    <mergeCell ref="E93:H93"/>
    <mergeCell ref="E94:H94"/>
    <mergeCell ref="A99:D99"/>
    <mergeCell ref="F99:I99"/>
    <mergeCell ref="A100:B100"/>
    <mergeCell ref="F100:G100"/>
    <mergeCell ref="H100:I100"/>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95" priority="9" stopIfTrue="1" operator="equal">
      <formula>25</formula>
    </cfRule>
  </conditionalFormatting>
  <conditionalFormatting sqref="C8:C9">
    <cfRule type="cellIs" dxfId="194" priority="8" stopIfTrue="1" operator="equal">
      <formula>15</formula>
    </cfRule>
  </conditionalFormatting>
  <conditionalFormatting sqref="C14:C16">
    <cfRule type="cellIs" dxfId="193" priority="7" stopIfTrue="1" operator="equal">
      <formula>30</formula>
    </cfRule>
  </conditionalFormatting>
  <conditionalFormatting sqref="D5:D7">
    <cfRule type="cellIs" dxfId="192" priority="6" stopIfTrue="1" operator="equal">
      <formula>25</formula>
    </cfRule>
  </conditionalFormatting>
  <conditionalFormatting sqref="D8:D9">
    <cfRule type="cellIs" dxfId="191" priority="5" stopIfTrue="1" operator="equal">
      <formula>15</formula>
    </cfRule>
  </conditionalFormatting>
  <conditionalFormatting sqref="C10:D13">
    <cfRule type="cellIs" dxfId="190" priority="4" stopIfTrue="1" operator="equal">
      <formula>15</formula>
    </cfRule>
  </conditionalFormatting>
  <conditionalFormatting sqref="D14:D16">
    <cfRule type="cellIs" dxfId="189" priority="3" stopIfTrue="1" operator="equal">
      <formula>30</formula>
    </cfRule>
  </conditionalFormatting>
  <conditionalFormatting sqref="C90">
    <cfRule type="expression" dxfId="188" priority="2" stopIfTrue="1">
      <formula>$H$88&lt;&gt;"仅含出让金"</formula>
    </cfRule>
  </conditionalFormatting>
  <conditionalFormatting sqref="C91">
    <cfRule type="expression" dxfId="187" priority="1" stopIfTrue="1">
      <formula>$H$91="由企业提供"</formula>
    </cfRule>
  </conditionalFormatting>
  <dataValidations count="15">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6" sqref="E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1998</v>
      </c>
      <c r="B1" s="1316"/>
      <c r="C1" s="162"/>
      <c r="D1" s="162"/>
      <c r="E1" s="162"/>
      <c r="F1" s="162"/>
      <c r="G1" s="163"/>
    </row>
    <row r="2" spans="1:7" s="164" customFormat="1" ht="18" customHeight="1">
      <c r="A2" s="165" t="s">
        <v>1999</v>
      </c>
      <c r="B2" s="166">
        <f ca="1">IF(D2="——",IF(C2="元",C52,ROUND(C52/10000,0)),IF(C2="元",C52,ROUND(C52/10000,0))-E2)</f>
        <v>6583612</v>
      </c>
      <c r="C2" s="163" t="str">
        <f>'数据-取费表'!B3</f>
        <v>元</v>
      </c>
      <c r="D2" s="2325" t="s">
        <v>1248</v>
      </c>
      <c r="E2" s="1540" t="e">
        <f ca="1">SUMIF(INDIRECT("'"&amp;G2&amp;"'"&amp;"!A:A"),"承租人权益价值",INDIRECT("'"&amp;G2&amp;"'"&amp;"!c:c"))</f>
        <v>#REF!</v>
      </c>
      <c r="F2" s="2326" t="str">
        <f>C2</f>
        <v>元</v>
      </c>
      <c r="G2" s="1899"/>
    </row>
    <row r="3" spans="1:7" s="164" customFormat="1" ht="18" customHeight="1" thickBot="1">
      <c r="A3" s="167" t="s">
        <v>2000</v>
      </c>
      <c r="B3" s="168">
        <f ca="1">ROUND(C52/IF(B1="仅计算典型户型",'数据-取费表'!E5,'数据-取费表'!B5),0)</f>
        <v>5804</v>
      </c>
      <c r="C3" s="163" t="s">
        <v>2001</v>
      </c>
      <c r="D3" s="163"/>
      <c r="E3" s="163"/>
      <c r="F3" s="163"/>
      <c r="G3" s="163"/>
    </row>
    <row r="4" spans="1:7" s="172" customFormat="1" ht="16.2">
      <c r="A4" s="169" t="s">
        <v>2002</v>
      </c>
      <c r="B4" s="170"/>
      <c r="C4" s="170"/>
      <c r="D4" s="170"/>
      <c r="E4" s="170"/>
      <c r="F4" s="170"/>
      <c r="G4" s="171"/>
    </row>
    <row r="5" spans="1:7" s="175" customFormat="1" ht="13.5" customHeight="1">
      <c r="A5" s="204" t="s">
        <v>2003</v>
      </c>
      <c r="B5" s="173" t="s">
        <v>2004</v>
      </c>
      <c r="C5" s="195">
        <f>C6+C7+C8</f>
        <v>1030500</v>
      </c>
      <c r="D5" s="195" t="s">
        <v>2005</v>
      </c>
      <c r="E5" s="1526" t="s">
        <v>2006</v>
      </c>
      <c r="F5" s="1526" t="s">
        <v>2007</v>
      </c>
      <c r="G5" s="174"/>
    </row>
    <row r="6" spans="1:7" s="175" customFormat="1" ht="13.5" customHeight="1">
      <c r="A6" s="176" t="s">
        <v>2008</v>
      </c>
      <c r="B6" s="177" t="s">
        <v>2009</v>
      </c>
      <c r="C6" s="1525">
        <v>1000000</v>
      </c>
      <c r="D6" s="1527"/>
      <c r="E6" s="1528"/>
      <c r="F6" s="1528"/>
      <c r="G6" s="179"/>
    </row>
    <row r="7" spans="1:7" s="175" customFormat="1" ht="13.5" customHeight="1">
      <c r="A7" s="176" t="s">
        <v>2010</v>
      </c>
      <c r="B7" s="177" t="s">
        <v>2011</v>
      </c>
      <c r="C7" s="199">
        <f>ROUND(C6*F7,0)</f>
        <v>30500</v>
      </c>
      <c r="D7" s="199"/>
      <c r="E7" s="1528"/>
      <c r="F7" s="1529">
        <f>'数据-取费表'!E36+'数据-取费表'!E37</f>
        <v>3.0499999999999999E-2</v>
      </c>
      <c r="G7" s="179"/>
    </row>
    <row r="8" spans="1:7" s="180" customFormat="1">
      <c r="A8" s="176" t="s">
        <v>2012</v>
      </c>
      <c r="B8" s="177" t="s">
        <v>2013</v>
      </c>
      <c r="C8" s="199">
        <f>IF(G8="已包含在土地购买价格中","0",'数据-取费表'!E13)</f>
        <v>0</v>
      </c>
      <c r="D8" s="1530"/>
      <c r="E8" s="199"/>
      <c r="F8" s="1529"/>
      <c r="G8" s="2327"/>
    </row>
    <row r="9" spans="1:7" s="175" customFormat="1" ht="13.5" customHeight="1">
      <c r="A9" s="1299" t="s">
        <v>949</v>
      </c>
      <c r="B9" s="181" t="s">
        <v>2014</v>
      </c>
      <c r="C9" s="1531">
        <f>ROUND(D9*E9,0)</f>
        <v>0</v>
      </c>
      <c r="D9" s="1532">
        <f>IF('数据-取费表'!B10="住宅",IF(B1="仅计算典型户型",'数据-取费表'!E5,'数据-取费表'!B5),0)</f>
        <v>0</v>
      </c>
      <c r="E9" s="1531">
        <f>'数据-取费表'!E11</f>
        <v>0</v>
      </c>
      <c r="F9" s="1529"/>
      <c r="G9" s="182"/>
    </row>
    <row r="10" spans="1:7" s="175" customFormat="1" ht="13.5" customHeight="1">
      <c r="A10" s="1299" t="s">
        <v>950</v>
      </c>
      <c r="B10" s="181" t="s">
        <v>2015</v>
      </c>
      <c r="C10" s="1531">
        <f>ROUND(D10*E10,0)</f>
        <v>226866</v>
      </c>
      <c r="D10" s="1532">
        <f>IF('数据-取费表'!B10&lt;&gt;"住宅",IF(B1="仅计算典型户型",'数据-取费表'!E5,'数据-取费表'!B5),0)</f>
        <v>1134.33</v>
      </c>
      <c r="E10" s="1531">
        <f>'数据-取费表'!E12</f>
        <v>200</v>
      </c>
      <c r="F10" s="1529"/>
      <c r="G10" s="182"/>
    </row>
    <row r="11" spans="1:7" s="175" customFormat="1" ht="13.5" hidden="1" customHeight="1">
      <c r="A11" s="176" t="s">
        <v>4</v>
      </c>
      <c r="B11" s="177" t="s">
        <v>2016</v>
      </c>
      <c r="C11" s="195"/>
      <c r="D11" s="199"/>
      <c r="E11" s="1528"/>
      <c r="F11" s="1528"/>
      <c r="G11" s="179"/>
    </row>
    <row r="12" spans="1:7" s="175" customFormat="1" ht="13.5" hidden="1" customHeight="1">
      <c r="A12" s="176" t="s">
        <v>5</v>
      </c>
      <c r="B12" s="177" t="s">
        <v>2017</v>
      </c>
      <c r="C12" s="195">
        <v>0</v>
      </c>
      <c r="D12" s="199"/>
      <c r="E12" s="1533"/>
      <c r="F12" s="1529">
        <v>3.0499999999999999E-2</v>
      </c>
      <c r="G12" s="179"/>
    </row>
    <row r="13" spans="1:7" s="175" customFormat="1" ht="13.5" hidden="1" customHeight="1">
      <c r="A13" s="176" t="s">
        <v>6</v>
      </c>
      <c r="B13" s="177" t="s">
        <v>2018</v>
      </c>
      <c r="C13" s="195"/>
      <c r="D13" s="199"/>
      <c r="E13" s="1528"/>
      <c r="F13" s="1528"/>
      <c r="G13" s="179"/>
    </row>
    <row r="14" spans="1:7" s="175" customFormat="1" ht="13.5" hidden="1" customHeight="1">
      <c r="A14" s="176" t="s">
        <v>7</v>
      </c>
      <c r="B14" s="177" t="s">
        <v>2013</v>
      </c>
      <c r="C14" s="195"/>
      <c r="D14" s="199"/>
      <c r="E14" s="1528"/>
      <c r="F14" s="1528"/>
      <c r="G14" s="179" t="s">
        <v>2019</v>
      </c>
    </row>
    <row r="15" spans="1:7" s="175" customFormat="1" ht="13.5" hidden="1" customHeight="1">
      <c r="A15" s="176" t="s">
        <v>8</v>
      </c>
      <c r="B15" s="177" t="s">
        <v>2020</v>
      </c>
      <c r="C15" s="199"/>
      <c r="D15" s="199"/>
      <c r="E15" s="1528"/>
      <c r="F15" s="1528"/>
      <c r="G15" s="179" t="s">
        <v>2021</v>
      </c>
    </row>
    <row r="16" spans="1:7" s="175" customFormat="1" ht="13.5" hidden="1" customHeight="1">
      <c r="A16" s="176" t="s">
        <v>9</v>
      </c>
      <c r="B16" s="177" t="s">
        <v>2013</v>
      </c>
      <c r="C16" s="199"/>
      <c r="D16" s="199"/>
      <c r="E16" s="1528"/>
      <c r="F16" s="1528"/>
      <c r="G16" s="179"/>
    </row>
    <row r="17" spans="1:7" s="175" customFormat="1" ht="13.5" hidden="1" customHeight="1">
      <c r="A17" s="176" t="s">
        <v>10</v>
      </c>
      <c r="B17" s="177" t="s">
        <v>2022</v>
      </c>
      <c r="C17" s="1534"/>
      <c r="D17" s="1534"/>
      <c r="E17" s="1534"/>
      <c r="F17" s="1534"/>
      <c r="G17" s="179" t="s">
        <v>2021</v>
      </c>
    </row>
    <row r="18" spans="1:7" s="175" customFormat="1" ht="13.5" hidden="1" customHeight="1">
      <c r="A18" s="176" t="s">
        <v>11</v>
      </c>
      <c r="B18" s="177" t="s">
        <v>2023</v>
      </c>
      <c r="C18" s="199">
        <v>0</v>
      </c>
      <c r="D18" s="199"/>
      <c r="E18" s="1528"/>
      <c r="F18" s="1529">
        <v>3.0499999999999999E-2</v>
      </c>
      <c r="G18" s="179" t="s">
        <v>2024</v>
      </c>
    </row>
    <row r="19" spans="1:7" s="180" customFormat="1" ht="13.5" customHeight="1">
      <c r="A19" s="204" t="s">
        <v>2025</v>
      </c>
      <c r="B19" s="173" t="s">
        <v>2026</v>
      </c>
      <c r="C19" s="195">
        <f>IF(G19="已包含在土地取得成本中","0",ROUND(D19*E19,0))</f>
        <v>226866</v>
      </c>
      <c r="D19" s="1535">
        <f>IF(B1="仅计算典型户型",'数据-取费表'!E5,'数据-取费表'!B5)</f>
        <v>1134.33</v>
      </c>
      <c r="E19" s="195">
        <f>'数据-取费表'!E15</f>
        <v>200</v>
      </c>
      <c r="F19" s="196"/>
      <c r="G19" s="2327"/>
    </row>
    <row r="20" spans="1:7" s="175" customFormat="1" ht="13.5" customHeight="1">
      <c r="A20" s="204" t="s">
        <v>2027</v>
      </c>
      <c r="B20" s="173" t="s">
        <v>2028</v>
      </c>
      <c r="C20" s="183">
        <f>ROUND((C5+C19)*F20,0)</f>
        <v>25147</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123481</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9">
        <f ca="1">ROUND(IF('数据-取费表'!B23&lt;=1,C5*F22*'数据-取费表'!B24,C5*(POWER((1+F22),'数据-取费表'!B24)-1)),0)</f>
        <v>100223</v>
      </c>
      <c r="D23" s="188"/>
      <c r="E23" s="188"/>
      <c r="F23" s="189"/>
      <c r="G23" s="190" t="s">
        <v>2038</v>
      </c>
    </row>
    <row r="24" spans="1:7" s="175" customFormat="1" ht="13.5" customHeight="1">
      <c r="A24" s="176" t="s">
        <v>2010</v>
      </c>
      <c r="B24" s="177" t="s">
        <v>2039</v>
      </c>
      <c r="C24" s="1449">
        <f ca="1">ROUND(IF('数据-取费表'!B23&lt;=1,C19*F22*('数据-取费表'!B20/2+'数据-取费表'!B22),C19*(POWER((1+F22),('数据-取费表'!B20/2+'数据-取费表'!B22))-1)),0)</f>
        <v>22064</v>
      </c>
      <c r="D24" s="188"/>
      <c r="E24" s="188"/>
      <c r="F24" s="189"/>
      <c r="G24" s="190" t="s">
        <v>2040</v>
      </c>
    </row>
    <row r="25" spans="1:7" s="175" customFormat="1" ht="24">
      <c r="A25" s="176" t="s">
        <v>2012</v>
      </c>
      <c r="B25" s="177" t="s">
        <v>2041</v>
      </c>
      <c r="C25" s="1449">
        <f ca="1">ROUND(IF('数据-取费表'!B23&lt;=1,C20*F22*'数据-取费表'!B24/2,C20*(POWER((1+F22),'数据-取费表'!B24/2)-1)),0)</f>
        <v>1194</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6.4">
      <c r="A27" s="1300" t="s">
        <v>2045</v>
      </c>
      <c r="B27" s="194" t="s">
        <v>2046</v>
      </c>
      <c r="C27" s="195">
        <f>C28</f>
        <v>192377</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192377</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0"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1732276</v>
      </c>
      <c r="D31" s="1535"/>
      <c r="E31" s="195"/>
      <c r="F31" s="1536"/>
      <c r="G31" s="184" t="s">
        <v>2054</v>
      </c>
    </row>
    <row r="32" spans="1:7" s="172" customFormat="1" ht="16.2">
      <c r="A32" s="201" t="s">
        <v>2055</v>
      </c>
      <c r="B32" s="202"/>
      <c r="C32" s="1537"/>
      <c r="D32" s="1537"/>
      <c r="E32" s="1537"/>
      <c r="F32" s="1537"/>
      <c r="G32" s="203"/>
    </row>
    <row r="33" spans="1:7" s="175" customFormat="1" ht="13.5" customHeight="1">
      <c r="A33" s="204" t="s">
        <v>2056</v>
      </c>
      <c r="B33" s="173" t="s">
        <v>2057</v>
      </c>
      <c r="C33" s="205">
        <f>SUM(C34:C38)</f>
        <v>4415379</v>
      </c>
      <c r="D33" s="183"/>
      <c r="E33" s="1526"/>
      <c r="F33" s="191"/>
      <c r="G33" s="184"/>
    </row>
    <row r="34" spans="1:7" s="206" customFormat="1" ht="13.5" customHeight="1">
      <c r="A34" s="176" t="s">
        <v>2036</v>
      </c>
      <c r="B34" s="177" t="s">
        <v>2058</v>
      </c>
      <c r="C34" s="199">
        <f>IF(B1="仅计算典型户型",'数据-取费表'!F18,'数据-取费表'!E18)</f>
        <v>3970155</v>
      </c>
      <c r="D34" s="1527"/>
      <c r="E34" s="199"/>
      <c r="F34" s="1538" t="str">
        <f>IF('数据-取费表'!B25=0,"",'数据-取费表'!E20)</f>
        <v/>
      </c>
      <c r="G34" s="179"/>
    </row>
    <row r="35" spans="1:7" ht="13.5" customHeight="1">
      <c r="A35" s="176" t="s">
        <v>2010</v>
      </c>
      <c r="B35" s="177" t="s">
        <v>2059</v>
      </c>
      <c r="C35" s="199">
        <f>ROUND(C34*F35,0)</f>
        <v>158806</v>
      </c>
      <c r="D35" s="199"/>
      <c r="E35" s="199"/>
      <c r="F35" s="1539">
        <f>'数据-取费表'!E21</f>
        <v>0.04</v>
      </c>
      <c r="G35" s="179" t="s">
        <v>2060</v>
      </c>
    </row>
    <row r="36" spans="1:7" ht="24">
      <c r="A36" s="176" t="s">
        <v>2012</v>
      </c>
      <c r="B36" s="177" t="s">
        <v>2061</v>
      </c>
      <c r="C36" s="199">
        <f>ROUND(IF('数据-取费表'!B10="住宅",C34*F36,0),0)</f>
        <v>0</v>
      </c>
      <c r="D36" s="199"/>
      <c r="E36" s="199"/>
      <c r="F36" s="1539">
        <f>'数据-取费表'!E22</f>
        <v>0</v>
      </c>
      <c r="G36" s="207" t="s">
        <v>2062</v>
      </c>
    </row>
    <row r="37" spans="1:7" s="206" customFormat="1" ht="13.5" customHeight="1">
      <c r="A37" s="176" t="s">
        <v>2043</v>
      </c>
      <c r="B37" s="177" t="s">
        <v>2063</v>
      </c>
      <c r="C37" s="199">
        <f>ROUND(E37*D37,0)</f>
        <v>226866</v>
      </c>
      <c r="D37" s="1527">
        <f>IF(B1="仅计算典型户型",'数据-取费表'!E5,'数据-取费表'!B5)</f>
        <v>1134.33</v>
      </c>
      <c r="E37" s="199">
        <f>'数据-取费表'!E23</f>
        <v>200</v>
      </c>
      <c r="F37" s="1539"/>
      <c r="G37" s="208" t="s">
        <v>2064</v>
      </c>
    </row>
    <row r="38" spans="1:7" ht="13.5" customHeight="1">
      <c r="A38" s="176" t="s">
        <v>2065</v>
      </c>
      <c r="B38" s="177" t="s">
        <v>2066</v>
      </c>
      <c r="C38" s="199">
        <f>ROUND(C34*F38,0)</f>
        <v>59552</v>
      </c>
      <c r="D38" s="199"/>
      <c r="E38" s="199"/>
      <c r="F38" s="1539">
        <f>'数据-取费表'!E24</f>
        <v>1.4999999999999999E-2</v>
      </c>
      <c r="G38" s="179" t="s">
        <v>2060</v>
      </c>
    </row>
    <row r="39" spans="1:7" s="175" customFormat="1" ht="13.5" customHeight="1">
      <c r="A39" s="204" t="s">
        <v>2025</v>
      </c>
      <c r="B39" s="173" t="s">
        <v>2028</v>
      </c>
      <c r="C39" s="183">
        <f>ROUND(C33*F20,0)</f>
        <v>88308</v>
      </c>
      <c r="D39" s="183"/>
      <c r="E39" s="183"/>
      <c r="F39" s="187"/>
      <c r="G39" s="184" t="s">
        <v>2067</v>
      </c>
    </row>
    <row r="40" spans="1:7" s="175" customFormat="1" ht="13.5" customHeight="1">
      <c r="A40" s="204" t="s">
        <v>2027</v>
      </c>
      <c r="B40" s="173" t="s">
        <v>2031</v>
      </c>
      <c r="C40" s="1813">
        <f>F21</f>
        <v>0.02</v>
      </c>
      <c r="D40" s="186" t="s">
        <v>2068</v>
      </c>
      <c r="E40" s="183"/>
      <c r="F40" s="187"/>
      <c r="G40" s="184" t="s">
        <v>2069</v>
      </c>
    </row>
    <row r="41" spans="1:7" s="175" customFormat="1" ht="13.5" customHeight="1">
      <c r="A41" s="204" t="s">
        <v>2030</v>
      </c>
      <c r="B41" s="173" t="s">
        <v>2035</v>
      </c>
      <c r="C41" s="183">
        <f ca="1">ROUND(SUM(C42:C43),0)</f>
        <v>213926</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209731</v>
      </c>
      <c r="D42" s="188"/>
      <c r="E42" s="188"/>
      <c r="F42" s="189"/>
      <c r="G42" s="3003" t="s">
        <v>2070</v>
      </c>
    </row>
    <row r="43" spans="1:7" ht="13.5" customHeight="1">
      <c r="A43" s="176" t="s">
        <v>2010</v>
      </c>
      <c r="B43" s="177" t="s">
        <v>2039</v>
      </c>
      <c r="C43" s="188">
        <f ca="1">ROUND(IF('数据-取费表'!B23&lt;=1,C39*F22*'数据-取费表'!B22/2,C39*(POWER((1+F22),'数据-取费表'!B22/2)-1)),0)</f>
        <v>4195</v>
      </c>
      <c r="D43" s="188"/>
      <c r="E43" s="188"/>
      <c r="F43" s="189"/>
      <c r="G43" s="3004"/>
    </row>
    <row r="44" spans="1:7" ht="13.5" customHeight="1">
      <c r="A44" s="176" t="s">
        <v>2012</v>
      </c>
      <c r="B44" s="177" t="s">
        <v>2041</v>
      </c>
      <c r="C44" s="188">
        <f ca="1">ROUND(IF('数据-取费表'!B23&lt;=1,C40*F22*'数据-取费表'!B22/2,C40*(POWER((1+F22),'数据-取费表'!B22/2)-1)),4)</f>
        <v>1E-3</v>
      </c>
      <c r="D44" s="188"/>
      <c r="E44" s="188"/>
      <c r="F44" s="189"/>
      <c r="G44" s="3005"/>
    </row>
    <row r="45" spans="1:7" s="175" customFormat="1" ht="13.5" customHeight="1">
      <c r="A45" s="204" t="s">
        <v>2034</v>
      </c>
      <c r="B45" s="194" t="s">
        <v>2046</v>
      </c>
      <c r="C45" s="195">
        <f>C46</f>
        <v>675553</v>
      </c>
      <c r="D45" s="185">
        <f>C47</f>
        <v>3.0000000000000001E-3</v>
      </c>
      <c r="E45" s="186" t="s">
        <v>2068</v>
      </c>
      <c r="F45" s="196"/>
      <c r="G45" s="197" t="s">
        <v>2071</v>
      </c>
    </row>
    <row r="46" spans="1:7" s="175" customFormat="1" ht="13.5" customHeight="1">
      <c r="A46" s="176" t="s">
        <v>2036</v>
      </c>
      <c r="B46" s="198" t="s">
        <v>2072</v>
      </c>
      <c r="C46" s="199">
        <f>ROUND((C33+C39)*F27,0)</f>
        <v>675553</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0" t="s">
        <v>2045</v>
      </c>
      <c r="B48" s="173" t="s">
        <v>2074</v>
      </c>
      <c r="C48" s="1813">
        <f>ROUND(F30/(1+'数据-取费表'!F30),4)</f>
        <v>5.33E-2</v>
      </c>
      <c r="D48" s="186" t="s">
        <v>2068</v>
      </c>
      <c r="E48" s="183"/>
      <c r="F48" s="187"/>
      <c r="G48" s="184" t="s">
        <v>2075</v>
      </c>
    </row>
    <row r="49" spans="1:7" ht="16.5" customHeight="1">
      <c r="A49" s="1300" t="s">
        <v>2076</v>
      </c>
      <c r="B49" s="173" t="s">
        <v>2077</v>
      </c>
      <c r="C49" s="183">
        <f ca="1">ROUND((C33+C39+C41+C45)/(1-C40-D41-D45-C48),0)</f>
        <v>5844983</v>
      </c>
      <c r="D49" s="183"/>
      <c r="E49" s="183"/>
      <c r="F49" s="210"/>
      <c r="G49" s="184" t="s">
        <v>2078</v>
      </c>
    </row>
    <row r="50" spans="1:7" s="206" customFormat="1" ht="24">
      <c r="A50" s="1300" t="s">
        <v>2079</v>
      </c>
      <c r="B50" s="173" t="s">
        <v>2080</v>
      </c>
      <c r="C50" s="183"/>
      <c r="D50" s="183"/>
      <c r="E50" s="183"/>
      <c r="F50" s="210">
        <f>IF('数据-取费表'!B25=0,'数据-取费表'!E20,1)</f>
        <v>0.83</v>
      </c>
      <c r="G50" s="197" t="s">
        <v>2081</v>
      </c>
    </row>
    <row r="51" spans="1:7" ht="16.5" customHeight="1">
      <c r="A51" s="1300" t="s">
        <v>2082</v>
      </c>
      <c r="B51" s="173" t="s">
        <v>2083</v>
      </c>
      <c r="C51" s="183">
        <f ca="1">ROUND(C49*F50,0)</f>
        <v>4851336</v>
      </c>
      <c r="D51" s="183"/>
      <c r="E51" s="183"/>
      <c r="F51" s="210"/>
      <c r="G51" s="184" t="s">
        <v>2084</v>
      </c>
    </row>
    <row r="52" spans="1:7" s="172" customFormat="1" ht="16.8" thickBot="1">
      <c r="A52" s="211" t="s">
        <v>2085</v>
      </c>
      <c r="B52" s="212"/>
      <c r="C52" s="213">
        <f ca="1">C31+C51</f>
        <v>6583612</v>
      </c>
      <c r="D52" s="212"/>
      <c r="E52" s="212"/>
      <c r="F52" s="212"/>
      <c r="G52" s="214"/>
    </row>
    <row r="55" spans="1:7" ht="15">
      <c r="B55" s="216" t="s">
        <v>2086</v>
      </c>
      <c r="C55" s="217"/>
    </row>
    <row r="56" spans="1:7">
      <c r="B56" s="219" t="s">
        <v>2087</v>
      </c>
      <c r="C56" s="220">
        <f ca="1">ROUND(C51/C52,3)</f>
        <v>0.73699999999999999</v>
      </c>
    </row>
    <row r="57" spans="1:7">
      <c r="B57" s="219" t="s">
        <v>2088</v>
      </c>
      <c r="C57" s="221">
        <f ca="1">1-C56</f>
        <v>0.26300000000000001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6" t="s">
        <v>1296</v>
      </c>
      <c r="D1" s="1446"/>
      <c r="E1" s="1206"/>
      <c r="F1" s="1206"/>
      <c r="G1" s="1206"/>
      <c r="H1" s="1206"/>
      <c r="I1" s="1206"/>
      <c r="J1" s="1206"/>
      <c r="K1" s="1206"/>
    </row>
    <row r="2" spans="1:33" s="223" customFormat="1" ht="18" customHeight="1">
      <c r="A2" s="165" t="s">
        <v>1297</v>
      </c>
      <c r="B2" s="168">
        <f ca="1">IF(C2="元",C32,ROUND(C32/10000,0))</f>
        <v>3612054</v>
      </c>
      <c r="C2" s="1962"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23991</v>
      </c>
      <c r="C3" s="1962" t="s">
        <v>1299</v>
      </c>
      <c r="D3" s="1206"/>
      <c r="E3" s="1206"/>
      <c r="F3" s="1206"/>
      <c r="G3" s="1206"/>
      <c r="H3" s="1206"/>
      <c r="I3" s="1206"/>
      <c r="J3" s="1206"/>
      <c r="K3" s="1206"/>
    </row>
    <row r="4" spans="1:33" s="227" customFormat="1" ht="16.5" customHeight="1">
      <c r="A4" s="224" t="s">
        <v>1300</v>
      </c>
      <c r="B4" s="225"/>
      <c r="C4" s="1445">
        <f>SUM(C8:K8)</f>
        <v>5269600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150.56</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1307</v>
      </c>
      <c r="B8" s="231" t="s">
        <v>1308</v>
      </c>
      <c r="C8" s="727">
        <f>C6*C7</f>
        <v>5269600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526960</v>
      </c>
      <c r="D11" s="248"/>
      <c r="E11" s="70"/>
      <c r="F11" s="249">
        <f>1-'数据-取费表'!E20</f>
        <v>0.17000000000000004</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21078</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5119</v>
      </c>
      <c r="D14" s="248">
        <f>IF(C1="仅计算典型户型",'数据-取费表'!E5,'数据-取费表'!B5)</f>
        <v>150.56</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7904</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561061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150.56</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30112</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30112</v>
      </c>
      <c r="D20" s="248">
        <f>IF('数据-取费表'!B10&lt;&gt;"住宅",IF(C1="仅计算典型户型",'数据-取费表'!E5,'数据-取费表'!B5),0)</f>
        <v>150.56</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591173</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11823</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17917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93137</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93137</v>
      </c>
      <c r="D30" s="277"/>
      <c r="E30" s="290"/>
      <c r="F30" s="287"/>
      <c r="G30" s="231"/>
      <c r="H30" s="254"/>
      <c r="I30" s="254"/>
      <c r="J30" s="254"/>
      <c r="K30" s="255"/>
    </row>
    <row r="31" spans="1:33" s="266" customFormat="1" ht="13.5" customHeight="1" thickBot="1">
      <c r="A31" s="1964" t="s">
        <v>1356</v>
      </c>
      <c r="B31" s="261" t="s">
        <v>1357</v>
      </c>
      <c r="C31" s="291">
        <f>ROUND(C4*F31/(1+'数据-取费表'!F30),0)</f>
        <v>281045</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3612054</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2089</v>
      </c>
      <c r="B1" s="306"/>
      <c r="C1" s="729"/>
      <c r="D1" s="2688" t="s">
        <v>2852</v>
      </c>
      <c r="E1" s="2689"/>
      <c r="F1" s="2690"/>
      <c r="G1" s="2691" t="e">
        <f>MATCH(C1,'数据-取费表'!A18:A18,0)+5</f>
        <v>#N/A</v>
      </c>
      <c r="H1" s="730"/>
      <c r="I1" s="1207"/>
      <c r="J1" s="1207"/>
      <c r="K1" s="1208"/>
      <c r="L1" s="1207"/>
      <c r="M1" s="1207"/>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1999</v>
      </c>
      <c r="B2" s="764">
        <f ca="1">IF(C2="元",IF('数据-取费表'!B28="租赁期内按合同租金",C40+L47+J29,C40+L47),ROUND(IF('数据-取费表'!B28="租赁期内按合同租金",(C40+L47+J29)/10000,(C40+L47)/10000),0))</f>
        <v>5444273</v>
      </c>
      <c r="C2" s="2328" t="str">
        <f>'数据-取费表'!B3</f>
        <v>元</v>
      </c>
      <c r="D2" s="1209"/>
      <c r="E2" s="1210"/>
      <c r="F2" s="1210"/>
      <c r="G2" s="1235"/>
      <c r="H2" s="728"/>
      <c r="I2" s="1211"/>
      <c r="J2" s="1211"/>
      <c r="K2" s="1212"/>
      <c r="L2" s="1211"/>
      <c r="M2" s="1211"/>
    </row>
    <row r="3" spans="1:37" ht="18" customHeight="1" thickBot="1">
      <c r="A3" s="310" t="s">
        <v>2000</v>
      </c>
      <c r="B3" s="765">
        <f ca="1">ROUND(IF('数据-取费表'!B28="租赁期内按合同租金",(C40+L47+J29)/F43,(C40+L47)/F43),0)</f>
        <v>36160</v>
      </c>
      <c r="C3" s="2328" t="s">
        <v>2090</v>
      </c>
      <c r="D3" s="1209"/>
      <c r="E3" s="1210"/>
      <c r="F3" s="1210"/>
      <c r="G3" s="1235"/>
      <c r="H3" s="311" t="s">
        <v>2091</v>
      </c>
      <c r="I3" s="1211"/>
      <c r="J3" s="1211"/>
      <c r="K3" s="1212"/>
      <c r="L3" s="1211"/>
      <c r="M3" s="1211"/>
    </row>
    <row r="4" spans="1:37" ht="18" customHeight="1">
      <c r="A4" s="312" t="s">
        <v>2092</v>
      </c>
      <c r="B4" s="313" t="s">
        <v>2093</v>
      </c>
      <c r="C4" s="313" t="s">
        <v>2094</v>
      </c>
      <c r="D4" s="313" t="s">
        <v>2095</v>
      </c>
      <c r="E4" s="314" t="s">
        <v>2096</v>
      </c>
      <c r="F4" s="315"/>
      <c r="G4" s="1233"/>
      <c r="H4" s="312" t="s">
        <v>2092</v>
      </c>
      <c r="I4" s="313" t="s">
        <v>2093</v>
      </c>
      <c r="J4" s="313" t="s">
        <v>2094</v>
      </c>
      <c r="K4" s="313" t="s">
        <v>2095</v>
      </c>
      <c r="L4" s="314" t="s">
        <v>2096</v>
      </c>
      <c r="M4" s="315"/>
    </row>
    <row r="5" spans="1:37" ht="18" customHeight="1">
      <c r="A5" s="316">
        <v>1</v>
      </c>
      <c r="B5" s="317" t="s">
        <v>2097</v>
      </c>
      <c r="C5" s="318">
        <f ca="1">C6+C10+C12</f>
        <v>321885</v>
      </c>
      <c r="D5" s="2742" t="s">
        <v>2818</v>
      </c>
      <c r="E5" s="1209"/>
      <c r="F5" s="1377"/>
      <c r="G5" s="1233"/>
      <c r="H5" s="316">
        <v>1</v>
      </c>
      <c r="I5" s="317" t="s">
        <v>2097</v>
      </c>
      <c r="J5" s="318">
        <f ca="1">J6+J10+J12</f>
        <v>0</v>
      </c>
      <c r="K5" s="2329" t="s">
        <v>2098</v>
      </c>
      <c r="L5" s="1209"/>
      <c r="M5" s="1377"/>
    </row>
    <row r="6" spans="1:37" ht="18" customHeight="1">
      <c r="A6" s="1378" t="s">
        <v>2099</v>
      </c>
      <c r="B6" s="2016" t="s">
        <v>2100</v>
      </c>
      <c r="C6" s="318">
        <f>ROUND(F6*F8*F7*(1-F9),0)</f>
        <v>321483</v>
      </c>
      <c r="D6" s="80" t="s">
        <v>2792</v>
      </c>
      <c r="E6" s="319" t="s">
        <v>2101</v>
      </c>
      <c r="F6" s="320">
        <f>'数据-取费表'!B29</f>
        <v>6.5</v>
      </c>
      <c r="G6" s="1233"/>
      <c r="H6" s="1378" t="s">
        <v>2099</v>
      </c>
      <c r="I6" s="2016" t="s">
        <v>2100</v>
      </c>
      <c r="J6" s="318">
        <f>ROUND(M6*M8*M7*(1-M9),0)</f>
        <v>0</v>
      </c>
      <c r="K6" s="80" t="s">
        <v>2792</v>
      </c>
      <c r="L6" s="319" t="s">
        <v>2101</v>
      </c>
      <c r="M6" s="320">
        <f>'数据-取费表'!B36</f>
        <v>0</v>
      </c>
    </row>
    <row r="7" spans="1:37" ht="18" customHeight="1">
      <c r="A7" s="1441"/>
      <c r="B7" s="322"/>
      <c r="C7" s="323"/>
      <c r="D7" s="324"/>
      <c r="E7" s="319" t="s">
        <v>2102</v>
      </c>
      <c r="F7" s="320">
        <f>IF('数据-取费表'!B41="",IF(D1="仅计算典型户型",'数据-取费表'!E5,'数据-取费表'!B5),'数据-取费表'!B41)</f>
        <v>150.56</v>
      </c>
      <c r="G7" s="1233"/>
      <c r="H7" s="321"/>
      <c r="I7" s="322"/>
      <c r="J7" s="323"/>
      <c r="K7" s="324"/>
      <c r="L7" s="319" t="s">
        <v>2102</v>
      </c>
      <c r="M7" s="320">
        <f>IF('数据-取费表'!B41="",IF(D1="仅计算典型户型",'数据-取费表'!E5,'数据-取费表'!B5),'数据-取费表'!B41)</f>
        <v>150.56</v>
      </c>
    </row>
    <row r="8" spans="1:37" ht="18" customHeight="1">
      <c r="A8" s="1441"/>
      <c r="B8" s="322"/>
      <c r="C8" s="323"/>
      <c r="D8" s="324"/>
      <c r="E8" s="319" t="s">
        <v>2103</v>
      </c>
      <c r="F8" s="320">
        <f>'数据-取费表'!B42</f>
        <v>365</v>
      </c>
      <c r="G8" s="1233"/>
      <c r="H8" s="321"/>
      <c r="I8" s="322"/>
      <c r="J8" s="323"/>
      <c r="K8" s="324"/>
      <c r="L8" s="319" t="s">
        <v>2104</v>
      </c>
      <c r="M8" s="320">
        <f>'数据-取费表'!B42</f>
        <v>365</v>
      </c>
    </row>
    <row r="9" spans="1:37" ht="18" customHeight="1">
      <c r="A9" s="1441"/>
      <c r="B9" s="322"/>
      <c r="C9" s="323"/>
      <c r="D9" s="328"/>
      <c r="E9" s="319" t="s">
        <v>2105</v>
      </c>
      <c r="F9" s="329">
        <f>'数据-取费表'!B32</f>
        <v>0.1</v>
      </c>
      <c r="G9" s="1233"/>
      <c r="H9" s="321"/>
      <c r="I9" s="322"/>
      <c r="J9" s="1380"/>
      <c r="K9" s="95"/>
      <c r="L9" s="330" t="s">
        <v>2105</v>
      </c>
      <c r="M9" s="329">
        <f>'数据-取费表'!B38</f>
        <v>0</v>
      </c>
    </row>
    <row r="10" spans="1:37" ht="18" customHeight="1">
      <c r="A10" s="1378" t="s">
        <v>2106</v>
      </c>
      <c r="B10" s="2330" t="s">
        <v>2107</v>
      </c>
      <c r="C10" s="1379">
        <f ca="1">ROUND(IF(F10="押一",C6/12*F11,IF(F10="押二",C6/12*2*F11,IF(F10="押三",C6/12*3*F11,C11*F11))),0)</f>
        <v>402</v>
      </c>
      <c r="D10" s="2331" t="s">
        <v>2800</v>
      </c>
      <c r="E10" s="330" t="s">
        <v>2108</v>
      </c>
      <c r="F10" s="2332" t="s">
        <v>2109</v>
      </c>
      <c r="G10" s="1233"/>
      <c r="H10" s="1378" t="s">
        <v>2106</v>
      </c>
      <c r="I10" s="2330" t="s">
        <v>2107</v>
      </c>
      <c r="J10" s="1379">
        <f ca="1">ROUND(IF(M10="押一",J6/12*M11,IF(M10="押二",J6/12*2*M11,IF(M10="押三",J6/12*3*M11,J11*M11))),0)</f>
        <v>0</v>
      </c>
      <c r="K10" s="80" t="s">
        <v>2800</v>
      </c>
      <c r="L10" s="330" t="s">
        <v>2108</v>
      </c>
      <c r="M10" s="2332"/>
    </row>
    <row r="11" spans="1:37" s="341" customFormat="1" ht="18" customHeight="1">
      <c r="A11" s="348"/>
      <c r="B11" s="2333" t="s">
        <v>2110</v>
      </c>
      <c r="C11" s="1412"/>
      <c r="D11" s="324"/>
      <c r="E11" s="330" t="s">
        <v>2111</v>
      </c>
      <c r="F11" s="331">
        <f ca="1">'数据-取费表'!B30</f>
        <v>1.4999999999999999E-2</v>
      </c>
      <c r="G11" s="1234"/>
      <c r="H11" s="325"/>
      <c r="I11" s="2333" t="s">
        <v>2112</v>
      </c>
      <c r="J11" s="1412"/>
      <c r="K11" s="324"/>
      <c r="L11" s="330" t="s">
        <v>2111</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2113</v>
      </c>
      <c r="B12" s="2334" t="s">
        <v>2114</v>
      </c>
      <c r="C12" s="1419"/>
      <c r="D12" s="2335"/>
      <c r="E12" s="1425"/>
      <c r="F12" s="1420"/>
      <c r="G12" s="1233"/>
      <c r="H12" s="1418" t="s">
        <v>2113</v>
      </c>
      <c r="I12" s="2334" t="s">
        <v>2114</v>
      </c>
      <c r="J12" s="1419"/>
      <c r="K12" s="1435"/>
      <c r="L12" s="1425"/>
      <c r="M12" s="1436"/>
    </row>
    <row r="13" spans="1:37" s="341" customFormat="1" ht="18" customHeight="1" thickTop="1">
      <c r="A13" s="1414">
        <v>2</v>
      </c>
      <c r="B13" s="1415" t="s">
        <v>2115</v>
      </c>
      <c r="C13" s="327">
        <f ca="1">ROUND(C29*F13,0)</f>
        <v>643919</v>
      </c>
      <c r="D13" s="1416" t="s">
        <v>2116</v>
      </c>
      <c r="E13" s="1416" t="s">
        <v>2117</v>
      </c>
      <c r="F13" s="1417">
        <f>'数据-取费表'!E20</f>
        <v>0.83</v>
      </c>
      <c r="G13" s="1234"/>
      <c r="H13" s="1414">
        <v>2</v>
      </c>
      <c r="I13" s="1415" t="s">
        <v>2115</v>
      </c>
      <c r="J13" s="1380">
        <f ca="1">ROUND(J14*J15,0)</f>
        <v>0</v>
      </c>
      <c r="K13" s="1421" t="s">
        <v>2116</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2118</v>
      </c>
      <c r="B14" s="319" t="s">
        <v>2119</v>
      </c>
      <c r="C14" s="338">
        <f>IF(D1="仅计算典型户型",'数据-取费表'!F18,'数据-取费表'!E18)</f>
        <v>526960</v>
      </c>
      <c r="D14" s="1881" t="s">
        <v>2120</v>
      </c>
      <c r="E14" s="1882"/>
      <c r="F14" s="974"/>
      <c r="G14" s="1234"/>
      <c r="H14" s="337" t="s">
        <v>2099</v>
      </c>
      <c r="I14" s="319" t="s">
        <v>2121</v>
      </c>
      <c r="J14" s="14">
        <f ca="1">C29</f>
        <v>775806</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2122</v>
      </c>
      <c r="B15" s="319" t="s">
        <v>2123</v>
      </c>
      <c r="C15" s="14">
        <f>ROUND(C14*F15,0)</f>
        <v>21078</v>
      </c>
      <c r="D15" s="339" t="s">
        <v>2124</v>
      </c>
      <c r="E15" s="339" t="s">
        <v>2125</v>
      </c>
      <c r="F15" s="340">
        <f>'数据-取费表'!E21</f>
        <v>0.04</v>
      </c>
      <c r="G15" s="1233"/>
      <c r="H15" s="1424" t="s">
        <v>2126</v>
      </c>
      <c r="I15" s="1425" t="s">
        <v>2127</v>
      </c>
      <c r="J15" s="1437">
        <f>'数据-取费表'!B39</f>
        <v>0</v>
      </c>
      <c r="K15" s="1438"/>
      <c r="L15" s="1439"/>
      <c r="M15" s="1440"/>
    </row>
    <row r="16" spans="1:37" s="341" customFormat="1" ht="18" customHeight="1" thickTop="1">
      <c r="A16" s="337" t="s">
        <v>2128</v>
      </c>
      <c r="B16" s="319" t="s">
        <v>2129</v>
      </c>
      <c r="C16" s="14">
        <f>ROUND(C14*F16,0)</f>
        <v>0</v>
      </c>
      <c r="D16" s="319" t="s">
        <v>2124</v>
      </c>
      <c r="E16" s="319" t="s">
        <v>2125</v>
      </c>
      <c r="F16" s="342">
        <f>IF('数据-取费表'!B10="住宅",'数据-取费表'!E22,0)</f>
        <v>0</v>
      </c>
      <c r="G16" s="1234"/>
      <c r="H16" s="1414" t="s">
        <v>14</v>
      </c>
      <c r="I16" s="1415" t="s">
        <v>2130</v>
      </c>
      <c r="J16" s="327">
        <f ca="1">ROUND(J17+J22+J23+J24,0)</f>
        <v>22033</v>
      </c>
      <c r="K16" s="1421" t="s">
        <v>2131</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2132</v>
      </c>
      <c r="B17" s="319" t="s">
        <v>2133</v>
      </c>
      <c r="C17" s="14">
        <f>ROUND(F17*IF(D1="仅计算典型户型",'数据-取费表'!E5,'数据-取费表'!B5),0)</f>
        <v>30112</v>
      </c>
      <c r="D17" s="319" t="s">
        <v>2134</v>
      </c>
      <c r="E17" s="319" t="s">
        <v>2135</v>
      </c>
      <c r="F17" s="16">
        <f>'数据-取费表'!E23</f>
        <v>200</v>
      </c>
      <c r="G17" s="1234"/>
      <c r="H17" s="337" t="s">
        <v>2136</v>
      </c>
      <c r="I17" s="319" t="s">
        <v>2137</v>
      </c>
      <c r="J17" s="14">
        <f ca="1">ROUND(IF(项目基本情况!B7="自然人",J6*M17/(1+'数据-取费表'!F30),J18+J19+J20),0)</f>
        <v>6517</v>
      </c>
      <c r="K17" s="1881" t="s">
        <v>2138</v>
      </c>
      <c r="L17" s="1886" t="s">
        <v>2139</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2140</v>
      </c>
      <c r="B18" s="319" t="s">
        <v>2141</v>
      </c>
      <c r="C18" s="14">
        <f>ROUND(C14*F18,0)</f>
        <v>7904</v>
      </c>
      <c r="D18" s="319" t="s">
        <v>2124</v>
      </c>
      <c r="E18" s="319" t="s">
        <v>2125</v>
      </c>
      <c r="F18" s="342">
        <f>'数据-取费表'!E24</f>
        <v>1.4999999999999999E-2</v>
      </c>
      <c r="G18" s="1233"/>
      <c r="H18" s="337" t="s">
        <v>2142</v>
      </c>
      <c r="I18" s="319" t="s">
        <v>2143</v>
      </c>
      <c r="J18" s="14">
        <f>IF(项目基本情况!B7="自然人","——",ROUND(J6*M18/(1+'数据-取费表'!F30),0))</f>
        <v>0</v>
      </c>
      <c r="K18" s="1886" t="s">
        <v>2820</v>
      </c>
      <c r="L18" s="319" t="s">
        <v>2125</v>
      </c>
      <c r="M18" s="342">
        <f>'数据-取费表'!E29</f>
        <v>5.6000000000000001E-2</v>
      </c>
    </row>
    <row r="19" spans="1:37" s="341" customFormat="1" ht="18" customHeight="1">
      <c r="A19" s="337" t="s">
        <v>2136</v>
      </c>
      <c r="B19" s="319" t="s">
        <v>2144</v>
      </c>
      <c r="C19" s="14">
        <f>SUM(C14:C18)</f>
        <v>586054</v>
      </c>
      <c r="D19" s="56" t="s">
        <v>2145</v>
      </c>
      <c r="E19" s="1891"/>
      <c r="F19" s="16"/>
      <c r="G19" s="1234"/>
      <c r="H19" s="337" t="s">
        <v>2122</v>
      </c>
      <c r="I19" s="319" t="s">
        <v>2146</v>
      </c>
      <c r="J19" s="14">
        <f ca="1">IF(项目基本情况!B7="自然人","——",IF(K19="按租金收入计税",ROUND(J6*M19/(1+'数据-取费表'!F30),0),ROUND(C29*M19*0.7,0)))</f>
        <v>6517</v>
      </c>
      <c r="K19" s="2005" t="s">
        <v>2147</v>
      </c>
      <c r="L19" s="319" t="s">
        <v>2125</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2106</v>
      </c>
      <c r="B20" s="319" t="s">
        <v>2148</v>
      </c>
      <c r="C20" s="14">
        <f>ROUND(C19*F20,0)</f>
        <v>11721</v>
      </c>
      <c r="D20" s="344" t="s">
        <v>2149</v>
      </c>
      <c r="E20" s="319" t="s">
        <v>2150</v>
      </c>
      <c r="F20" s="342">
        <f>'数据-取费表'!E25</f>
        <v>0.02</v>
      </c>
      <c r="G20" s="1234"/>
      <c r="H20" s="337" t="s">
        <v>2128</v>
      </c>
      <c r="I20" s="80" t="s">
        <v>2151</v>
      </c>
      <c r="J20" s="15">
        <f>IF(项目基本情况!B7="自然人","——",ROUND(M20*M21,0))</f>
        <v>0</v>
      </c>
      <c r="K20" s="346" t="s">
        <v>2152</v>
      </c>
      <c r="L20" s="319" t="s">
        <v>2153</v>
      </c>
      <c r="M20" s="347">
        <f>'数据-取费表'!E40</f>
        <v>3</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2154</v>
      </c>
      <c r="B21" s="319" t="s">
        <v>2155</v>
      </c>
      <c r="C21" s="702">
        <f>F21</f>
        <v>0.02</v>
      </c>
      <c r="D21" s="344" t="s">
        <v>2156</v>
      </c>
      <c r="E21" s="319" t="s">
        <v>2157</v>
      </c>
      <c r="F21" s="342">
        <f>'数据-取费表'!E26</f>
        <v>0.02</v>
      </c>
      <c r="G21" s="1233"/>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1"/>
      <c r="F22" s="16"/>
      <c r="G22" s="1233"/>
      <c r="H22" s="337" t="s">
        <v>2126</v>
      </c>
      <c r="I22" s="319" t="s">
        <v>2161</v>
      </c>
      <c r="J22" s="14">
        <f ca="1">ROUND(J14*M22,0)</f>
        <v>15516</v>
      </c>
      <c r="K22" s="1886" t="s">
        <v>2162</v>
      </c>
      <c r="L22" s="319" t="s">
        <v>2125</v>
      </c>
      <c r="M22" s="350">
        <f>'数据-取费表'!B44</f>
        <v>0.02</v>
      </c>
    </row>
    <row r="23" spans="1:37" ht="18" customHeight="1">
      <c r="A23" s="337" t="s">
        <v>2142</v>
      </c>
      <c r="B23" s="319" t="s">
        <v>2163</v>
      </c>
      <c r="C23" s="14">
        <f ca="1">IF('数据-取费表'!B23&lt;=1,ROUND(C19*F24*F23/2,0)+ROUND(C20*F24*F23/2,0),ROUND(C19*(POWER((1+F24),F23/2)-1),0)+ROUND(C20*(POWER((1+F24),F23/2)-1),0))</f>
        <v>28395</v>
      </c>
      <c r="D23" s="1999" t="str">
        <f>IF(F23&lt;=1,"(建造成本+管理费用)×利率×(建设周期÷2)","(建造成本+管理费用)×((1+利率)^(建设周期÷2)-1)")</f>
        <v>(建造成本+管理费用)×((1+利率)^(建设周期÷2)-1)</v>
      </c>
      <c r="E23" s="319" t="s">
        <v>2164</v>
      </c>
      <c r="F23" s="347">
        <f>'数据-取费表'!B21</f>
        <v>2</v>
      </c>
      <c r="G23" s="1233"/>
      <c r="H23" s="337" t="s">
        <v>2154</v>
      </c>
      <c r="I23" s="319" t="s">
        <v>2165</v>
      </c>
      <c r="J23" s="14">
        <f ca="1">ROUND(J13*M23,0)</f>
        <v>0</v>
      </c>
      <c r="K23" s="1886" t="s">
        <v>2166</v>
      </c>
      <c r="L23" s="319" t="s">
        <v>2167</v>
      </c>
      <c r="M23" s="351">
        <f>'数据-取费表'!B45</f>
        <v>2E-3</v>
      </c>
    </row>
    <row r="24" spans="1:37" s="341" customFormat="1" ht="18" customHeight="1" thickBot="1">
      <c r="A24" s="337" t="s">
        <v>2168</v>
      </c>
      <c r="B24" s="319" t="s">
        <v>2169</v>
      </c>
      <c r="C24" s="14">
        <f ca="1">ROUND(IF('数据-取费表'!B23&lt;=1,F21*F24*F23/2,F21*(POWER((1+F24),F23/2)-1)),4)</f>
        <v>1E-3</v>
      </c>
      <c r="D24" s="1999" t="str">
        <f>IF(F23&lt;=1,"销售费用×利率×(建设周期÷2)","销售费用×((1+利率)^(建设周期÷2)-1)")</f>
        <v>销售费用×((1+利率)^(建设周期÷2)-1)</v>
      </c>
      <c r="E24" s="319" t="s">
        <v>2170</v>
      </c>
      <c r="F24" s="352">
        <f ca="1">'数据-取费表'!E27</f>
        <v>4.7500000000000001E-2</v>
      </c>
      <c r="G24" s="1234"/>
      <c r="H24" s="1424" t="s">
        <v>2159</v>
      </c>
      <c r="I24" s="1425" t="s">
        <v>2148</v>
      </c>
      <c r="J24" s="1426">
        <f ca="1">ROUND(J5*M24,0)</f>
        <v>0</v>
      </c>
      <c r="K24" s="1427" t="s">
        <v>2171</v>
      </c>
      <c r="L24" s="1425" t="s">
        <v>2167</v>
      </c>
      <c r="M24" s="1420">
        <f>'数据-取费表'!B46</f>
        <v>0.02</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2172</v>
      </c>
      <c r="B25" s="319" t="s">
        <v>2173</v>
      </c>
      <c r="C25" s="14"/>
      <c r="D25" s="56" t="s">
        <v>2174</v>
      </c>
      <c r="E25" s="1891"/>
      <c r="F25" s="16"/>
      <c r="G25" s="1234"/>
      <c r="H25" s="1414" t="s">
        <v>22</v>
      </c>
      <c r="I25" s="1429" t="s">
        <v>2175</v>
      </c>
      <c r="J25" s="327">
        <f ca="1">J5-J16</f>
        <v>-22033</v>
      </c>
      <c r="K25" s="1430" t="s">
        <v>2176</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2118</v>
      </c>
      <c r="B26" s="319" t="s">
        <v>2177</v>
      </c>
      <c r="C26" s="14">
        <f>ROUND((C19+C20)*F26,0)</f>
        <v>89666</v>
      </c>
      <c r="D26" s="344" t="s">
        <v>2178</v>
      </c>
      <c r="E26" s="330" t="s">
        <v>2179</v>
      </c>
      <c r="F26" s="329">
        <f>'数据-取费表'!E28</f>
        <v>0.15</v>
      </c>
      <c r="G26" s="790"/>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3.0000000000000001E-3</v>
      </c>
      <c r="D27" s="344" t="s">
        <v>2185</v>
      </c>
      <c r="E27" s="339"/>
      <c r="F27" s="340"/>
      <c r="G27" s="790"/>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0"/>
      <c r="H28" s="325"/>
      <c r="I28" s="326"/>
      <c r="J28" s="327"/>
      <c r="K28" s="349"/>
      <c r="L28" s="319" t="s">
        <v>2191</v>
      </c>
      <c r="M28" s="329">
        <f>'数据-取费表'!B37</f>
        <v>0</v>
      </c>
    </row>
    <row r="29" spans="1:37" ht="18" customHeight="1" thickBot="1">
      <c r="A29" s="1424" t="s">
        <v>2192</v>
      </c>
      <c r="B29" s="1425" t="s">
        <v>2193</v>
      </c>
      <c r="C29" s="1426">
        <f ca="1">ROUND((C19+C20+C23+C26)/(1-F21-C24-C27-C28),0)</f>
        <v>775806</v>
      </c>
      <c r="D29" s="1427"/>
      <c r="E29" s="1425"/>
      <c r="F29" s="1428"/>
      <c r="G29" s="790"/>
      <c r="H29" s="356" t="s">
        <v>24</v>
      </c>
      <c r="I29" s="357" t="s">
        <v>2194</v>
      </c>
      <c r="J29" s="358">
        <f ca="1">ROUND(J26/(1+F40)^F41,0)</f>
        <v>0</v>
      </c>
      <c r="K29" s="359" t="s">
        <v>2195</v>
      </c>
      <c r="L29" s="360"/>
      <c r="M29" s="361">
        <f>IF(D1="仅计算典型户型",'数据-取费表'!E5,'数据-取费表'!B5)</f>
        <v>150.56</v>
      </c>
    </row>
    <row r="30" spans="1:37" ht="18" customHeight="1" thickTop="1">
      <c r="A30" s="1414" t="s">
        <v>14</v>
      </c>
      <c r="B30" s="1415" t="s">
        <v>2196</v>
      </c>
      <c r="C30" s="327">
        <f ca="1">ROUND(C31+C36+C37+C38,0)</f>
        <v>77129</v>
      </c>
      <c r="D30" s="1421" t="s">
        <v>2197</v>
      </c>
      <c r="E30" s="1422"/>
      <c r="F30" s="1423"/>
      <c r="G30" s="790"/>
      <c r="H30" s="1213"/>
      <c r="I30" s="1214"/>
      <c r="J30" s="1215"/>
      <c r="K30" s="1216"/>
      <c r="L30" s="1217"/>
      <c r="M30" s="1218"/>
    </row>
    <row r="31" spans="1:37" ht="18" customHeight="1">
      <c r="A31" s="337" t="s">
        <v>2099</v>
      </c>
      <c r="B31" s="319" t="s">
        <v>2137</v>
      </c>
      <c r="C31" s="14">
        <f>ROUND(IF(项目基本情况!B7="自然人",C6*F31/(1+'数据-取费表'!F30),C32+C33+C34),0)</f>
        <v>53887</v>
      </c>
      <c r="D31" s="1881" t="s">
        <v>2198</v>
      </c>
      <c r="E31" s="1886" t="s">
        <v>2199</v>
      </c>
      <c r="F31" s="343" t="str">
        <f>IF(项目基本情况!B7="企业","",IF('数据-取费表'!B10="住宅",5%,IF(F6*F7*F8/12/(1+'数据-取费表'!F30)&gt;20000,12%,7%)))</f>
        <v/>
      </c>
      <c r="G31" s="790"/>
      <c r="H31" s="1213"/>
      <c r="I31" s="1214"/>
      <c r="J31" s="1215"/>
      <c r="K31" s="1216"/>
      <c r="L31" s="1217"/>
      <c r="M31" s="1218"/>
    </row>
    <row r="32" spans="1:37" ht="18" customHeight="1">
      <c r="A32" s="337" t="s">
        <v>2118</v>
      </c>
      <c r="B32" s="319" t="s">
        <v>2200</v>
      </c>
      <c r="C32" s="14">
        <f>IF(项目基本情况!B7="自然人","——",ROUND(C6*F32/(1+'数据-取费表'!F30),0))</f>
        <v>17146</v>
      </c>
      <c r="D32" s="1886" t="s">
        <v>2819</v>
      </c>
      <c r="E32" s="319" t="s">
        <v>2150</v>
      </c>
      <c r="F32" s="352">
        <f>'数据-取费表'!E29</f>
        <v>5.6000000000000001E-2</v>
      </c>
      <c r="G32" s="790"/>
      <c r="H32" s="1219"/>
      <c r="I32" s="1220"/>
      <c r="J32" s="1221"/>
      <c r="K32" s="1222"/>
      <c r="L32" s="1223"/>
      <c r="M32" s="1224"/>
    </row>
    <row r="33" spans="1:18" ht="18" customHeight="1">
      <c r="A33" s="337" t="s">
        <v>2122</v>
      </c>
      <c r="B33" s="319" t="s">
        <v>2146</v>
      </c>
      <c r="C33" s="14">
        <f>IF(项目基本情况!B7="自然人","——",IF(D33="按租金收入计税",ROUND(C6*F33/(1+'数据-取费表'!F30),0),IF(D33="按房产原值计税",ROUND(C29*F33*0.7,0),'数据-取费表'!B43)))</f>
        <v>36741</v>
      </c>
      <c r="D33" s="2005" t="s">
        <v>2853</v>
      </c>
      <c r="E33" s="319" t="s">
        <v>2125</v>
      </c>
      <c r="F33" s="342">
        <f>IF(D33="按票据","——",IF(D33="按租金收入计税",'数据-取费表'!E39,'数据-取费表'!E38))</f>
        <v>0.12</v>
      </c>
      <c r="G33" s="790"/>
      <c r="H33" s="1225"/>
      <c r="I33" s="363" t="s">
        <v>2202</v>
      </c>
      <c r="J33" s="364"/>
      <c r="K33" s="1226"/>
      <c r="L33" s="1225"/>
      <c r="M33" s="1225"/>
    </row>
    <row r="34" spans="1:18" ht="18" customHeight="1">
      <c r="A34" s="1378" t="s">
        <v>2128</v>
      </c>
      <c r="B34" s="80" t="s">
        <v>2151</v>
      </c>
      <c r="C34" s="15">
        <f>IF(项目基本情况!B7="自然人","——",ROUND(F34*F35,0))</f>
        <v>0</v>
      </c>
      <c r="D34" s="346" t="s">
        <v>2152</v>
      </c>
      <c r="E34" s="319" t="s">
        <v>2153</v>
      </c>
      <c r="F34" s="347">
        <f>'数据-取费表'!E40</f>
        <v>3</v>
      </c>
      <c r="G34" s="790"/>
      <c r="H34" s="1213"/>
      <c r="I34" s="365" t="s">
        <v>2203</v>
      </c>
      <c r="J34" s="366">
        <f ca="1">ROUND(C13*J35,0)</f>
        <v>54733</v>
      </c>
      <c r="K34" s="1227"/>
      <c r="L34" s="1228"/>
      <c r="M34" s="1228"/>
    </row>
    <row r="35" spans="1:18" ht="24.6" customHeight="1">
      <c r="A35" s="1382"/>
      <c r="B35" s="328"/>
      <c r="C35" s="19"/>
      <c r="D35" s="349"/>
      <c r="E35" s="319" t="s">
        <v>2158</v>
      </c>
      <c r="F35" s="320">
        <f>IF(D1="仅计算典型户型",'数据-取费表'!E6,'数据-取费表'!B6)</f>
        <v>0</v>
      </c>
      <c r="G35" s="790"/>
      <c r="H35" s="1213"/>
      <c r="I35" s="367" t="s">
        <v>2204</v>
      </c>
      <c r="J35" s="368">
        <f>'数据-取费表'!B17</f>
        <v>8.5000000000000006E-2</v>
      </c>
      <c r="K35" s="1226"/>
      <c r="L35" s="1225"/>
      <c r="M35" s="1225"/>
    </row>
    <row r="36" spans="1:18" ht="18" customHeight="1">
      <c r="A36" s="1381" t="s">
        <v>2106</v>
      </c>
      <c r="B36" s="319" t="s">
        <v>2205</v>
      </c>
      <c r="C36" s="14">
        <f ca="1">ROUND(C29*F36,0)</f>
        <v>15516</v>
      </c>
      <c r="D36" s="1886" t="s">
        <v>2206</v>
      </c>
      <c r="E36" s="319" t="s">
        <v>2150</v>
      </c>
      <c r="F36" s="350">
        <f>'数据-取费表'!B44</f>
        <v>0.02</v>
      </c>
      <c r="G36" s="790"/>
      <c r="H36" s="1225"/>
      <c r="I36" s="369" t="s">
        <v>2207</v>
      </c>
      <c r="J36" s="370"/>
      <c r="K36" s="1229"/>
      <c r="L36" s="1225"/>
      <c r="M36" s="1225"/>
    </row>
    <row r="37" spans="1:18" ht="18" customHeight="1">
      <c r="A37" s="337" t="s">
        <v>2154</v>
      </c>
      <c r="B37" s="319" t="s">
        <v>2165</v>
      </c>
      <c r="C37" s="14">
        <f ca="1">ROUND(C13*F37,0)</f>
        <v>1288</v>
      </c>
      <c r="D37" s="1886" t="s">
        <v>2166</v>
      </c>
      <c r="E37" s="319" t="s">
        <v>2167</v>
      </c>
      <c r="F37" s="351">
        <f>'数据-取费表'!B45</f>
        <v>2E-3</v>
      </c>
      <c r="G37" s="790"/>
      <c r="H37" s="1225"/>
      <c r="I37" s="216" t="s">
        <v>2208</v>
      </c>
      <c r="J37" s="371"/>
      <c r="K37" s="1229"/>
      <c r="L37" s="1225"/>
      <c r="M37" s="1225"/>
    </row>
    <row r="38" spans="1:18" ht="18" customHeight="1" thickBot="1">
      <c r="A38" s="1424" t="s">
        <v>2159</v>
      </c>
      <c r="B38" s="1425" t="s">
        <v>2148</v>
      </c>
      <c r="C38" s="1426">
        <f ca="1">ROUND(C5*F38,0)</f>
        <v>6438</v>
      </c>
      <c r="D38" s="1427" t="s">
        <v>2171</v>
      </c>
      <c r="E38" s="1425" t="s">
        <v>2167</v>
      </c>
      <c r="F38" s="1420">
        <f>'数据-取费表'!B46</f>
        <v>0.02</v>
      </c>
      <c r="G38" s="790"/>
      <c r="H38" s="1225"/>
      <c r="I38" s="365" t="s">
        <v>2209</v>
      </c>
      <c r="J38" s="220">
        <f ca="1">ROUND(J34/C39,3)</f>
        <v>0.224</v>
      </c>
      <c r="K38" s="1230"/>
      <c r="L38" s="1225"/>
      <c r="M38" s="1225"/>
    </row>
    <row r="39" spans="1:18" ht="18" customHeight="1" thickTop="1">
      <c r="A39" s="1414" t="s">
        <v>22</v>
      </c>
      <c r="B39" s="1429" t="s">
        <v>2210</v>
      </c>
      <c r="C39" s="327">
        <f ca="1">C5-C30</f>
        <v>244756</v>
      </c>
      <c r="D39" s="1430" t="s">
        <v>2211</v>
      </c>
      <c r="E39" s="1431"/>
      <c r="F39" s="1432"/>
      <c r="G39" s="790"/>
      <c r="H39" s="1225"/>
      <c r="I39" s="365" t="s">
        <v>2212</v>
      </c>
      <c r="J39" s="220">
        <f ca="1">1-J38</f>
        <v>0.77600000000000002</v>
      </c>
      <c r="K39" s="1230"/>
      <c r="L39" s="1225"/>
      <c r="M39" s="1225"/>
    </row>
    <row r="40" spans="1:18" s="790" customFormat="1" ht="18" customHeight="1">
      <c r="A40" s="316" t="s">
        <v>23</v>
      </c>
      <c r="B40" s="317" t="s">
        <v>2213</v>
      </c>
      <c r="C40" s="318">
        <f ca="1">ROUND(C39*(1-((1+F42)/(1+F40))^F41)/(F40-F42),0)</f>
        <v>5432535</v>
      </c>
      <c r="D40" s="346" t="s">
        <v>2181</v>
      </c>
      <c r="E40" s="319" t="s">
        <v>2182</v>
      </c>
      <c r="F40" s="329">
        <f>'数据-取费表'!B16</f>
        <v>5.5E-2</v>
      </c>
      <c r="H40" s="1231"/>
      <c r="I40" s="216" t="s">
        <v>2214</v>
      </c>
      <c r="J40" s="217"/>
      <c r="K40" s="1230"/>
      <c r="L40" s="1231"/>
      <c r="M40" s="1231"/>
      <c r="Q40" s="794"/>
    </row>
    <row r="41" spans="1:18" s="790" customFormat="1" ht="18" customHeight="1">
      <c r="A41" s="321"/>
      <c r="B41" s="322"/>
      <c r="C41" s="323"/>
      <c r="D41" s="354" t="s">
        <v>2215</v>
      </c>
      <c r="E41" s="1819" t="s">
        <v>2803</v>
      </c>
      <c r="F41" s="355">
        <f>IF('数据-取费表'!B28="租赁期内按合同租金",'数据-取费表'!B34,IF(E41="收益年期(n)",'数据-取费表'!B33,'数据-取费表'!B13))</f>
        <v>38</v>
      </c>
      <c r="H41" s="1232"/>
      <c r="I41" s="219" t="s">
        <v>2087</v>
      </c>
      <c r="J41" s="220">
        <f ca="1">ROUND(C13/C40,3)</f>
        <v>0.11899999999999999</v>
      </c>
      <c r="K41" s="1229"/>
      <c r="L41" s="1232"/>
      <c r="M41" s="1232"/>
      <c r="Q41" s="794"/>
    </row>
    <row r="42" spans="1:18" s="790" customFormat="1" ht="18" customHeight="1">
      <c r="A42" s="325"/>
      <c r="B42" s="326"/>
      <c r="C42" s="327"/>
      <c r="D42" s="349"/>
      <c r="E42" s="319" t="s">
        <v>2191</v>
      </c>
      <c r="F42" s="329">
        <f>'数据-取费表'!B31</f>
        <v>2.5000000000000001E-2</v>
      </c>
      <c r="H42" s="1232"/>
      <c r="I42" s="219" t="s">
        <v>2088</v>
      </c>
      <c r="J42" s="221">
        <f ca="1">1-J41</f>
        <v>0.88100000000000001</v>
      </c>
      <c r="K42" s="1229"/>
      <c r="L42" s="1232"/>
      <c r="M42" s="1232"/>
      <c r="Q42" s="794"/>
    </row>
    <row r="43" spans="1:18" s="790" customFormat="1" ht="18" customHeight="1" thickBot="1">
      <c r="A43" s="356" t="s">
        <v>24</v>
      </c>
      <c r="B43" s="357" t="s">
        <v>2216</v>
      </c>
      <c r="C43" s="358">
        <f ca="1">ROUND(C40/F43,0)</f>
        <v>36082</v>
      </c>
      <c r="D43" s="359" t="s">
        <v>2217</v>
      </c>
      <c r="E43" s="360" t="s">
        <v>2218</v>
      </c>
      <c r="F43" s="361">
        <f>IF(D1="仅计算典型户型",'数据-取费表'!E5,'数据-取费表'!B5)</f>
        <v>150.56</v>
      </c>
      <c r="G43" s="792"/>
      <c r="H43" s="1232"/>
      <c r="I43" s="1232"/>
      <c r="J43" s="1232"/>
      <c r="K43" s="1229"/>
      <c r="L43" s="1232"/>
      <c r="M43" s="1232"/>
      <c r="O43" s="1355" t="s">
        <v>2219</v>
      </c>
      <c r="P43" s="1356"/>
      <c r="Q43" s="1352"/>
      <c r="R43" s="1356"/>
    </row>
    <row r="44" spans="1:18" s="790" customFormat="1" ht="18" customHeight="1" thickBot="1">
      <c r="A44" s="775"/>
      <c r="B44" s="775"/>
      <c r="C44" s="789"/>
      <c r="D44" s="775"/>
      <c r="E44" s="775"/>
      <c r="F44" s="775"/>
      <c r="G44" s="792"/>
      <c r="K44" s="791"/>
      <c r="O44" s="1357" t="s">
        <v>2220</v>
      </c>
      <c r="P44" s="1358" t="s">
        <v>2221</v>
      </c>
      <c r="Q44" s="1359" t="s">
        <v>2222</v>
      </c>
      <c r="R44" s="1360" t="s">
        <v>2223</v>
      </c>
    </row>
    <row r="45" spans="1:18" s="790" customFormat="1" ht="18" customHeight="1" thickBot="1">
      <c r="A45" s="775"/>
      <c r="B45" s="775"/>
      <c r="C45" s="789"/>
      <c r="D45" s="775"/>
      <c r="E45" s="775"/>
      <c r="F45" s="775"/>
      <c r="G45" s="793"/>
      <c r="K45" s="791"/>
      <c r="O45" s="1361" t="s">
        <v>953</v>
      </c>
      <c r="P45" s="1362" t="s">
        <v>2224</v>
      </c>
      <c r="Q45" s="1363">
        <f ca="1">C40+J29</f>
        <v>5432535</v>
      </c>
      <c r="R45" s="1364" t="s">
        <v>2225</v>
      </c>
    </row>
    <row r="46" spans="1:18" s="790" customFormat="1" ht="18" customHeight="1" thickBot="1">
      <c r="A46" s="775"/>
      <c r="D46" s="775"/>
      <c r="E46" s="775"/>
      <c r="F46" s="775"/>
      <c r="K46" s="791"/>
      <c r="O46" s="1361" t="s">
        <v>954</v>
      </c>
      <c r="P46" s="1362" t="s">
        <v>2226</v>
      </c>
      <c r="Q46" s="1363">
        <f ca="1">J61</f>
        <v>11738</v>
      </c>
      <c r="R46" s="1364" t="s">
        <v>2227</v>
      </c>
    </row>
    <row r="47" spans="1:18" s="790" customFormat="1" ht="22.2" thickBot="1">
      <c r="A47" s="2336" t="s">
        <v>2228</v>
      </c>
      <c r="C47" s="1298">
        <f ca="1">IF(C2="元",C69-C40,ROUND((C69-C40)/10000,0))</f>
        <v>-6728081</v>
      </c>
      <c r="D47" s="2337" t="str">
        <f>C2</f>
        <v>元</v>
      </c>
      <c r="E47" s="775"/>
      <c r="F47" s="775"/>
      <c r="I47" s="2338" t="s">
        <v>2229</v>
      </c>
      <c r="J47" s="1337"/>
      <c r="K47" s="1338"/>
      <c r="L47" s="1351">
        <f ca="1">IF(M48="住宅",0,IF(L49&gt;J52,L61,J61))</f>
        <v>11738</v>
      </c>
      <c r="O47" s="1365" t="s">
        <v>955</v>
      </c>
      <c r="P47" s="1362" t="s">
        <v>2230</v>
      </c>
      <c r="Q47" s="1363">
        <f ca="1">C29</f>
        <v>775806</v>
      </c>
      <c r="R47" s="1364" t="s">
        <v>2225</v>
      </c>
    </row>
    <row r="48" spans="1:18" s="790" customFormat="1" ht="16.2" thickBot="1">
      <c r="A48" s="312" t="s">
        <v>2231</v>
      </c>
      <c r="B48" s="313" t="s">
        <v>2232</v>
      </c>
      <c r="C48" s="313" t="s">
        <v>2233</v>
      </c>
      <c r="D48" s="313" t="s">
        <v>2234</v>
      </c>
      <c r="E48" s="1292" t="s">
        <v>2235</v>
      </c>
      <c r="F48" s="1293"/>
      <c r="I48" s="2339" t="s">
        <v>2236</v>
      </c>
      <c r="J48" s="2340" t="s">
        <v>2854</v>
      </c>
      <c r="K48" s="2341" t="s">
        <v>2237</v>
      </c>
      <c r="L48" s="1339">
        <f>'数据-取费表'!B11</f>
        <v>50</v>
      </c>
      <c r="M48" s="1352" t="str">
        <f>IF('数据-取费表'!B10="住宅","住宅","非住宅")</f>
        <v>非住宅</v>
      </c>
      <c r="O48" s="1365" t="s">
        <v>956</v>
      </c>
      <c r="P48" s="1362" t="s">
        <v>2238</v>
      </c>
      <c r="Q48" s="1366">
        <f>J59</f>
        <v>0.4</v>
      </c>
      <c r="R48" s="1364"/>
    </row>
    <row r="49" spans="1:18" s="790" customFormat="1" ht="16.2" thickBot="1">
      <c r="A49" s="1451" t="s">
        <v>1026</v>
      </c>
      <c r="B49" s="317" t="s">
        <v>2239</v>
      </c>
      <c r="C49" s="1452">
        <f ca="1">C50+C54+C56</f>
        <v>0</v>
      </c>
      <c r="D49" s="1453"/>
      <c r="E49" s="101"/>
      <c r="F49" s="16"/>
      <c r="I49" s="2342" t="s">
        <v>2240</v>
      </c>
      <c r="J49" s="2343" t="s">
        <v>2855</v>
      </c>
      <c r="K49" s="2344" t="s">
        <v>2241</v>
      </c>
      <c r="L49" s="1123">
        <f>'数据-取费表'!B13</f>
        <v>38</v>
      </c>
      <c r="O49" s="1365" t="s">
        <v>957</v>
      </c>
      <c r="P49" s="1362" t="s">
        <v>2242</v>
      </c>
      <c r="Q49" s="1366">
        <f>J53</f>
        <v>0.09</v>
      </c>
      <c r="R49" s="1364"/>
    </row>
    <row r="50" spans="1:18" s="790" customFormat="1" ht="16.2" thickBot="1">
      <c r="A50" s="345" t="s">
        <v>2099</v>
      </c>
      <c r="B50" s="2016" t="s">
        <v>2243</v>
      </c>
      <c r="C50" s="318">
        <f>ROUND(F50*F52*F51*(1-F53),0)</f>
        <v>0</v>
      </c>
      <c r="D50" s="93" t="s">
        <v>2793</v>
      </c>
      <c r="E50" s="2345" t="s">
        <v>2244</v>
      </c>
      <c r="F50" s="1294"/>
      <c r="I50" s="2342" t="s">
        <v>2245</v>
      </c>
      <c r="J50" s="1123">
        <f>'数据-取费表'!B26</f>
        <v>2010</v>
      </c>
      <c r="K50" s="2346" t="s">
        <v>2246</v>
      </c>
      <c r="L50" s="1340"/>
      <c r="O50" s="1365" t="s">
        <v>958</v>
      </c>
      <c r="P50" s="1362" t="s">
        <v>2247</v>
      </c>
      <c r="Q50" s="1363">
        <f>J54</f>
        <v>38</v>
      </c>
      <c r="R50" s="1364" t="s">
        <v>2248</v>
      </c>
    </row>
    <row r="51" spans="1:18" s="790" customFormat="1" ht="16.2" thickBot="1">
      <c r="A51" s="321"/>
      <c r="B51" s="322"/>
      <c r="C51" s="323"/>
      <c r="D51" s="324"/>
      <c r="E51" s="339" t="s">
        <v>2102</v>
      </c>
      <c r="F51" s="1291">
        <f>F7</f>
        <v>150.56</v>
      </c>
      <c r="I51" s="2342" t="s">
        <v>2249</v>
      </c>
      <c r="J51" s="1341">
        <f>SUMPRODUCT((I64:I66=J48)*(J63:L63=J49)*(J64:L66))</f>
        <v>60</v>
      </c>
      <c r="K51" s="2346" t="s">
        <v>2250</v>
      </c>
      <c r="L51" s="1340"/>
      <c r="O51" s="1361" t="s">
        <v>959</v>
      </c>
      <c r="P51" s="1362" t="str">
        <f>IF(C2="元","收益价值(元)","收益价值(万元)")</f>
        <v>收益价值(元)</v>
      </c>
      <c r="Q51" s="1363">
        <f ca="1">ROUND(IF(C2="元",Q45+Q46,(Q45+Q46)/10000),0)</f>
        <v>5444273</v>
      </c>
      <c r="R51" s="1364" t="s">
        <v>960</v>
      </c>
    </row>
    <row r="52" spans="1:18" s="790" customFormat="1" ht="16.2" thickBot="1">
      <c r="A52" s="321"/>
      <c r="B52" s="322"/>
      <c r="C52" s="323"/>
      <c r="D52" s="324"/>
      <c r="E52" s="319" t="s">
        <v>2104</v>
      </c>
      <c r="F52" s="320">
        <f>F8</f>
        <v>365</v>
      </c>
      <c r="I52" s="2347" t="s">
        <v>2251</v>
      </c>
      <c r="J52" s="1342">
        <f>IF(J50="",J51,J50+J51-YEAR('数据-取费表'!B2))</f>
        <v>50</v>
      </c>
      <c r="K52" s="2348" t="s">
        <v>2252</v>
      </c>
      <c r="L52" s="1343">
        <f ca="1">ROUND(-PV('数据-取费表'!B15,L49,(C40-C13*J35)),0)</f>
        <v>90712185</v>
      </c>
      <c r="O52" s="1355" t="s">
        <v>2253</v>
      </c>
      <c r="P52" s="1356"/>
      <c r="Q52" s="1352"/>
      <c r="R52" s="1356"/>
    </row>
    <row r="53" spans="1:18" s="790" customFormat="1" ht="16.2" thickBot="1">
      <c r="A53" s="325"/>
      <c r="B53" s="326"/>
      <c r="C53" s="327"/>
      <c r="D53" s="328"/>
      <c r="E53" s="319" t="s">
        <v>2105</v>
      </c>
      <c r="F53" s="1350"/>
      <c r="I53" s="2349" t="s">
        <v>2254</v>
      </c>
      <c r="J53" s="1344">
        <v>0.09</v>
      </c>
      <c r="K53" s="2349" t="s">
        <v>2255</v>
      </c>
      <c r="L53" s="1344"/>
      <c r="O53" s="1357" t="s">
        <v>2220</v>
      </c>
      <c r="P53" s="1358" t="s">
        <v>2221</v>
      </c>
      <c r="Q53" s="1359" t="s">
        <v>2222</v>
      </c>
      <c r="R53" s="1360" t="s">
        <v>2223</v>
      </c>
    </row>
    <row r="54" spans="1:18" s="790" customFormat="1" ht="29.25" customHeight="1" thickBot="1">
      <c r="A54" s="1378" t="s">
        <v>2106</v>
      </c>
      <c r="B54" s="2330" t="s">
        <v>2107</v>
      </c>
      <c r="C54" s="1379">
        <f ca="1">ROUND(IF(F54="押一",C50/12*F11,IF(F54="押二",C50/12*2*F11,IF(F54="押三",C50/12*3*F11,C55*F11))),0)</f>
        <v>0</v>
      </c>
      <c r="D54" s="2331" t="s">
        <v>2801</v>
      </c>
      <c r="E54" s="330" t="s">
        <v>2108</v>
      </c>
      <c r="F54" s="2332"/>
      <c r="I54" s="2711" t="s">
        <v>2804</v>
      </c>
      <c r="J54" s="1345">
        <f>IF(M48="住宅",IF(E1="——",MAX(J52,L49),MAX(J52,L49-'数据-取费表'!B25)),IF(E1="——",MIN(J52,L49),MIN(J52,L49-'数据-取费表'!B25)))</f>
        <v>38</v>
      </c>
      <c r="K54" s="3012" t="s">
        <v>2791</v>
      </c>
      <c r="L54" s="3013"/>
      <c r="O54" s="1361" t="s">
        <v>953</v>
      </c>
      <c r="P54" s="1362" t="s">
        <v>2224</v>
      </c>
      <c r="Q54" s="1363">
        <f ca="1">C40+J29</f>
        <v>5432535</v>
      </c>
      <c r="R54" s="1364" t="s">
        <v>2225</v>
      </c>
    </row>
    <row r="55" spans="1:18" s="790" customFormat="1" ht="19.2" thickBot="1">
      <c r="A55" s="1378"/>
      <c r="B55" s="2350" t="s">
        <v>2112</v>
      </c>
      <c r="C55" s="1412"/>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1" t="s">
        <v>954</v>
      </c>
      <c r="P55" s="1362" t="s">
        <v>2256</v>
      </c>
      <c r="Q55" s="1363">
        <f>L61</f>
        <v>0</v>
      </c>
      <c r="R55" s="1364" t="s">
        <v>2257</v>
      </c>
    </row>
    <row r="56" spans="1:18" s="790" customFormat="1" ht="19.2" thickBot="1">
      <c r="A56" s="1418" t="s">
        <v>2113</v>
      </c>
      <c r="B56" s="2334" t="s">
        <v>2114</v>
      </c>
      <c r="C56" s="1419"/>
      <c r="D56" s="1435"/>
      <c r="E56" s="2353"/>
      <c r="F56" s="1495"/>
      <c r="I56" s="2354" t="s">
        <v>2258</v>
      </c>
      <c r="J56" s="1865">
        <f>ROUND(IF(J48="钢混",J58/J51,1-(1-2%)*(J51-J58)/J51),3)</f>
        <v>0.2</v>
      </c>
      <c r="K56" s="2355" t="s">
        <v>2259</v>
      </c>
      <c r="L56" s="1346"/>
      <c r="O56" s="1365" t="s">
        <v>955</v>
      </c>
      <c r="P56" s="1362" t="s">
        <v>2260</v>
      </c>
      <c r="Q56" s="1363">
        <f>IF(L56="比较法",L50,IF(L56="基准地价",L51,0))</f>
        <v>0</v>
      </c>
      <c r="R56" s="1364" t="s">
        <v>2225</v>
      </c>
    </row>
    <row r="57" spans="1:18" s="790" customFormat="1" ht="48" thickTop="1" thickBot="1">
      <c r="A57" s="1414">
        <v>2</v>
      </c>
      <c r="B57" s="1415" t="s">
        <v>2115</v>
      </c>
      <c r="C57" s="1494">
        <f ca="1">C13</f>
        <v>643919</v>
      </c>
      <c r="D57" s="1289"/>
      <c r="E57" s="1290"/>
      <c r="F57" s="1297"/>
      <c r="I57" s="2356" t="s">
        <v>2261</v>
      </c>
      <c r="J57" s="1349" t="s">
        <v>2832</v>
      </c>
      <c r="K57" s="2342" t="s">
        <v>2262</v>
      </c>
      <c r="L57" s="1123" t="str">
        <f>IF(L49&lt;J52,"——",L49-J52)</f>
        <v>——</v>
      </c>
      <c r="O57" s="1365" t="s">
        <v>956</v>
      </c>
      <c r="P57" s="1362" t="s">
        <v>2263</v>
      </c>
      <c r="Q57" s="1366">
        <f>L53</f>
        <v>0</v>
      </c>
      <c r="R57" s="1364"/>
    </row>
    <row r="58" spans="1:18" s="790" customFormat="1" ht="31.8" thickBot="1">
      <c r="A58" s="1296"/>
      <c r="B58" s="319" t="s">
        <v>2193</v>
      </c>
      <c r="C58" s="188">
        <f ca="1">C29</f>
        <v>775806</v>
      </c>
      <c r="D58" s="1289"/>
      <c r="E58" s="1290"/>
      <c r="F58" s="1297"/>
      <c r="I58" s="2357" t="s">
        <v>2264</v>
      </c>
      <c r="J58" s="1348">
        <f>IF(OR(M48="住宅",J52&lt;L49,J57="是"),"——",J52-L49)</f>
        <v>12</v>
      </c>
      <c r="K58" s="2342" t="s">
        <v>2265</v>
      </c>
      <c r="L58" s="1123" t="str">
        <f>IF(L49&lt;J52,"——",IF(L56="比较法",L50,IF(L56="基准地价",L51,L52)))</f>
        <v>——</v>
      </c>
      <c r="O58" s="1365" t="s">
        <v>957</v>
      </c>
      <c r="P58" s="1362" t="s">
        <v>2266</v>
      </c>
      <c r="Q58" s="1363" t="e">
        <f>L59</f>
        <v>#DIV/0!</v>
      </c>
      <c r="R58" s="1364" t="s">
        <v>2267</v>
      </c>
    </row>
    <row r="59" spans="1:18" s="790" customFormat="1" ht="31.8" thickBot="1">
      <c r="A59" s="332" t="s">
        <v>14</v>
      </c>
      <c r="B59" s="333" t="s">
        <v>2196</v>
      </c>
      <c r="C59" s="334">
        <f ca="1">ROUND(C60+C65+C66+C67,0)</f>
        <v>81972</v>
      </c>
      <c r="D59" s="12" t="s">
        <v>2197</v>
      </c>
      <c r="E59" s="1891"/>
      <c r="F59" s="16"/>
      <c r="I59" s="2357" t="s">
        <v>2268</v>
      </c>
      <c r="J59" s="1864">
        <f>IF(J56&lt;0.4,0.4,J56)</f>
        <v>0.4</v>
      </c>
      <c r="K59" s="2348" t="s">
        <v>2269</v>
      </c>
      <c r="L59" s="1123" t="e">
        <f>ROUND(POWER(1+L53,L48-L49)*(POWER(1+L53,L49)-1)/(POWER(1+L53,L48)-1),4)</f>
        <v>#DIV/0!</v>
      </c>
      <c r="O59" s="1365" t="s">
        <v>958</v>
      </c>
      <c r="P59" s="1362" t="str">
        <f>K60</f>
        <v>建设期及建筑物耐用年限下的土地年期修正系数Kn</v>
      </c>
      <c r="Q59" s="1363" t="e">
        <f>L60</f>
        <v>#DIV/0!</v>
      </c>
      <c r="R59" s="1364" t="s">
        <v>2270</v>
      </c>
    </row>
    <row r="60" spans="1:18" s="790" customFormat="1" ht="31.8" thickBot="1">
      <c r="A60" s="337" t="s">
        <v>15</v>
      </c>
      <c r="B60" s="319" t="s">
        <v>2137</v>
      </c>
      <c r="C60" s="14">
        <f ca="1">ROUND(IF(项目基本情况!B7="自然人",C49*F60,C61+C62+C63),0)</f>
        <v>65168</v>
      </c>
      <c r="D60" s="1881" t="s">
        <v>2198</v>
      </c>
      <c r="E60" s="1886" t="s">
        <v>2199</v>
      </c>
      <c r="F60" s="343" t="str">
        <f>IF(项目基本情况!B7="企业","",IF('数据-取费表'!B10="住宅",5%,IF(F50*F51*F52/12/(1+'数据-取费表'!F30)&gt;20000,12%,7%)))</f>
        <v/>
      </c>
      <c r="I60" s="2357" t="s">
        <v>2271</v>
      </c>
      <c r="J60" s="1348">
        <f ca="1">IF(OR(M48="住宅",J52&lt;L49,J57="是"),"——",ROUND(C29*J59,0))</f>
        <v>310322</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5432535</v>
      </c>
      <c r="R60" s="1364" t="s">
        <v>960</v>
      </c>
    </row>
    <row r="61" spans="1:18" s="790" customFormat="1" ht="16.2" thickBot="1">
      <c r="A61" s="337" t="s">
        <v>16</v>
      </c>
      <c r="B61" s="319" t="s">
        <v>2200</v>
      </c>
      <c r="C61" s="14">
        <f ca="1">IF(项目基本情况!B7="自然人","——",ROUND(C49*F61/(1+'数据-取费表'!F30),0))</f>
        <v>0</v>
      </c>
      <c r="D61" s="1886" t="s">
        <v>2201</v>
      </c>
      <c r="E61" s="319" t="s">
        <v>2150</v>
      </c>
      <c r="F61" s="352">
        <f t="shared" ref="F61:F67" si="0">F32</f>
        <v>5.6000000000000001E-2</v>
      </c>
      <c r="I61" s="2358" t="s">
        <v>2272</v>
      </c>
      <c r="J61" s="1347">
        <f ca="1">IF(OR(M48="住宅",J52&lt;L49,J57="是"),"0",ROUND(J60/(1+J53)^J54,0))</f>
        <v>11738</v>
      </c>
      <c r="K61" s="2359" t="s">
        <v>2273</v>
      </c>
      <c r="L61" s="1347">
        <f>IF(OR(M48="住宅",L49&lt;J52),0,ROUND(L58*(L59/L60-1),0))</f>
        <v>0</v>
      </c>
      <c r="O61" s="1355" t="s">
        <v>2274</v>
      </c>
      <c r="P61" s="1356"/>
      <c r="Q61" s="1352"/>
      <c r="R61" s="1356"/>
    </row>
    <row r="62" spans="1:18" s="790" customFormat="1" ht="16.2" thickBot="1">
      <c r="A62" s="337" t="s">
        <v>17</v>
      </c>
      <c r="B62" s="319" t="s">
        <v>2275</v>
      </c>
      <c r="C62" s="14">
        <f ca="1">IF(项目基本情况!B7="自然人","——",IF(D62="按租金收入计税",ROUND(C49*F62,0),IF(D62="按房产原值计税",ROUND(C58*F62*0.7,0),'数据-取费表'!B43)))</f>
        <v>65168</v>
      </c>
      <c r="D62" s="2005" t="s">
        <v>2147</v>
      </c>
      <c r="E62" s="319" t="s">
        <v>2150</v>
      </c>
      <c r="F62" s="342">
        <f t="shared" si="0"/>
        <v>0.12</v>
      </c>
      <c r="O62" s="1357" t="s">
        <v>2220</v>
      </c>
      <c r="P62" s="1358" t="s">
        <v>2221</v>
      </c>
      <c r="Q62" s="1359" t="s">
        <v>2222</v>
      </c>
      <c r="R62" s="1360" t="s">
        <v>2223</v>
      </c>
    </row>
    <row r="63" spans="1:18" s="790" customFormat="1" ht="16.2" thickBot="1">
      <c r="A63" s="345" t="s">
        <v>18</v>
      </c>
      <c r="B63" s="80" t="s">
        <v>2276</v>
      </c>
      <c r="C63" s="15">
        <f>IF(项目基本情况!B7="自然人","——",ROUND(F63*F64,0))</f>
        <v>0</v>
      </c>
      <c r="D63" s="346" t="s">
        <v>2277</v>
      </c>
      <c r="E63" s="319" t="s">
        <v>2278</v>
      </c>
      <c r="F63" s="347">
        <f t="shared" si="0"/>
        <v>3</v>
      </c>
      <c r="I63" s="2360" t="s">
        <v>2279</v>
      </c>
      <c r="J63" s="1868" t="s">
        <v>2280</v>
      </c>
      <c r="K63" s="1868" t="s">
        <v>2281</v>
      </c>
      <c r="L63" s="1868" t="s">
        <v>2282</v>
      </c>
      <c r="M63" s="1867" t="s">
        <v>2283</v>
      </c>
      <c r="O63" s="1361" t="s">
        <v>953</v>
      </c>
      <c r="P63" s="1362" t="s">
        <v>2224</v>
      </c>
      <c r="Q63" s="1363">
        <f ca="1">C40+J29</f>
        <v>5432535</v>
      </c>
      <c r="R63" s="1364" t="s">
        <v>2225</v>
      </c>
    </row>
    <row r="64" spans="1:18" s="790" customFormat="1" ht="19.2" thickBot="1">
      <c r="A64" s="348"/>
      <c r="B64" s="328"/>
      <c r="C64" s="19"/>
      <c r="D64" s="349"/>
      <c r="E64" s="319" t="s">
        <v>2284</v>
      </c>
      <c r="F64" s="320">
        <f t="shared" si="0"/>
        <v>0</v>
      </c>
      <c r="I64" s="2360" t="s">
        <v>2285</v>
      </c>
      <c r="J64" s="1868">
        <v>70</v>
      </c>
      <c r="K64" s="1868">
        <v>50</v>
      </c>
      <c r="L64" s="1868">
        <v>80</v>
      </c>
      <c r="M64" s="1866">
        <v>0.02</v>
      </c>
      <c r="O64" s="1361" t="s">
        <v>954</v>
      </c>
      <c r="P64" s="1362" t="s">
        <v>2256</v>
      </c>
      <c r="Q64" s="1363">
        <f>L61</f>
        <v>0</v>
      </c>
      <c r="R64" s="1364" t="s">
        <v>2257</v>
      </c>
    </row>
    <row r="65" spans="1:18" s="790" customFormat="1" ht="21.6" thickBot="1">
      <c r="A65" s="337" t="s">
        <v>19</v>
      </c>
      <c r="B65" s="319" t="s">
        <v>2205</v>
      </c>
      <c r="C65" s="14">
        <f ca="1">ROUND(C58*F65,0)</f>
        <v>15516</v>
      </c>
      <c r="D65" s="1886" t="s">
        <v>2206</v>
      </c>
      <c r="E65" s="319" t="s">
        <v>2150</v>
      </c>
      <c r="F65" s="350">
        <f t="shared" si="0"/>
        <v>0.02</v>
      </c>
      <c r="I65" s="2360" t="s">
        <v>2286</v>
      </c>
      <c r="J65" s="1868">
        <v>50</v>
      </c>
      <c r="K65" s="1868">
        <v>35</v>
      </c>
      <c r="L65" s="1868">
        <v>60</v>
      </c>
      <c r="M65" s="1867">
        <v>0</v>
      </c>
      <c r="O65" s="1365" t="s">
        <v>955</v>
      </c>
      <c r="P65" s="1362" t="s">
        <v>2260</v>
      </c>
      <c r="Q65" s="1367">
        <f ca="1">L52</f>
        <v>90712185</v>
      </c>
      <c r="R65" s="1368" t="s">
        <v>2287</v>
      </c>
    </row>
    <row r="66" spans="1:18" s="790" customFormat="1" ht="19.2" thickBot="1">
      <c r="A66" s="337" t="s">
        <v>20</v>
      </c>
      <c r="B66" s="319" t="s">
        <v>2165</v>
      </c>
      <c r="C66" s="14">
        <f ca="1">ROUND(C57*F66,0)</f>
        <v>1288</v>
      </c>
      <c r="D66" s="1886" t="s">
        <v>2166</v>
      </c>
      <c r="E66" s="319" t="s">
        <v>2167</v>
      </c>
      <c r="F66" s="351">
        <f t="shared" si="0"/>
        <v>2E-3</v>
      </c>
      <c r="I66" s="2360" t="s">
        <v>2288</v>
      </c>
      <c r="J66" s="1868">
        <v>40</v>
      </c>
      <c r="K66" s="1868">
        <v>30</v>
      </c>
      <c r="L66" s="1868">
        <v>50</v>
      </c>
      <c r="M66" s="1866">
        <v>0.02</v>
      </c>
      <c r="O66" s="1365" t="s">
        <v>956</v>
      </c>
      <c r="P66" s="1369" t="s">
        <v>2289</v>
      </c>
      <c r="Q66" s="1363">
        <f ca="1">ROUND(Q67-Q68*Q69,0)</f>
        <v>190023</v>
      </c>
      <c r="R66" s="1364"/>
    </row>
    <row r="67" spans="1:18" s="790" customFormat="1" ht="16.2" thickBot="1">
      <c r="A67" s="337" t="s">
        <v>21</v>
      </c>
      <c r="B67" s="319" t="s">
        <v>2148</v>
      </c>
      <c r="C67" s="14">
        <f ca="1">ROUND(C49*F67,0)</f>
        <v>0</v>
      </c>
      <c r="D67" s="1886" t="s">
        <v>2171</v>
      </c>
      <c r="E67" s="319" t="s">
        <v>2167</v>
      </c>
      <c r="F67" s="329">
        <f t="shared" si="0"/>
        <v>0.02</v>
      </c>
      <c r="O67" s="1365" t="s">
        <v>961</v>
      </c>
      <c r="P67" s="1369" t="s">
        <v>2290</v>
      </c>
      <c r="Q67" s="1363">
        <f ca="1">C39</f>
        <v>244756</v>
      </c>
      <c r="R67" s="1364" t="s">
        <v>2225</v>
      </c>
    </row>
    <row r="68" spans="1:18" ht="24.6" thickBot="1">
      <c r="A68" s="332" t="s">
        <v>22</v>
      </c>
      <c r="B68" s="89" t="s">
        <v>2175</v>
      </c>
      <c r="C68" s="334">
        <f ca="1">C49-C59</f>
        <v>-81972</v>
      </c>
      <c r="D68" s="1881" t="s">
        <v>2176</v>
      </c>
      <c r="E68" s="1885"/>
      <c r="F68" s="353"/>
      <c r="H68" s="790"/>
      <c r="I68" s="790"/>
      <c r="J68" s="790"/>
      <c r="K68" s="790"/>
      <c r="L68" s="790"/>
      <c r="M68" s="790"/>
      <c r="O68" s="1365" t="s">
        <v>962</v>
      </c>
      <c r="P68" s="1369" t="s">
        <v>2291</v>
      </c>
      <c r="Q68" s="1363">
        <f ca="1">C13</f>
        <v>643919</v>
      </c>
      <c r="R68" s="1364" t="s">
        <v>2225</v>
      </c>
    </row>
    <row r="69" spans="1:18" ht="16.2" thickBot="1">
      <c r="A69" s="316" t="s">
        <v>23</v>
      </c>
      <c r="B69" s="317" t="s">
        <v>2213</v>
      </c>
      <c r="C69" s="318">
        <f ca="1">ROUND(C68*(1-((1+F71)/(1+F69))^F70)/(F69-F71),0)</f>
        <v>-1295546</v>
      </c>
      <c r="D69" s="346" t="s">
        <v>2181</v>
      </c>
      <c r="E69" s="319" t="s">
        <v>2182</v>
      </c>
      <c r="F69" s="329">
        <f>F40</f>
        <v>5.5E-2</v>
      </c>
      <c r="H69" s="790"/>
      <c r="I69" s="790"/>
      <c r="J69" s="790"/>
      <c r="K69" s="790"/>
      <c r="L69" s="790"/>
      <c r="M69" s="790"/>
      <c r="O69" s="1365" t="s">
        <v>963</v>
      </c>
      <c r="P69" s="1369" t="s">
        <v>2292</v>
      </c>
      <c r="Q69" s="1366">
        <f>J35</f>
        <v>8.5000000000000006E-2</v>
      </c>
      <c r="R69" s="1364"/>
    </row>
    <row r="70" spans="1:18" ht="16.2" thickBot="1">
      <c r="A70" s="321"/>
      <c r="B70" s="322"/>
      <c r="C70" s="323"/>
      <c r="D70" s="354" t="s">
        <v>2215</v>
      </c>
      <c r="E70" s="319" t="s">
        <v>2187</v>
      </c>
      <c r="F70" s="355">
        <f>F41</f>
        <v>38</v>
      </c>
      <c r="H70" s="790"/>
      <c r="I70" s="790"/>
      <c r="J70" s="790"/>
      <c r="K70" s="790"/>
      <c r="L70" s="790"/>
      <c r="M70" s="790"/>
      <c r="O70" s="1365" t="s">
        <v>957</v>
      </c>
      <c r="P70" s="1362" t="s">
        <v>2263</v>
      </c>
      <c r="Q70" s="1366">
        <f>L53</f>
        <v>0</v>
      </c>
      <c r="R70" s="1364"/>
    </row>
    <row r="71" spans="1:18" ht="19.2" thickBot="1">
      <c r="A71" s="325"/>
      <c r="B71" s="326"/>
      <c r="C71" s="327"/>
      <c r="D71" s="349"/>
      <c r="E71" s="319" t="s">
        <v>2191</v>
      </c>
      <c r="F71" s="1350"/>
      <c r="H71" s="790"/>
      <c r="M71" s="790"/>
      <c r="O71" s="1365" t="s">
        <v>958</v>
      </c>
      <c r="P71" s="1362" t="s">
        <v>2266</v>
      </c>
      <c r="Q71" s="1363" t="e">
        <f>L59</f>
        <v>#DIV/0!</v>
      </c>
      <c r="R71" s="1364" t="s">
        <v>2267</v>
      </c>
    </row>
    <row r="72" spans="1:18" ht="16.2" thickBot="1">
      <c r="A72" s="356" t="s">
        <v>24</v>
      </c>
      <c r="B72" s="357" t="s">
        <v>2216</v>
      </c>
      <c r="C72" s="358">
        <f ca="1">ROUND(C69/F72,0)</f>
        <v>-8605</v>
      </c>
      <c r="D72" s="359" t="s">
        <v>2217</v>
      </c>
      <c r="E72" s="360" t="s">
        <v>2218</v>
      </c>
      <c r="F72" s="361">
        <f>F43</f>
        <v>150.56</v>
      </c>
      <c r="O72" s="1365" t="s">
        <v>964</v>
      </c>
      <c r="P72" s="1362" t="str">
        <f>K60</f>
        <v>建设期及建筑物耐用年限下的土地年期修正系数Kn</v>
      </c>
      <c r="Q72" s="1363" t="e">
        <f>L60</f>
        <v>#DIV/0!</v>
      </c>
      <c r="R72" s="1364" t="s">
        <v>2270</v>
      </c>
    </row>
    <row r="73" spans="1:18" ht="15.6" thickBot="1">
      <c r="A73" s="790"/>
      <c r="B73" s="794"/>
      <c r="C73" s="794"/>
      <c r="D73" s="790"/>
      <c r="E73" s="790"/>
      <c r="F73" s="790"/>
      <c r="O73" s="1361" t="s">
        <v>959</v>
      </c>
      <c r="P73" s="1362" t="str">
        <f>IF(C2="元","收益价值(元)","收益价值(万元)")</f>
        <v>收益价值(元)</v>
      </c>
      <c r="Q73" s="1363">
        <f ca="1">ROUND(IF(C2="元",Q63+Q64,(Q63+Q64)/10000),0)</f>
        <v>5432535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6" sqref="E6"/>
    </sheetView>
  </sheetViews>
  <sheetFormatPr defaultRowHeight="14.4"/>
  <cols>
    <col min="1" max="1" width="10.44140625" customWidth="1"/>
    <col min="2" max="2" width="12.88671875" customWidth="1"/>
    <col min="3" max="3" width="8.77734375" customWidth="1"/>
  </cols>
  <sheetData>
    <row r="1" spans="1:9" ht="15.6">
      <c r="A1" s="3014" t="s">
        <v>1020</v>
      </c>
      <c r="B1" s="3015"/>
      <c r="C1" s="3016"/>
      <c r="D1" s="3017">
        <f>SUM(I10,I15,I20,I21,I23)</f>
        <v>0</v>
      </c>
      <c r="E1" s="3017"/>
      <c r="F1" s="3017"/>
      <c r="G1" s="3017"/>
      <c r="H1" s="3017"/>
      <c r="I1" s="3018"/>
    </row>
    <row r="2" spans="1:9">
      <c r="A2" s="3019" t="s">
        <v>1021</v>
      </c>
      <c r="B2" s="3020" t="s">
        <v>970</v>
      </c>
      <c r="C2" s="3020"/>
      <c r="D2" s="1383" t="s">
        <v>971</v>
      </c>
      <c r="E2" s="1383" t="s">
        <v>972</v>
      </c>
      <c r="F2" s="1383" t="s">
        <v>973</v>
      </c>
      <c r="G2" s="1383" t="s">
        <v>974</v>
      </c>
      <c r="H2" s="1383" t="s">
        <v>975</v>
      </c>
      <c r="I2" s="1384" t="s">
        <v>976</v>
      </c>
    </row>
    <row r="3" spans="1:9">
      <c r="A3" s="3019"/>
      <c r="B3" s="3020" t="s">
        <v>977</v>
      </c>
      <c r="C3" s="3020"/>
      <c r="D3" s="1385"/>
      <c r="E3" s="1383"/>
      <c r="F3" s="1386"/>
      <c r="G3" s="1386"/>
      <c r="H3" s="1387"/>
      <c r="I3" s="1388">
        <f>ROUND(D3*E3*F3*G3*H3/10000,0)</f>
        <v>0</v>
      </c>
    </row>
    <row r="4" spans="1:9">
      <c r="A4" s="3019"/>
      <c r="B4" s="3020" t="s">
        <v>978</v>
      </c>
      <c r="C4" s="3020"/>
      <c r="D4" s="1385"/>
      <c r="E4" s="1383"/>
      <c r="F4" s="1386"/>
      <c r="G4" s="1386"/>
      <c r="H4" s="1387"/>
      <c r="I4" s="1388">
        <f t="shared" ref="I4:I9" si="0">ROUND(D4*E4*F4*G4*H4/10000,0)</f>
        <v>0</v>
      </c>
    </row>
    <row r="5" spans="1:9">
      <c r="A5" s="3019"/>
      <c r="B5" s="3020" t="s">
        <v>979</v>
      </c>
      <c r="C5" s="3020"/>
      <c r="D5" s="1385"/>
      <c r="E5" s="1383"/>
      <c r="F5" s="1386"/>
      <c r="G5" s="1386"/>
      <c r="H5" s="1387"/>
      <c r="I5" s="1388">
        <f t="shared" si="0"/>
        <v>0</v>
      </c>
    </row>
    <row r="6" spans="1:9">
      <c r="A6" s="3019"/>
      <c r="B6" s="3020" t="s">
        <v>980</v>
      </c>
      <c r="C6" s="3020"/>
      <c r="D6" s="1385"/>
      <c r="E6" s="1383"/>
      <c r="F6" s="1386"/>
      <c r="G6" s="1386"/>
      <c r="H6" s="1387"/>
      <c r="I6" s="1388">
        <f t="shared" si="0"/>
        <v>0</v>
      </c>
    </row>
    <row r="7" spans="1:9">
      <c r="A7" s="3019"/>
      <c r="B7" s="3020" t="s">
        <v>981</v>
      </c>
      <c r="C7" s="3020"/>
      <c r="D7" s="1385"/>
      <c r="E7" s="1383"/>
      <c r="F7" s="1386"/>
      <c r="G7" s="1386"/>
      <c r="H7" s="1387"/>
      <c r="I7" s="1388">
        <f t="shared" si="0"/>
        <v>0</v>
      </c>
    </row>
    <row r="8" spans="1:9">
      <c r="A8" s="3019"/>
      <c r="B8" s="3020" t="s">
        <v>982</v>
      </c>
      <c r="C8" s="3020"/>
      <c r="D8" s="1385"/>
      <c r="E8" s="1383"/>
      <c r="F8" s="1386"/>
      <c r="G8" s="1386"/>
      <c r="H8" s="1387"/>
      <c r="I8" s="1388">
        <f t="shared" si="0"/>
        <v>0</v>
      </c>
    </row>
    <row r="9" spans="1:9">
      <c r="A9" s="3019"/>
      <c r="B9" s="3020" t="s">
        <v>983</v>
      </c>
      <c r="C9" s="3020"/>
      <c r="D9" s="1385"/>
      <c r="E9" s="1383"/>
      <c r="F9" s="1386"/>
      <c r="G9" s="1386"/>
      <c r="H9" s="1387"/>
      <c r="I9" s="1388">
        <f t="shared" si="0"/>
        <v>0</v>
      </c>
    </row>
    <row r="10" spans="1:9">
      <c r="A10" s="3019"/>
      <c r="B10" s="3021" t="s">
        <v>984</v>
      </c>
      <c r="C10" s="3021"/>
      <c r="D10" s="1389">
        <v>527</v>
      </c>
      <c r="E10" s="1389" t="e">
        <f>ROUND(D1*10000/D10/H9,0)</f>
        <v>#DIV/0!</v>
      </c>
      <c r="F10" s="1390"/>
      <c r="G10" s="1390"/>
      <c r="H10" s="1391"/>
      <c r="I10" s="1392">
        <f>SUM(I3:I9)</f>
        <v>0</v>
      </c>
    </row>
    <row r="11" spans="1:9" ht="15.6">
      <c r="A11" s="3019" t="s">
        <v>1022</v>
      </c>
      <c r="B11" s="3020" t="s">
        <v>985</v>
      </c>
      <c r="C11" s="3020"/>
      <c r="D11" s="1385" t="s">
        <v>986</v>
      </c>
      <c r="E11" s="1385" t="s">
        <v>987</v>
      </c>
      <c r="F11" s="1386" t="s">
        <v>988</v>
      </c>
      <c r="G11" s="1386" t="s">
        <v>975</v>
      </c>
      <c r="H11" s="1393" t="s">
        <v>989</v>
      </c>
      <c r="I11" s="1384" t="s">
        <v>976</v>
      </c>
    </row>
    <row r="12" spans="1:9">
      <c r="A12" s="3019"/>
      <c r="B12" s="3020" t="s">
        <v>990</v>
      </c>
      <c r="C12" s="3020"/>
      <c r="D12" s="1385"/>
      <c r="E12" s="1385"/>
      <c r="F12" s="1386"/>
      <c r="G12" s="1387"/>
      <c r="H12" s="1394"/>
      <c r="I12" s="1384">
        <f>ROUND(D12*E12*F12*G12/10000,0)</f>
        <v>0</v>
      </c>
    </row>
    <row r="13" spans="1:9">
      <c r="A13" s="3019"/>
      <c r="B13" s="3020" t="s">
        <v>991</v>
      </c>
      <c r="C13" s="3020"/>
      <c r="D13" s="1385"/>
      <c r="E13" s="1385"/>
      <c r="F13" s="1386"/>
      <c r="G13" s="1387"/>
      <c r="H13" s="1394"/>
      <c r="I13" s="1384">
        <f>ROUND(D13*E13*F13*G13/10000,0)</f>
        <v>0</v>
      </c>
    </row>
    <row r="14" spans="1:9">
      <c r="A14" s="3019"/>
      <c r="B14" s="3020" t="s">
        <v>992</v>
      </c>
      <c r="C14" s="3020"/>
      <c r="D14" s="1385"/>
      <c r="E14" s="1385"/>
      <c r="F14" s="1386"/>
      <c r="G14" s="1387"/>
      <c r="H14" s="1394"/>
      <c r="I14" s="1384">
        <f>ROUND(D14*E14*F14*G14/10000,0)</f>
        <v>0</v>
      </c>
    </row>
    <row r="15" spans="1:9">
      <c r="A15" s="3019"/>
      <c r="B15" s="3021" t="s">
        <v>984</v>
      </c>
      <c r="C15" s="3021"/>
      <c r="D15" s="1389"/>
      <c r="E15" s="1389">
        <f>SUM(E12:E14)</f>
        <v>0</v>
      </c>
      <c r="F15" s="1390"/>
      <c r="G15" s="1387"/>
      <c r="H15" s="1394"/>
      <c r="I15" s="1395">
        <f>SUM(I12:I14)</f>
        <v>0</v>
      </c>
    </row>
    <row r="16" spans="1:9" ht="24">
      <c r="A16" s="3019" t="s">
        <v>1023</v>
      </c>
      <c r="B16" s="3020" t="s">
        <v>993</v>
      </c>
      <c r="C16" s="3020"/>
      <c r="D16" s="1385" t="s">
        <v>971</v>
      </c>
      <c r="E16" s="1396" t="s">
        <v>994</v>
      </c>
      <c r="F16" s="1386" t="s">
        <v>995</v>
      </c>
      <c r="G16" s="1387" t="s">
        <v>975</v>
      </c>
      <c r="H16" s="1393" t="s">
        <v>989</v>
      </c>
      <c r="I16" s="1384" t="s">
        <v>976</v>
      </c>
    </row>
    <row r="17" spans="1:9" ht="15.6">
      <c r="A17" s="3019"/>
      <c r="B17" s="3020" t="s">
        <v>996</v>
      </c>
      <c r="C17" s="3020"/>
      <c r="D17" s="1385"/>
      <c r="E17" s="1385"/>
      <c r="F17" s="1386"/>
      <c r="G17" s="1387"/>
      <c r="H17" s="1397"/>
      <c r="I17" s="1398">
        <f>ROUND(D17*E17*F17*G17/10000,0)</f>
        <v>0</v>
      </c>
    </row>
    <row r="18" spans="1:9" ht="15.6">
      <c r="A18" s="3019"/>
      <c r="B18" s="3020" t="s">
        <v>997</v>
      </c>
      <c r="C18" s="3020"/>
      <c r="D18" s="1385"/>
      <c r="E18" s="1385"/>
      <c r="F18" s="1386"/>
      <c r="G18" s="1387"/>
      <c r="H18" s="1397"/>
      <c r="I18" s="1398">
        <f>ROUND(D18*E18*F18*G18/10000,0)</f>
        <v>0</v>
      </c>
    </row>
    <row r="19" spans="1:9" ht="15.6">
      <c r="A19" s="3019"/>
      <c r="B19" s="3020" t="s">
        <v>998</v>
      </c>
      <c r="C19" s="3020"/>
      <c r="D19" s="1385"/>
      <c r="E19" s="1385"/>
      <c r="F19" s="1386"/>
      <c r="G19" s="1387"/>
      <c r="H19" s="1397"/>
      <c r="I19" s="1398">
        <f>ROUND(D19*E19*F19*G19/10000,0)</f>
        <v>0</v>
      </c>
    </row>
    <row r="20" spans="1:9">
      <c r="A20" s="3019"/>
      <c r="B20" s="3021" t="s">
        <v>984</v>
      </c>
      <c r="C20" s="3021"/>
      <c r="D20" s="1389">
        <f>SUM(D17:D19)</f>
        <v>0</v>
      </c>
      <c r="E20" s="1389"/>
      <c r="F20" s="1390"/>
      <c r="G20" s="1387"/>
      <c r="H20" s="1394"/>
      <c r="I20" s="1395">
        <f>SUM(I17:I19)</f>
        <v>0</v>
      </c>
    </row>
    <row r="21" spans="1:9">
      <c r="A21" s="3019" t="s">
        <v>1024</v>
      </c>
      <c r="B21" s="3023"/>
      <c r="C21" s="3023"/>
      <c r="D21" s="3023"/>
      <c r="E21" s="3023"/>
      <c r="F21" s="3023"/>
      <c r="G21" s="3023"/>
      <c r="H21" s="1399">
        <v>0.1</v>
      </c>
      <c r="I21" s="1392">
        <f>ROUND(I10*H21,0)</f>
        <v>0</v>
      </c>
    </row>
    <row r="22" spans="1:9" ht="15.6">
      <c r="A22" s="3024" t="s">
        <v>1025</v>
      </c>
      <c r="B22" s="3025"/>
      <c r="C22" s="3026"/>
      <c r="D22" s="1400" t="s">
        <v>999</v>
      </c>
      <c r="E22" s="1400" t="s">
        <v>1000</v>
      </c>
      <c r="F22" s="1401" t="s">
        <v>975</v>
      </c>
      <c r="G22" s="1401" t="s">
        <v>1001</v>
      </c>
      <c r="H22" s="1393" t="s">
        <v>989</v>
      </c>
      <c r="I22" s="1384" t="s">
        <v>976</v>
      </c>
    </row>
    <row r="23" spans="1:9" ht="15" thickBot="1">
      <c r="A23" s="3027"/>
      <c r="B23" s="3028"/>
      <c r="C23" s="3029"/>
      <c r="D23" s="1402"/>
      <c r="E23" s="1402"/>
      <c r="F23" s="1402"/>
      <c r="G23" s="1403"/>
      <c r="H23" s="1404"/>
      <c r="I23" s="1405">
        <f>ROUND(E23*D23*F23*(1-G23)/10000,0)</f>
        <v>0</v>
      </c>
    </row>
    <row r="26" spans="1:9">
      <c r="A26" s="1406" t="s">
        <v>1002</v>
      </c>
      <c r="B26" s="1406"/>
      <c r="C26" s="1406"/>
      <c r="D26" s="1406"/>
      <c r="E26" s="3030">
        <f>C27-C30-C31-C32</f>
        <v>0</v>
      </c>
      <c r="F26" s="3030"/>
      <c r="G26" s="3030"/>
      <c r="H26" s="1823" t="s">
        <v>1213</v>
      </c>
    </row>
    <row r="27" spans="1:9">
      <c r="A27" s="1407">
        <v>1</v>
      </c>
      <c r="B27" s="1408" t="s">
        <v>1003</v>
      </c>
      <c r="C27" s="1408">
        <f>C28+C29</f>
        <v>0</v>
      </c>
      <c r="D27" s="1408"/>
      <c r="E27" s="3031"/>
      <c r="F27" s="3031"/>
      <c r="G27" s="3031"/>
    </row>
    <row r="28" spans="1:9">
      <c r="A28" s="1409" t="s">
        <v>1004</v>
      </c>
      <c r="B28" s="1408" t="s">
        <v>1005</v>
      </c>
      <c r="C28" s="1408"/>
      <c r="D28" s="1408"/>
      <c r="E28" s="3031"/>
      <c r="F28" s="3031"/>
      <c r="G28" s="3031"/>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2"/>
      <c r="F32" s="3022"/>
      <c r="G32" s="3022"/>
    </row>
    <row r="33" spans="1:7" hidden="1">
      <c r="A33" s="3032" t="s">
        <v>1014</v>
      </c>
      <c r="B33" s="3033"/>
      <c r="C33" s="3033"/>
      <c r="D33" s="3034"/>
      <c r="E33" s="3030"/>
      <c r="F33" s="3030"/>
      <c r="G33" s="3030"/>
    </row>
    <row r="34" spans="1:7" hidden="1">
      <c r="A34" s="1411">
        <v>1</v>
      </c>
      <c r="B34" s="1408" t="s">
        <v>1015</v>
      </c>
      <c r="C34" s="1408"/>
      <c r="D34" s="1408"/>
      <c r="E34" s="3031"/>
      <c r="F34" s="3031"/>
      <c r="G34" s="3031"/>
    </row>
    <row r="35" spans="1:7" hidden="1">
      <c r="A35" s="1411">
        <v>2</v>
      </c>
      <c r="B35" s="1408" t="s">
        <v>1016</v>
      </c>
      <c r="C35" s="1408"/>
      <c r="D35" s="1408"/>
      <c r="E35" s="3031"/>
      <c r="F35" s="3031"/>
      <c r="G35" s="3031"/>
    </row>
    <row r="36" spans="1:7" hidden="1">
      <c r="A36" s="1411">
        <v>3</v>
      </c>
      <c r="B36" s="1408" t="s">
        <v>1017</v>
      </c>
      <c r="C36" s="1408"/>
      <c r="D36" s="1408"/>
      <c r="E36" s="3031"/>
      <c r="F36" s="3031"/>
      <c r="G36" s="3031"/>
    </row>
    <row r="37" spans="1:7" hidden="1">
      <c r="A37" s="1411">
        <v>4</v>
      </c>
      <c r="B37" s="1408" t="s">
        <v>1018</v>
      </c>
      <c r="C37" s="1408"/>
      <c r="D37" s="1408"/>
      <c r="E37" s="3031"/>
      <c r="F37" s="3031"/>
      <c r="G37" s="3031"/>
    </row>
    <row r="38" spans="1:7" hidden="1">
      <c r="A38" s="3032" t="s">
        <v>1019</v>
      </c>
      <c r="B38" s="3033"/>
      <c r="C38" s="3033"/>
      <c r="D38" s="3034"/>
      <c r="E38" s="3030"/>
      <c r="F38" s="3030"/>
      <c r="G38" s="303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activeCell="E6" sqref="E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2327</v>
      </c>
      <c r="C1" s="1720"/>
      <c r="D1" s="2373"/>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2" customFormat="1" ht="28.5" customHeight="1" thickTop="1">
      <c r="A2" s="1721" t="s">
        <v>1999</v>
      </c>
      <c r="B2" s="1719" t="e">
        <f ca="1">IF(D2="——",IF(C2="元",ROUND(C49*D3,0),ROUND(C49*D3/10000,0)),IF(C2="元",ROUND(C49*D3,0),ROUND(C49*D3/10000,0))-E2)</f>
        <v>#DIV/0!</v>
      </c>
      <c r="C2" s="163" t="str">
        <f>'数据-取费表'!B3</f>
        <v>元</v>
      </c>
      <c r="D2" s="2376"/>
      <c r="E2" s="1837"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2000</v>
      </c>
      <c r="B3" s="378" t="e">
        <f ca="1">ROUND(IF(D2="——",C49,IF(C2="万元",B2*10000/D3,B2/D3)),0)</f>
        <v>#DIV/0!</v>
      </c>
      <c r="C3" s="379" t="s">
        <v>2329</v>
      </c>
      <c r="D3" s="378">
        <f>IF(C1="仅计算典型户型",'数据-取费表'!E5,'数据-取费表'!B5)</f>
        <v>1134.33</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2"/>
    </row>
    <row r="4" spans="1:29" ht="14.4">
      <c r="A4" s="380" t="s">
        <v>2330</v>
      </c>
      <c r="B4" s="381"/>
      <c r="C4" s="3038" t="s">
        <v>2331</v>
      </c>
      <c r="D4" s="3039"/>
      <c r="E4" s="3040" t="s">
        <v>2332</v>
      </c>
      <c r="F4" s="3041"/>
      <c r="G4" s="3038" t="s">
        <v>2333</v>
      </c>
      <c r="H4" s="3039"/>
      <c r="I4" s="3038" t="s">
        <v>2334</v>
      </c>
      <c r="J4" s="3039"/>
      <c r="K4" s="2387"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35" t="s">
        <v>2333</v>
      </c>
      <c r="AC4" s="3035" t="s">
        <v>2334</v>
      </c>
    </row>
    <row r="5" spans="1:29">
      <c r="A5" s="383"/>
      <c r="B5" s="384"/>
      <c r="C5" s="3057" t="s">
        <v>2337</v>
      </c>
      <c r="D5" s="3058"/>
      <c r="E5" s="3055" t="s">
        <v>2338</v>
      </c>
      <c r="F5" s="3056"/>
      <c r="G5" s="3057" t="s">
        <v>2339</v>
      </c>
      <c r="H5" s="3058"/>
      <c r="I5" s="3057" t="s">
        <v>2340</v>
      </c>
      <c r="J5" s="3058"/>
      <c r="K5" s="2388"/>
      <c r="L5" s="1238"/>
      <c r="M5" s="1239"/>
      <c r="N5" s="1239"/>
      <c r="O5" s="1239"/>
      <c r="P5" s="304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2388" t="s">
        <v>2342</v>
      </c>
      <c r="L6" s="1238"/>
      <c r="M6" s="1239"/>
      <c r="N6" s="1239"/>
      <c r="O6" s="1239"/>
      <c r="P6" s="3046"/>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70" t="s">
        <v>2344</v>
      </c>
      <c r="Q7" s="3072"/>
      <c r="R7" s="748" t="s">
        <v>34</v>
      </c>
      <c r="S7" s="749">
        <f t="shared" ref="S7:S15" si="0">F7</f>
        <v>0</v>
      </c>
      <c r="T7" s="748" t="s">
        <v>34</v>
      </c>
      <c r="U7" s="749">
        <f t="shared" ref="U7:U15" si="1">H7</f>
        <v>0</v>
      </c>
      <c r="V7" s="748" t="s">
        <v>34</v>
      </c>
      <c r="W7" s="749">
        <f t="shared" ref="W7:W15" si="2">J7</f>
        <v>0</v>
      </c>
      <c r="X7" s="750"/>
      <c r="Y7" s="3070" t="s">
        <v>2344</v>
      </c>
      <c r="Z7" s="3071"/>
      <c r="AA7" s="751" t="e">
        <f>D7/F7</f>
        <v>#DIV/0!</v>
      </c>
      <c r="AB7" s="751" t="e">
        <f>D7/H7</f>
        <v>#DIV/0!</v>
      </c>
      <c r="AC7" s="751" t="e">
        <f>D7/J7</f>
        <v>#DIV/0!</v>
      </c>
    </row>
    <row r="8" spans="1:29" s="35" customFormat="1" ht="15" thickBot="1">
      <c r="A8" s="387" t="s">
        <v>2345</v>
      </c>
      <c r="B8" s="388"/>
      <c r="C8" s="394" t="s">
        <v>2346</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70" t="s">
        <v>2347</v>
      </c>
      <c r="Q8" s="3071"/>
      <c r="R8" s="748" t="s">
        <v>34</v>
      </c>
      <c r="S8" s="749">
        <f t="shared" si="0"/>
        <v>0</v>
      </c>
      <c r="T8" s="748" t="s">
        <v>34</v>
      </c>
      <c r="U8" s="749">
        <f t="shared" si="1"/>
        <v>0</v>
      </c>
      <c r="V8" s="748" t="s">
        <v>34</v>
      </c>
      <c r="W8" s="749">
        <f t="shared" si="2"/>
        <v>0</v>
      </c>
      <c r="X8" s="750"/>
      <c r="Y8" s="3070" t="s">
        <v>2347</v>
      </c>
      <c r="Z8" s="3071"/>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73"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73"/>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73"/>
      <c r="Q11" s="1880" t="str">
        <f t="shared" si="6"/>
        <v>容积率</v>
      </c>
      <c r="R11" s="748" t="s">
        <v>28</v>
      </c>
      <c r="S11" s="749" t="e">
        <f t="shared" si="0"/>
        <v>#N/A</v>
      </c>
      <c r="T11" s="748" t="s">
        <v>28</v>
      </c>
      <c r="U11" s="749" t="e">
        <f t="shared" si="1"/>
        <v>#N/A</v>
      </c>
      <c r="V11" s="748" t="s">
        <v>28</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73"/>
      <c r="Q12" s="1880">
        <f t="shared" si="6"/>
        <v>111</v>
      </c>
      <c r="R12" s="748" t="s">
        <v>28</v>
      </c>
      <c r="S12" s="749">
        <f t="shared" si="0"/>
        <v>100</v>
      </c>
      <c r="T12" s="748" t="s">
        <v>28</v>
      </c>
      <c r="U12" s="749">
        <f t="shared" si="1"/>
        <v>100</v>
      </c>
      <c r="V12" s="748" t="s">
        <v>28</v>
      </c>
      <c r="W12" s="749">
        <f t="shared" si="2"/>
        <v>100</v>
      </c>
      <c r="X12" s="750"/>
      <c r="Y12" s="286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73"/>
      <c r="Q13" s="1880">
        <f t="shared" si="6"/>
        <v>111</v>
      </c>
      <c r="R13" s="748" t="s">
        <v>28</v>
      </c>
      <c r="S13" s="749">
        <f t="shared" si="0"/>
        <v>100</v>
      </c>
      <c r="T13" s="748" t="s">
        <v>28</v>
      </c>
      <c r="U13" s="749">
        <f t="shared" si="1"/>
        <v>100</v>
      </c>
      <c r="V13" s="748" t="s">
        <v>28</v>
      </c>
      <c r="W13" s="749">
        <f t="shared" si="2"/>
        <v>100</v>
      </c>
      <c r="X13" s="750"/>
      <c r="Y13" s="2865"/>
      <c r="Z13" s="23">
        <f t="shared" si="7"/>
        <v>111</v>
      </c>
      <c r="AA13" s="751">
        <f t="shared" si="3"/>
        <v>1</v>
      </c>
      <c r="AB13" s="751">
        <f t="shared" si="4"/>
        <v>1</v>
      </c>
      <c r="AC13" s="751">
        <f t="shared" si="5"/>
        <v>1</v>
      </c>
    </row>
    <row r="14" spans="1:29" ht="15.6"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73"/>
      <c r="Q14" s="1880">
        <f t="shared" si="6"/>
        <v>111</v>
      </c>
      <c r="R14" s="748" t="s">
        <v>28</v>
      </c>
      <c r="S14" s="749">
        <f t="shared" si="0"/>
        <v>100</v>
      </c>
      <c r="T14" s="748" t="s">
        <v>28</v>
      </c>
      <c r="U14" s="749">
        <f t="shared" si="1"/>
        <v>100</v>
      </c>
      <c r="V14" s="748" t="s">
        <v>28</v>
      </c>
      <c r="W14" s="749">
        <f t="shared" si="2"/>
        <v>100</v>
      </c>
      <c r="X14" s="750"/>
      <c r="Y14" s="2865"/>
      <c r="Z14" s="23">
        <f t="shared" si="7"/>
        <v>111</v>
      </c>
      <c r="AA14" s="751">
        <f t="shared" si="3"/>
        <v>1</v>
      </c>
      <c r="AB14" s="751">
        <f t="shared" si="4"/>
        <v>1</v>
      </c>
      <c r="AC14" s="751">
        <f t="shared" si="5"/>
        <v>1</v>
      </c>
    </row>
    <row r="15" spans="1:29" ht="96.6">
      <c r="A15" s="419" t="s">
        <v>2354</v>
      </c>
      <c r="B15" s="26" t="s">
        <v>1730</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76" t="s">
        <v>2355</v>
      </c>
      <c r="Q15" s="1892" t="str">
        <f t="shared" si="6"/>
        <v>居住社区成熟度</v>
      </c>
      <c r="R15" s="752" t="s">
        <v>28</v>
      </c>
      <c r="S15" s="753">
        <f t="shared" si="0"/>
        <v>100</v>
      </c>
      <c r="T15" s="752" t="s">
        <v>28</v>
      </c>
      <c r="U15" s="753">
        <f t="shared" si="1"/>
        <v>100</v>
      </c>
      <c r="V15" s="752" t="s">
        <v>28</v>
      </c>
      <c r="W15" s="753">
        <f t="shared" si="2"/>
        <v>100</v>
      </c>
      <c r="X15" s="1893"/>
      <c r="Y15" s="3063" t="s">
        <v>2355</v>
      </c>
      <c r="Z15" s="1895" t="str">
        <f t="shared" si="7"/>
        <v>居住社区成熟度</v>
      </c>
      <c r="AA15" s="1896">
        <f t="shared" si="3"/>
        <v>1</v>
      </c>
      <c r="AB15" s="1896">
        <f t="shared" si="4"/>
        <v>1</v>
      </c>
      <c r="AC15" s="1896">
        <f t="shared" si="5"/>
        <v>1</v>
      </c>
    </row>
    <row r="16" spans="1:29" ht="15">
      <c r="A16" s="408"/>
      <c r="B16" s="425"/>
      <c r="C16" s="426"/>
      <c r="D16" s="427"/>
      <c r="E16" s="428"/>
      <c r="F16" s="429"/>
      <c r="G16" s="2396"/>
      <c r="H16" s="430"/>
      <c r="I16" s="428"/>
      <c r="J16" s="427"/>
      <c r="K16" s="2397"/>
      <c r="L16" s="1248"/>
      <c r="M16" s="1239"/>
      <c r="N16" s="1239"/>
      <c r="O16" s="1239"/>
      <c r="P16" s="3077"/>
      <c r="Q16" s="1892"/>
      <c r="R16" s="752"/>
      <c r="S16" s="753"/>
      <c r="T16" s="752"/>
      <c r="U16" s="753"/>
      <c r="V16" s="752"/>
      <c r="W16" s="753"/>
      <c r="X16" s="1893"/>
      <c r="Y16" s="3064"/>
      <c r="Z16" s="1895"/>
      <c r="AA16" s="1896">
        <v>1</v>
      </c>
      <c r="AB16" s="1896">
        <v>1</v>
      </c>
      <c r="AC16" s="1896">
        <v>1</v>
      </c>
    </row>
    <row r="17" spans="1:29" ht="82.8">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77"/>
      <c r="Q17" s="1892" t="str">
        <f>B17</f>
        <v>交通便捷度</v>
      </c>
      <c r="R17" s="752" t="s">
        <v>28</v>
      </c>
      <c r="S17" s="753">
        <f>F17</f>
        <v>100</v>
      </c>
      <c r="T17" s="752" t="s">
        <v>28</v>
      </c>
      <c r="U17" s="753">
        <f>H17</f>
        <v>100</v>
      </c>
      <c r="V17" s="752" t="s">
        <v>28</v>
      </c>
      <c r="W17" s="753">
        <f>J17</f>
        <v>100</v>
      </c>
      <c r="X17" s="1893"/>
      <c r="Y17" s="3064"/>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2397"/>
      <c r="L18" s="1248"/>
      <c r="M18" s="1239"/>
      <c r="N18" s="1239"/>
      <c r="O18" s="1239"/>
      <c r="P18" s="3077"/>
      <c r="Q18" s="1892"/>
      <c r="R18" s="752"/>
      <c r="S18" s="753"/>
      <c r="T18" s="752"/>
      <c r="U18" s="753"/>
      <c r="V18" s="752"/>
      <c r="W18" s="753"/>
      <c r="X18" s="1893"/>
      <c r="Y18" s="3064"/>
      <c r="Z18" s="1895"/>
      <c r="AA18" s="1896">
        <v>1</v>
      </c>
      <c r="AB18" s="1896">
        <v>1</v>
      </c>
      <c r="AC18" s="1896">
        <v>1</v>
      </c>
    </row>
    <row r="19" spans="1:29" ht="41.4">
      <c r="A19" s="408"/>
      <c r="B19" s="431" t="s">
        <v>1740</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77"/>
      <c r="Q19" s="1892" t="str">
        <f>B19</f>
        <v>公共配套设施</v>
      </c>
      <c r="R19" s="752" t="s">
        <v>28</v>
      </c>
      <c r="S19" s="753">
        <f>F19</f>
        <v>100</v>
      </c>
      <c r="T19" s="752" t="s">
        <v>28</v>
      </c>
      <c r="U19" s="753">
        <f>H19</f>
        <v>100</v>
      </c>
      <c r="V19" s="752" t="s">
        <v>28</v>
      </c>
      <c r="W19" s="753">
        <f>J19</f>
        <v>100</v>
      </c>
      <c r="X19" s="1893"/>
      <c r="Y19" s="3064"/>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2397"/>
      <c r="L20" s="1248"/>
      <c r="M20" s="1239"/>
      <c r="N20" s="1239"/>
      <c r="O20" s="1239"/>
      <c r="P20" s="3077"/>
      <c r="Q20" s="1892"/>
      <c r="R20" s="752"/>
      <c r="S20" s="753"/>
      <c r="T20" s="752"/>
      <c r="U20" s="753"/>
      <c r="V20" s="752"/>
      <c r="W20" s="753"/>
      <c r="X20" s="1893"/>
      <c r="Y20" s="3064"/>
      <c r="Z20" s="1895"/>
      <c r="AA20" s="1896">
        <v>1</v>
      </c>
      <c r="AB20" s="1896">
        <v>1</v>
      </c>
      <c r="AC20" s="1896">
        <v>1</v>
      </c>
    </row>
    <row r="21" spans="1:29" ht="27.6">
      <c r="A21" s="408"/>
      <c r="B21" s="2400" t="s">
        <v>1743</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77"/>
      <c r="Q21" s="1892" t="str">
        <f>B21</f>
        <v>基础设施水平</v>
      </c>
      <c r="R21" s="752" t="s">
        <v>28</v>
      </c>
      <c r="S21" s="753">
        <f>F21</f>
        <v>100</v>
      </c>
      <c r="T21" s="752" t="s">
        <v>28</v>
      </c>
      <c r="U21" s="753">
        <f>H21</f>
        <v>100</v>
      </c>
      <c r="V21" s="752" t="s">
        <v>28</v>
      </c>
      <c r="W21" s="753">
        <f>J21</f>
        <v>100</v>
      </c>
      <c r="X21" s="1893"/>
      <c r="Y21" s="3064"/>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2401"/>
      <c r="L22" s="1248"/>
      <c r="M22" s="1239"/>
      <c r="N22" s="1239"/>
      <c r="O22" s="1239"/>
      <c r="P22" s="3077"/>
      <c r="Q22" s="1892"/>
      <c r="R22" s="752"/>
      <c r="S22" s="753"/>
      <c r="T22" s="752"/>
      <c r="U22" s="753"/>
      <c r="V22" s="752"/>
      <c r="W22" s="753"/>
      <c r="X22" s="1893"/>
      <c r="Y22" s="3064"/>
      <c r="Z22" s="1895"/>
      <c r="AA22" s="1896">
        <v>1</v>
      </c>
      <c r="AB22" s="1896">
        <v>1</v>
      </c>
      <c r="AC22" s="1896">
        <v>1</v>
      </c>
    </row>
    <row r="23" spans="1:29" ht="55.2">
      <c r="A23" s="408"/>
      <c r="B23" s="431" t="s">
        <v>1747</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77"/>
      <c r="Q23" s="1892" t="str">
        <f>B23</f>
        <v>自然及人文环境</v>
      </c>
      <c r="R23" s="752" t="s">
        <v>28</v>
      </c>
      <c r="S23" s="753">
        <f>F23</f>
        <v>100</v>
      </c>
      <c r="T23" s="752" t="s">
        <v>28</v>
      </c>
      <c r="U23" s="753">
        <f>H23</f>
        <v>100</v>
      </c>
      <c r="V23" s="752" t="s">
        <v>28</v>
      </c>
      <c r="W23" s="753">
        <f>J23</f>
        <v>100</v>
      </c>
      <c r="X23" s="1893"/>
      <c r="Y23" s="3064"/>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2397"/>
      <c r="L24" s="1248"/>
      <c r="M24" s="1239"/>
      <c r="N24" s="1239"/>
      <c r="O24" s="1239"/>
      <c r="P24" s="3077"/>
      <c r="Q24" s="1892"/>
      <c r="R24" s="752"/>
      <c r="S24" s="753"/>
      <c r="T24" s="752"/>
      <c r="U24" s="753"/>
      <c r="V24" s="752"/>
      <c r="W24" s="753"/>
      <c r="X24" s="1893"/>
      <c r="Y24" s="3064"/>
      <c r="Z24" s="1895"/>
      <c r="AA24" s="1896">
        <v>1</v>
      </c>
      <c r="AB24" s="1896">
        <v>1</v>
      </c>
      <c r="AC24" s="1896">
        <v>1</v>
      </c>
    </row>
    <row r="25" spans="1:29" ht="15">
      <c r="A25" s="408"/>
      <c r="B25" s="402" t="s">
        <v>2356</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77"/>
      <c r="Q25" s="1892" t="str">
        <f t="shared" ref="Q25:Q46" si="11">B25</f>
        <v>楼层-1</v>
      </c>
      <c r="R25" s="752" t="s">
        <v>28</v>
      </c>
      <c r="S25" s="753">
        <f>F25</f>
        <v>100</v>
      </c>
      <c r="T25" s="752" t="s">
        <v>28</v>
      </c>
      <c r="U25" s="753">
        <f>H25</f>
        <v>100</v>
      </c>
      <c r="V25" s="752" t="s">
        <v>28</v>
      </c>
      <c r="W25" s="753">
        <f>J25</f>
        <v>100</v>
      </c>
      <c r="X25" s="1893"/>
      <c r="Y25" s="3064"/>
      <c r="Z25" s="1895" t="str">
        <f>Q25</f>
        <v>楼层-1</v>
      </c>
      <c r="AA25" s="1896">
        <f t="shared" si="3"/>
        <v>1</v>
      </c>
      <c r="AB25" s="1896">
        <f t="shared" si="4"/>
        <v>1</v>
      </c>
      <c r="AC25" s="1896">
        <f t="shared" si="5"/>
        <v>1</v>
      </c>
    </row>
    <row r="26" spans="1:29" ht="15">
      <c r="A26" s="408"/>
      <c r="B26" s="402" t="s">
        <v>2357</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77"/>
      <c r="Q26" s="1892" t="str">
        <f t="shared" si="11"/>
        <v>朝向</v>
      </c>
      <c r="R26" s="752" t="s">
        <v>28</v>
      </c>
      <c r="S26" s="753">
        <f>F26</f>
        <v>100</v>
      </c>
      <c r="T26" s="752" t="s">
        <v>28</v>
      </c>
      <c r="U26" s="753">
        <f>H26</f>
        <v>100</v>
      </c>
      <c r="V26" s="752" t="s">
        <v>28</v>
      </c>
      <c r="W26" s="753">
        <f>J26</f>
        <v>100</v>
      </c>
      <c r="X26" s="1893"/>
      <c r="Y26" s="3064"/>
      <c r="Z26" s="1895" t="str">
        <f>Q26</f>
        <v>朝向</v>
      </c>
      <c r="AA26" s="1896">
        <f t="shared" si="3"/>
        <v>1</v>
      </c>
      <c r="AB26" s="1896">
        <f t="shared" si="4"/>
        <v>1</v>
      </c>
      <c r="AC26" s="1896">
        <f t="shared" si="5"/>
        <v>1</v>
      </c>
    </row>
    <row r="27" spans="1:29" s="35" customFormat="1" ht="15">
      <c r="A27" s="411"/>
      <c r="B27" s="2391" t="s">
        <v>2358</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77"/>
      <c r="Q27" s="1880" t="str">
        <f t="shared" si="11"/>
        <v>道路级别</v>
      </c>
      <c r="R27" s="748" t="s">
        <v>28</v>
      </c>
      <c r="S27" s="749">
        <f>F27</f>
        <v>100</v>
      </c>
      <c r="T27" s="748" t="s">
        <v>28</v>
      </c>
      <c r="U27" s="749">
        <f>H27</f>
        <v>100</v>
      </c>
      <c r="V27" s="748" t="s">
        <v>28</v>
      </c>
      <c r="W27" s="749">
        <f>J27</f>
        <v>100</v>
      </c>
      <c r="X27" s="750"/>
      <c r="Y27" s="3064"/>
      <c r="Z27" s="23" t="str">
        <f>Q27</f>
        <v>道路级别</v>
      </c>
      <c r="AA27" s="1896">
        <f>D27/F27</f>
        <v>1</v>
      </c>
      <c r="AB27" s="1896">
        <f>D27/H27</f>
        <v>1</v>
      </c>
      <c r="AC27" s="1896">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77"/>
      <c r="Q28" s="1892">
        <f t="shared" si="11"/>
        <v>111</v>
      </c>
      <c r="R28" s="752" t="s">
        <v>28</v>
      </c>
      <c r="S28" s="753">
        <f t="shared" ref="S28:S46" si="12">F28</f>
        <v>100</v>
      </c>
      <c r="T28" s="752" t="s">
        <v>28</v>
      </c>
      <c r="U28" s="753">
        <f t="shared" ref="U28:U46" si="13">H28</f>
        <v>100</v>
      </c>
      <c r="V28" s="752" t="s">
        <v>28</v>
      </c>
      <c r="W28" s="753">
        <f t="shared" ref="W28:W46" si="14">J28</f>
        <v>100</v>
      </c>
      <c r="X28" s="1893"/>
      <c r="Y28" s="3064"/>
      <c r="Z28" s="1895">
        <f t="shared" ref="Z28:Z46" si="15">Q28</f>
        <v>111</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77"/>
      <c r="Q29" s="1892">
        <f t="shared" si="11"/>
        <v>111</v>
      </c>
      <c r="R29" s="752" t="s">
        <v>28</v>
      </c>
      <c r="S29" s="753">
        <f t="shared" si="12"/>
        <v>100</v>
      </c>
      <c r="T29" s="752" t="s">
        <v>28</v>
      </c>
      <c r="U29" s="753">
        <f t="shared" si="13"/>
        <v>100</v>
      </c>
      <c r="V29" s="752" t="s">
        <v>28</v>
      </c>
      <c r="W29" s="753">
        <f t="shared" si="14"/>
        <v>100</v>
      </c>
      <c r="X29" s="1893"/>
      <c r="Y29" s="3064"/>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77"/>
      <c r="Q30" s="1892">
        <f t="shared" si="11"/>
        <v>111</v>
      </c>
      <c r="R30" s="752" t="s">
        <v>28</v>
      </c>
      <c r="S30" s="753">
        <f t="shared" si="12"/>
        <v>100</v>
      </c>
      <c r="T30" s="752" t="s">
        <v>28</v>
      </c>
      <c r="U30" s="753">
        <f t="shared" si="13"/>
        <v>100</v>
      </c>
      <c r="V30" s="752" t="s">
        <v>28</v>
      </c>
      <c r="W30" s="753">
        <f t="shared" si="14"/>
        <v>100</v>
      </c>
      <c r="X30" s="1893"/>
      <c r="Y30" s="3064"/>
      <c r="Z30" s="1895">
        <f t="shared" si="15"/>
        <v>111</v>
      </c>
      <c r="AA30" s="1896">
        <f t="shared" si="3"/>
        <v>1</v>
      </c>
      <c r="AB30" s="1896">
        <f t="shared" si="4"/>
        <v>1</v>
      </c>
      <c r="AC30" s="1896">
        <f t="shared" si="5"/>
        <v>1</v>
      </c>
    </row>
    <row r="31" spans="1:29" ht="15.6"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77"/>
      <c r="Q31" s="1892">
        <f t="shared" si="11"/>
        <v>111</v>
      </c>
      <c r="R31" s="752" t="s">
        <v>28</v>
      </c>
      <c r="S31" s="753">
        <f t="shared" si="12"/>
        <v>100</v>
      </c>
      <c r="T31" s="752" t="s">
        <v>28</v>
      </c>
      <c r="U31" s="753">
        <f t="shared" si="13"/>
        <v>100</v>
      </c>
      <c r="V31" s="752" t="s">
        <v>28</v>
      </c>
      <c r="W31" s="753">
        <f t="shared" si="14"/>
        <v>100</v>
      </c>
      <c r="X31" s="1893"/>
      <c r="Y31" s="3064"/>
      <c r="Z31" s="1895">
        <f t="shared" si="15"/>
        <v>111</v>
      </c>
      <c r="AA31" s="1896">
        <f t="shared" si="3"/>
        <v>1</v>
      </c>
      <c r="AB31" s="1896">
        <f t="shared" si="4"/>
        <v>1</v>
      </c>
      <c r="AC31" s="1896">
        <f t="shared" si="5"/>
        <v>1</v>
      </c>
    </row>
    <row r="32" spans="1:29" ht="15">
      <c r="A32" s="419" t="s">
        <v>2359</v>
      </c>
      <c r="B32" s="28" t="s">
        <v>2360</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65" t="s">
        <v>2361</v>
      </c>
      <c r="Q32" s="1892" t="str">
        <f t="shared" si="11"/>
        <v>建筑类型</v>
      </c>
      <c r="R32" s="752" t="s">
        <v>28</v>
      </c>
      <c r="S32" s="753">
        <f t="shared" si="12"/>
        <v>100</v>
      </c>
      <c r="T32" s="752" t="s">
        <v>28</v>
      </c>
      <c r="U32" s="753">
        <f t="shared" si="13"/>
        <v>100</v>
      </c>
      <c r="V32" s="752" t="s">
        <v>28</v>
      </c>
      <c r="W32" s="753">
        <f t="shared" si="14"/>
        <v>100</v>
      </c>
      <c r="X32" s="1893"/>
      <c r="Y32" s="3068" t="s">
        <v>2361</v>
      </c>
      <c r="Z32" s="1895" t="str">
        <f t="shared" si="15"/>
        <v>建筑类型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66"/>
      <c r="Q33" s="754" t="str">
        <f t="shared" si="11"/>
        <v>项目建筑规模</v>
      </c>
      <c r="R33" s="755" t="s">
        <v>28</v>
      </c>
      <c r="S33" s="756" t="e">
        <f t="shared" si="12"/>
        <v>#N/A</v>
      </c>
      <c r="T33" s="755" t="s">
        <v>28</v>
      </c>
      <c r="U33" s="756" t="e">
        <f t="shared" si="13"/>
        <v>#N/A</v>
      </c>
      <c r="V33" s="755" t="s">
        <v>28</v>
      </c>
      <c r="W33" s="756" t="e">
        <f t="shared" si="14"/>
        <v>#N/A</v>
      </c>
      <c r="X33" s="757"/>
      <c r="Y33" s="3068"/>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66"/>
      <c r="Q34" s="1892" t="str">
        <f t="shared" si="11"/>
        <v>建筑结构</v>
      </c>
      <c r="R34" s="752" t="s">
        <v>28</v>
      </c>
      <c r="S34" s="753">
        <f t="shared" si="12"/>
        <v>100</v>
      </c>
      <c r="T34" s="752" t="s">
        <v>28</v>
      </c>
      <c r="U34" s="753">
        <f t="shared" si="13"/>
        <v>100</v>
      </c>
      <c r="V34" s="752" t="s">
        <v>28</v>
      </c>
      <c r="W34" s="753">
        <f t="shared" si="14"/>
        <v>100</v>
      </c>
      <c r="X34" s="1893"/>
      <c r="Y34" s="3068"/>
      <c r="Z34" s="1895" t="str">
        <f t="shared" si="15"/>
        <v>建筑结构</v>
      </c>
      <c r="AA34" s="1896">
        <f t="shared" si="3"/>
        <v>1</v>
      </c>
      <c r="AB34" s="1896">
        <f t="shared" si="4"/>
        <v>1</v>
      </c>
      <c r="AC34" s="1896">
        <f t="shared" si="5"/>
        <v>1</v>
      </c>
    </row>
    <row r="35" spans="1:29" ht="15">
      <c r="A35" s="453"/>
      <c r="B35" s="402" t="s">
        <v>2364</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66"/>
      <c r="Q35" s="1892" t="str">
        <f t="shared" si="11"/>
        <v>建筑品质</v>
      </c>
      <c r="R35" s="752" t="s">
        <v>28</v>
      </c>
      <c r="S35" s="753">
        <f t="shared" si="12"/>
        <v>100</v>
      </c>
      <c r="T35" s="752" t="s">
        <v>28</v>
      </c>
      <c r="U35" s="753">
        <f t="shared" si="13"/>
        <v>100</v>
      </c>
      <c r="V35" s="752" t="s">
        <v>28</v>
      </c>
      <c r="W35" s="753">
        <f t="shared" si="14"/>
        <v>100</v>
      </c>
      <c r="X35" s="1893"/>
      <c r="Y35" s="3068"/>
      <c r="Z35" s="1895" t="str">
        <f t="shared" si="15"/>
        <v>建筑品质</v>
      </c>
      <c r="AA35" s="1896">
        <f t="shared" si="3"/>
        <v>1</v>
      </c>
      <c r="AB35" s="1896">
        <f t="shared" si="4"/>
        <v>1</v>
      </c>
      <c r="AC35" s="1896">
        <f t="shared" si="5"/>
        <v>1</v>
      </c>
    </row>
    <row r="36" spans="1:29" ht="15">
      <c r="A36" s="453"/>
      <c r="B36" s="402" t="s">
        <v>2365</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66"/>
      <c r="Q36" s="1892" t="str">
        <f t="shared" si="11"/>
        <v>公共部分装修</v>
      </c>
      <c r="R36" s="752" t="s">
        <v>28</v>
      </c>
      <c r="S36" s="753">
        <f t="shared" si="12"/>
        <v>100</v>
      </c>
      <c r="T36" s="752" t="s">
        <v>28</v>
      </c>
      <c r="U36" s="753">
        <f t="shared" si="13"/>
        <v>100</v>
      </c>
      <c r="V36" s="752" t="s">
        <v>28</v>
      </c>
      <c r="W36" s="753">
        <f t="shared" si="14"/>
        <v>100</v>
      </c>
      <c r="X36" s="1893"/>
      <c r="Y36" s="3068"/>
      <c r="Z36" s="1895" t="str">
        <f t="shared" si="15"/>
        <v>公共部分装修</v>
      </c>
      <c r="AA36" s="1896">
        <f t="shared" si="3"/>
        <v>1</v>
      </c>
      <c r="AB36" s="1896">
        <f t="shared" si="4"/>
        <v>1</v>
      </c>
      <c r="AC36" s="1896">
        <f t="shared" si="5"/>
        <v>1</v>
      </c>
    </row>
    <row r="37" spans="1:29" s="35" customFormat="1" ht="15">
      <c r="A37" s="454"/>
      <c r="B37" s="402" t="s">
        <v>2366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6"/>
      <c r="Q37" s="1880" t="str">
        <f t="shared" si="11"/>
        <v>成新度</v>
      </c>
      <c r="R37" s="748" t="s">
        <v>28</v>
      </c>
      <c r="S37" s="749" t="e">
        <f t="shared" si="12"/>
        <v>#N/A</v>
      </c>
      <c r="T37" s="748" t="s">
        <v>28</v>
      </c>
      <c r="U37" s="749" t="e">
        <f t="shared" si="13"/>
        <v>#N/A</v>
      </c>
      <c r="V37" s="748" t="s">
        <v>28</v>
      </c>
      <c r="W37" s="749" t="e">
        <f t="shared" si="14"/>
        <v>#N/A</v>
      </c>
      <c r="X37" s="750"/>
      <c r="Y37" s="3068"/>
      <c r="Z37" s="23" t="str">
        <f t="shared" si="15"/>
        <v>成新度</v>
      </c>
      <c r="AA37" s="751" t="e">
        <f t="shared" si="3"/>
        <v>#N/A</v>
      </c>
      <c r="AB37" s="751" t="e">
        <f t="shared" si="4"/>
        <v>#N/A</v>
      </c>
      <c r="AC37" s="751" t="e">
        <f t="shared" si="5"/>
        <v>#N/A</v>
      </c>
    </row>
    <row r="38" spans="1:29" ht="15">
      <c r="A38" s="453"/>
      <c r="B38" s="402" t="s">
        <v>2367</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66" t="s">
        <v>2361</v>
      </c>
      <c r="Q38" s="1892" t="str">
        <f t="shared" si="11"/>
        <v>物业管理</v>
      </c>
      <c r="R38" s="752" t="s">
        <v>28</v>
      </c>
      <c r="S38" s="753">
        <f t="shared" si="12"/>
        <v>100</v>
      </c>
      <c r="T38" s="752" t="s">
        <v>28</v>
      </c>
      <c r="U38" s="753">
        <f t="shared" si="13"/>
        <v>100</v>
      </c>
      <c r="V38" s="752" t="s">
        <v>28</v>
      </c>
      <c r="W38" s="753">
        <f t="shared" si="14"/>
        <v>100</v>
      </c>
      <c r="X38" s="1893"/>
      <c r="Y38" s="3068" t="s">
        <v>2361</v>
      </c>
      <c r="Z38" s="1895" t="str">
        <f t="shared" si="15"/>
        <v>物业管理</v>
      </c>
      <c r="AA38" s="1896">
        <f t="shared" si="3"/>
        <v>1</v>
      </c>
      <c r="AB38" s="1896">
        <f t="shared" si="4"/>
        <v>1</v>
      </c>
      <c r="AC38" s="1896">
        <f t="shared" si="5"/>
        <v>1</v>
      </c>
    </row>
    <row r="39" spans="1:29" ht="15">
      <c r="A39" s="453"/>
      <c r="B39" s="402" t="s">
        <v>2368</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66"/>
      <c r="Q39" s="1892" t="str">
        <f t="shared" si="11"/>
        <v>市政基础设施</v>
      </c>
      <c r="R39" s="752" t="s">
        <v>28</v>
      </c>
      <c r="S39" s="753">
        <f t="shared" si="12"/>
        <v>100</v>
      </c>
      <c r="T39" s="752" t="s">
        <v>28</v>
      </c>
      <c r="U39" s="753">
        <f t="shared" si="13"/>
        <v>100</v>
      </c>
      <c r="V39" s="752" t="s">
        <v>28</v>
      </c>
      <c r="W39" s="753">
        <f t="shared" si="14"/>
        <v>100</v>
      </c>
      <c r="X39" s="1893"/>
      <c r="Y39" s="3068"/>
      <c r="Z39" s="1895" t="str">
        <f t="shared" si="15"/>
        <v>市政基础设施</v>
      </c>
      <c r="AA39" s="1896">
        <f t="shared" si="3"/>
        <v>1</v>
      </c>
      <c r="AB39" s="1896">
        <f t="shared" si="4"/>
        <v>1</v>
      </c>
      <c r="AC39" s="1896">
        <f t="shared" si="5"/>
        <v>1</v>
      </c>
    </row>
    <row r="40" spans="1:29" ht="15">
      <c r="A40" s="453"/>
      <c r="B40" s="402" t="s">
        <v>2369</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66"/>
      <c r="Q40" s="1892" t="str">
        <f t="shared" si="11"/>
        <v>房型</v>
      </c>
      <c r="R40" s="752" t="s">
        <v>28</v>
      </c>
      <c r="S40" s="753">
        <f t="shared" si="12"/>
        <v>100</v>
      </c>
      <c r="T40" s="752" t="s">
        <v>28</v>
      </c>
      <c r="U40" s="753">
        <f t="shared" si="13"/>
        <v>100</v>
      </c>
      <c r="V40" s="752" t="s">
        <v>28</v>
      </c>
      <c r="W40" s="753">
        <f t="shared" si="14"/>
        <v>100</v>
      </c>
      <c r="X40" s="1893"/>
      <c r="Y40" s="3068"/>
      <c r="Z40" s="1895" t="str">
        <f t="shared" si="15"/>
        <v>房型</v>
      </c>
      <c r="AA40" s="1896">
        <f t="shared" si="3"/>
        <v>1</v>
      </c>
      <c r="AB40" s="1896">
        <f t="shared" si="4"/>
        <v>1</v>
      </c>
      <c r="AC40" s="1896">
        <f t="shared" si="5"/>
        <v>1</v>
      </c>
    </row>
    <row r="41" spans="1:29" s="452" customFormat="1" ht="28.8">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66"/>
      <c r="Q41" s="754" t="str">
        <f t="shared" si="11"/>
        <v>单套/主力户型建筑面积</v>
      </c>
      <c r="R41" s="755" t="s">
        <v>28</v>
      </c>
      <c r="S41" s="756">
        <f t="shared" si="12"/>
        <v>100</v>
      </c>
      <c r="T41" s="755" t="s">
        <v>28</v>
      </c>
      <c r="U41" s="756">
        <f t="shared" si="13"/>
        <v>100</v>
      </c>
      <c r="V41" s="755" t="s">
        <v>28</v>
      </c>
      <c r="W41" s="756">
        <f t="shared" si="14"/>
        <v>100</v>
      </c>
      <c r="X41" s="757"/>
      <c r="Y41" s="3068"/>
      <c r="Z41" s="758" t="str">
        <f t="shared" si="15"/>
        <v>单套/主力户型建筑面积</v>
      </c>
      <c r="AA41" s="1896">
        <f t="shared" si="3"/>
        <v>1</v>
      </c>
      <c r="AB41" s="1896">
        <f t="shared" si="4"/>
        <v>1</v>
      </c>
      <c r="AC41" s="1896">
        <f t="shared" si="5"/>
        <v>1</v>
      </c>
    </row>
    <row r="42" spans="1:29" ht="15">
      <c r="A42" s="453"/>
      <c r="B42" s="402" t="s">
        <v>2371</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66"/>
      <c r="Q42" s="1892" t="str">
        <f t="shared" si="11"/>
        <v>内部装修</v>
      </c>
      <c r="R42" s="752" t="s">
        <v>28</v>
      </c>
      <c r="S42" s="753">
        <f t="shared" si="12"/>
        <v>100</v>
      </c>
      <c r="T42" s="752" t="s">
        <v>28</v>
      </c>
      <c r="U42" s="753">
        <f t="shared" si="13"/>
        <v>100</v>
      </c>
      <c r="V42" s="752" t="s">
        <v>28</v>
      </c>
      <c r="W42" s="753">
        <f t="shared" si="14"/>
        <v>100</v>
      </c>
      <c r="X42" s="1893"/>
      <c r="Y42" s="3068"/>
      <c r="Z42" s="1895" t="str">
        <f t="shared" si="15"/>
        <v>内部装修</v>
      </c>
      <c r="AA42" s="1896">
        <f t="shared" si="3"/>
        <v>1</v>
      </c>
      <c r="AB42" s="1896">
        <f t="shared" si="4"/>
        <v>1</v>
      </c>
      <c r="AC42" s="1896">
        <f t="shared" si="5"/>
        <v>1</v>
      </c>
    </row>
    <row r="43" spans="1:29" ht="28.8">
      <c r="A43" s="453"/>
      <c r="B43" s="402" t="s">
        <v>2372</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66"/>
      <c r="Q43" s="1892" t="str">
        <f t="shared" si="11"/>
        <v>内部装修维护情况</v>
      </c>
      <c r="R43" s="752" t="s">
        <v>28</v>
      </c>
      <c r="S43" s="753">
        <f t="shared" si="12"/>
        <v>100</v>
      </c>
      <c r="T43" s="752" t="s">
        <v>28</v>
      </c>
      <c r="U43" s="753">
        <f t="shared" si="13"/>
        <v>100</v>
      </c>
      <c r="V43" s="752" t="s">
        <v>28</v>
      </c>
      <c r="W43" s="753">
        <f t="shared" si="14"/>
        <v>100</v>
      </c>
      <c r="X43" s="1893"/>
      <c r="Y43" s="3068"/>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66"/>
      <c r="Q44" s="1880">
        <f t="shared" si="11"/>
        <v>111</v>
      </c>
      <c r="R44" s="748" t="s">
        <v>28</v>
      </c>
      <c r="S44" s="749">
        <f t="shared" si="12"/>
        <v>100</v>
      </c>
      <c r="T44" s="748" t="s">
        <v>28</v>
      </c>
      <c r="U44" s="749">
        <f t="shared" si="13"/>
        <v>100</v>
      </c>
      <c r="V44" s="748" t="s">
        <v>28</v>
      </c>
      <c r="W44" s="749">
        <f t="shared" si="14"/>
        <v>100</v>
      </c>
      <c r="X44" s="750"/>
      <c r="Y44" s="3068"/>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66"/>
      <c r="Q45" s="1892">
        <f t="shared" si="11"/>
        <v>111</v>
      </c>
      <c r="R45" s="752" t="s">
        <v>28</v>
      </c>
      <c r="S45" s="753">
        <f t="shared" si="12"/>
        <v>100</v>
      </c>
      <c r="T45" s="752" t="s">
        <v>28</v>
      </c>
      <c r="U45" s="753">
        <f t="shared" si="13"/>
        <v>100</v>
      </c>
      <c r="V45" s="752" t="s">
        <v>28</v>
      </c>
      <c r="W45" s="753">
        <f t="shared" si="14"/>
        <v>100</v>
      </c>
      <c r="X45" s="1893"/>
      <c r="Y45" s="3068"/>
      <c r="Z45" s="1895">
        <f t="shared" si="15"/>
        <v>111</v>
      </c>
      <c r="AA45" s="1896">
        <f t="shared" si="3"/>
        <v>1</v>
      </c>
      <c r="AB45" s="1896">
        <f t="shared" si="4"/>
        <v>1</v>
      </c>
      <c r="AC45" s="1896">
        <f t="shared" si="5"/>
        <v>1</v>
      </c>
    </row>
    <row r="46" spans="1:29" ht="15.6"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67"/>
      <c r="Q46" s="1892">
        <f t="shared" si="11"/>
        <v>111</v>
      </c>
      <c r="R46" s="752" t="s">
        <v>27</v>
      </c>
      <c r="S46" s="753">
        <f t="shared" si="12"/>
        <v>100</v>
      </c>
      <c r="T46" s="752" t="s">
        <v>27</v>
      </c>
      <c r="U46" s="753">
        <f t="shared" si="13"/>
        <v>100</v>
      </c>
      <c r="V46" s="752" t="s">
        <v>27</v>
      </c>
      <c r="W46" s="753">
        <f t="shared" si="14"/>
        <v>100</v>
      </c>
      <c r="X46" s="1893"/>
      <c r="Y46" s="3069"/>
      <c r="Z46" s="1895">
        <f t="shared" si="15"/>
        <v>111</v>
      </c>
      <c r="AA46" s="1896">
        <f t="shared" si="3"/>
        <v>1</v>
      </c>
      <c r="AB46" s="1896">
        <f t="shared" si="4"/>
        <v>1</v>
      </c>
      <c r="AC46" s="1896">
        <f t="shared" si="5"/>
        <v>1</v>
      </c>
    </row>
    <row r="47" spans="1:29" ht="14.4">
      <c r="A47" s="460" t="s">
        <v>2373</v>
      </c>
      <c r="B47" s="461"/>
      <c r="C47" s="1496" t="s">
        <v>26</v>
      </c>
      <c r="D47" s="1497"/>
      <c r="E47" s="1498"/>
      <c r="F47" s="1499"/>
      <c r="G47" s="1500"/>
      <c r="H47" s="1501"/>
      <c r="I47" s="1498"/>
      <c r="J47" s="1501"/>
      <c r="K47" s="2409"/>
      <c r="L47" s="1251"/>
      <c r="M47" s="1252"/>
      <c r="N47" s="1239"/>
      <c r="O47" s="1252"/>
      <c r="P47" s="3074" t="str">
        <f>A47</f>
        <v>成交单价（元/平方米）</v>
      </c>
      <c r="Q47" s="3074"/>
      <c r="R47" s="3075">
        <f>E47</f>
        <v>0</v>
      </c>
      <c r="S47" s="3075"/>
      <c r="T47" s="3075">
        <f>G47</f>
        <v>0</v>
      </c>
      <c r="U47" s="3075"/>
      <c r="V47" s="3075">
        <f>I47</f>
        <v>0</v>
      </c>
      <c r="W47" s="3075"/>
      <c r="X47" s="737"/>
      <c r="Y47" s="759"/>
      <c r="Z47" s="737"/>
      <c r="AA47" s="737"/>
      <c r="AB47" s="737"/>
      <c r="AC47" s="737"/>
    </row>
    <row r="48" spans="1:29" ht="15" thickBot="1">
      <c r="A48" s="467" t="s">
        <v>2374</v>
      </c>
      <c r="B48" s="468"/>
      <c r="C48" s="1502" t="e">
        <f>R49</f>
        <v>#DIV/0!</v>
      </c>
      <c r="D48" s="1503"/>
      <c r="E48" s="1504" t="e">
        <f>R48</f>
        <v>#DIV/0!</v>
      </c>
      <c r="F48" s="1504"/>
      <c r="G48" s="1502" t="e">
        <f>T48</f>
        <v>#DIV/0!</v>
      </c>
      <c r="H48" s="1503"/>
      <c r="I48" s="1504" t="e">
        <f>V48</f>
        <v>#DIV/0!</v>
      </c>
      <c r="J48" s="1503"/>
      <c r="K48" s="2410"/>
      <c r="L48" s="1251"/>
      <c r="M48" s="1252"/>
      <c r="N48" s="1252"/>
      <c r="O48" s="1252"/>
      <c r="P48" s="3074" t="str">
        <f>A48</f>
        <v>比较价值（元/平方米）</v>
      </c>
      <c r="Q48" s="3074"/>
      <c r="R48" s="3075" t="e">
        <f>IF(E1="售价",ROUND(PRODUCT(R47,AA7:AA46),0),ROUND(PRODUCT(R47,AA7:AA46),1))</f>
        <v>#DIV/0!</v>
      </c>
      <c r="S48" s="3075"/>
      <c r="T48" s="3078" t="e">
        <f>IF(E1="售价",ROUND(PRODUCT(T47,AB7:AB46),0),ROUND(PRODUCT(T47,AB7:AB46),1))</f>
        <v>#DIV/0!</v>
      </c>
      <c r="U48" s="3079"/>
      <c r="V48" s="3075" t="e">
        <f>IF(E1="售价",ROUND(PRODUCT(V47,AC7:AC46),0),ROUND(PRODUCT(V47,AC7:AC46),1))</f>
        <v>#DIV/0!</v>
      </c>
      <c r="W48" s="3075"/>
      <c r="X48" s="737"/>
      <c r="Y48" s="737"/>
      <c r="Z48" s="737"/>
      <c r="AA48" s="737"/>
      <c r="AB48" s="737"/>
      <c r="AC48" s="737"/>
    </row>
    <row r="49" spans="1:29" ht="15" thickBot="1">
      <c r="A49" s="473" t="s">
        <v>2375</v>
      </c>
      <c r="B49" s="474"/>
      <c r="C49" s="1505" t="e">
        <f>R49</f>
        <v>#DIV/0!</v>
      </c>
      <c r="D49" s="1506"/>
      <c r="E49" s="1506"/>
      <c r="F49" s="1506"/>
      <c r="G49" s="1506"/>
      <c r="H49" s="1506"/>
      <c r="I49" s="1506"/>
      <c r="J49" s="1506"/>
      <c r="K49" s="2411"/>
      <c r="L49" s="1251"/>
      <c r="M49" s="1252"/>
      <c r="N49" s="1252"/>
      <c r="O49" s="1252"/>
      <c r="P49" s="3080" t="str">
        <f>A49</f>
        <v>估价对象XX用房的比较价值（楼面单价，元/平方米）</v>
      </c>
      <c r="Q49" s="3081"/>
      <c r="R49" s="3082" t="e">
        <f>IF(E1="售价",ROUND(AVERAGE(R48:V48),0),ROUND(AVERAGE(R48:V48),1))</f>
        <v>#DIV/0!</v>
      </c>
      <c r="S49" s="3082"/>
      <c r="T49" s="3082"/>
      <c r="U49" s="3082"/>
      <c r="V49" s="3082"/>
      <c r="W49" s="308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2.2" thickBot="1">
      <c r="A57" s="741" t="s">
        <v>2379</v>
      </c>
      <c r="B57" s="737"/>
      <c r="C57" s="742"/>
      <c r="D57" s="742"/>
      <c r="E57" s="742"/>
      <c r="F57" s="743"/>
      <c r="G57" s="743"/>
      <c r="H57" s="742"/>
      <c r="I57" s="742"/>
      <c r="J57" s="742"/>
      <c r="K57" s="744"/>
      <c r="L57" s="745"/>
      <c r="M57" s="742"/>
      <c r="N57" s="742"/>
      <c r="O57" s="742"/>
      <c r="P57" s="2414"/>
      <c r="Q57" s="485"/>
    </row>
    <row r="58" spans="1:29" s="489" customFormat="1" ht="14.4">
      <c r="A58" s="486" t="s">
        <v>2380</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2382</v>
      </c>
      <c r="B61" s="491"/>
      <c r="C61" s="503" t="s">
        <v>2383</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 thickTop="1">
      <c r="A67" s="516"/>
      <c r="B67" s="529" t="s">
        <v>2353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44"/>
      <c r="E73" s="544"/>
      <c r="F73" s="544"/>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1743</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2406</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 thickTop="1">
      <c r="A88" s="563"/>
      <c r="B88" s="521" t="s">
        <v>2407</v>
      </c>
      <c r="C88" s="537"/>
      <c r="D88" s="537"/>
      <c r="E88" s="537"/>
      <c r="F88" s="2423"/>
      <c r="G88" s="537"/>
      <c r="H88" s="537"/>
      <c r="I88" s="537"/>
      <c r="J88" s="537"/>
      <c r="K88" s="537"/>
      <c r="L88" s="537"/>
      <c r="M88" s="565"/>
      <c r="N88" s="1261"/>
      <c r="O88" s="1261"/>
      <c r="P88" s="2418"/>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4.4"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4.4" thickBot="1">
      <c r="A91" s="536"/>
      <c r="B91" s="526"/>
      <c r="C91" s="544"/>
      <c r="D91" s="544"/>
      <c r="E91" s="544"/>
      <c r="F91" s="544"/>
      <c r="G91" s="544"/>
      <c r="H91" s="546"/>
      <c r="I91" s="546"/>
      <c r="J91" s="546"/>
      <c r="K91" s="546"/>
      <c r="L91" s="546"/>
      <c r="M91" s="547"/>
      <c r="N91" s="1264"/>
      <c r="O91" s="1264"/>
      <c r="P91" s="2419"/>
      <c r="Q91" s="543"/>
    </row>
    <row r="92" spans="1:17" ht="14.4" thickTop="1">
      <c r="A92" s="516"/>
      <c r="B92" s="521">
        <f>B28</f>
        <v>111</v>
      </c>
      <c r="C92" s="537"/>
      <c r="D92" s="537"/>
      <c r="E92" s="537"/>
      <c r="F92" s="537"/>
      <c r="G92" s="567"/>
      <c r="H92" s="567"/>
      <c r="I92" s="567"/>
      <c r="J92" s="567"/>
      <c r="K92" s="568"/>
      <c r="L92" s="569"/>
      <c r="M92" s="570"/>
      <c r="N92" s="1262"/>
      <c r="O92" s="1262"/>
      <c r="P92" s="2418"/>
      <c r="Q92" s="485"/>
    </row>
    <row r="93" spans="1:17" ht="14.4" thickBot="1">
      <c r="A93" s="516"/>
      <c r="B93" s="526"/>
      <c r="C93" s="544"/>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44"/>
      <c r="E95" s="544"/>
      <c r="F95" s="544"/>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54"/>
      <c r="D97" s="554"/>
      <c r="E97" s="554"/>
      <c r="F97" s="554"/>
      <c r="G97" s="518"/>
      <c r="H97" s="518"/>
      <c r="I97" s="518"/>
      <c r="J97" s="518"/>
      <c r="K97" s="518"/>
      <c r="L97" s="518"/>
      <c r="M97" s="519"/>
      <c r="N97" s="1263"/>
      <c r="O97" s="1263"/>
      <c r="P97" s="2418"/>
      <c r="Q97" s="485"/>
    </row>
    <row r="98" spans="1:17" ht="14.4" thickTop="1">
      <c r="A98" s="516"/>
      <c r="B98" s="529">
        <f>B31</f>
        <v>111</v>
      </c>
      <c r="C98" s="571"/>
      <c r="D98" s="571"/>
      <c r="E98" s="571"/>
      <c r="F98" s="571"/>
      <c r="G98" s="571"/>
      <c r="H98" s="571"/>
      <c r="I98" s="571"/>
      <c r="J98" s="571"/>
      <c r="K98" s="572"/>
      <c r="L98" s="573"/>
      <c r="M98" s="574"/>
      <c r="N98" s="1262"/>
      <c r="O98" s="1262"/>
      <c r="P98" s="2418"/>
      <c r="Q98" s="485"/>
    </row>
    <row r="99" spans="1:17" ht="14.4" thickBot="1">
      <c r="A99" s="2424"/>
      <c r="B99" s="553"/>
      <c r="C99" s="575"/>
      <c r="D99" s="575"/>
      <c r="E99" s="575"/>
      <c r="F99" s="575"/>
      <c r="G99" s="575"/>
      <c r="H99" s="575"/>
      <c r="I99" s="575"/>
      <c r="J99" s="575"/>
      <c r="K99" s="575"/>
      <c r="L99" s="575"/>
      <c r="M99" s="576"/>
      <c r="N99" s="1263"/>
      <c r="O99" s="1263"/>
      <c r="P99" s="2418"/>
      <c r="Q99" s="485"/>
    </row>
    <row r="100" spans="1:17" ht="14.4">
      <c r="A100" s="508" t="s">
        <v>2359</v>
      </c>
      <c r="B100" s="509" t="s">
        <v>2408</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 thickTop="1">
      <c r="A102" s="516"/>
      <c r="B102" s="521" t="s">
        <v>2409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2411</v>
      </c>
      <c r="C107" s="567"/>
      <c r="D107" s="567"/>
      <c r="E107" s="56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2412</v>
      </c>
      <c r="C109" s="537"/>
      <c r="D109" s="537"/>
      <c r="E109" s="537"/>
      <c r="F109" s="567"/>
      <c r="G109" s="567"/>
      <c r="H109" s="567"/>
      <c r="I109" s="567"/>
      <c r="J109" s="567"/>
      <c r="K109" s="568"/>
      <c r="L109" s="569"/>
      <c r="M109" s="570"/>
      <c r="N109" s="1262"/>
      <c r="O109" s="1262"/>
      <c r="P109" s="2418"/>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2416</v>
      </c>
      <c r="C118" s="567"/>
      <c r="D118" s="567"/>
      <c r="E118" s="567"/>
      <c r="F118" s="567"/>
      <c r="G118" s="567"/>
      <c r="H118" s="567"/>
      <c r="I118" s="567"/>
      <c r="J118" s="567"/>
      <c r="K118" s="568"/>
      <c r="L118" s="569"/>
      <c r="M118" s="570"/>
      <c r="N118" s="1262"/>
      <c r="O118" s="1262"/>
      <c r="P118" s="2418"/>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9.4" thickTop="1">
      <c r="A120" s="577"/>
      <c r="B120" s="521" t="s">
        <v>2370</v>
      </c>
      <c r="C120" s="537"/>
      <c r="D120" s="537"/>
      <c r="E120" s="537"/>
      <c r="F120" s="537"/>
      <c r="G120" s="537"/>
      <c r="H120" s="537"/>
      <c r="I120" s="537"/>
      <c r="J120" s="537"/>
      <c r="K120" s="537"/>
      <c r="L120" s="564"/>
      <c r="M120" s="565"/>
      <c r="N120" s="1264"/>
      <c r="O120" s="1264"/>
      <c r="P120" s="2419"/>
      <c r="Q120" s="543"/>
    </row>
    <row r="121" spans="1:17" s="452" customFormat="1" ht="14.4"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44"/>
      <c r="E129" s="544"/>
      <c r="F129" s="544"/>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2419</v>
      </c>
    </row>
    <row r="137" spans="1:17" ht="15">
      <c r="B137" s="2426" t="s">
        <v>2420</v>
      </c>
      <c r="C137" s="2427"/>
      <c r="D137" s="2427"/>
      <c r="E137" s="2427"/>
      <c r="F137" s="2427"/>
      <c r="G137" s="2428"/>
      <c r="H137" s="2429"/>
      <c r="I137" s="2430" t="s">
        <v>2421</v>
      </c>
      <c r="J137" s="2427"/>
      <c r="K137" s="2431"/>
    </row>
    <row r="138" spans="1:17" ht="15">
      <c r="B138" s="2432"/>
      <c r="C138" s="62" t="s">
        <v>2422</v>
      </c>
      <c r="D138" s="62" t="s">
        <v>2423</v>
      </c>
      <c r="E138" s="2433" t="s">
        <v>2424</v>
      </c>
      <c r="F138" s="2434" t="s">
        <v>2425</v>
      </c>
      <c r="G138" s="62" t="s">
        <v>2423</v>
      </c>
      <c r="H138" s="63" t="s">
        <v>2424</v>
      </c>
      <c r="I138" s="2435"/>
      <c r="J138" s="62" t="s">
        <v>2426</v>
      </c>
      <c r="K138" s="63" t="s">
        <v>2427</v>
      </c>
    </row>
    <row r="139" spans="1:17" ht="15">
      <c r="B139" s="1120">
        <v>6</v>
      </c>
      <c r="C139" s="1128">
        <v>96</v>
      </c>
      <c r="D139" s="2436" t="s">
        <v>2428</v>
      </c>
      <c r="E139" s="1129">
        <v>100</v>
      </c>
      <c r="F139" s="1130">
        <v>102.5</v>
      </c>
      <c r="G139" s="2436" t="s">
        <v>2428</v>
      </c>
      <c r="H139" s="1131">
        <v>105</v>
      </c>
      <c r="I139" s="2437" t="s">
        <v>2429</v>
      </c>
      <c r="J139" s="1128">
        <v>20</v>
      </c>
      <c r="K139" s="1122">
        <f>C145/(J139-2)</f>
        <v>4.0555555555555553E-3</v>
      </c>
    </row>
    <row r="140" spans="1:17" ht="15">
      <c r="B140" s="1121">
        <v>5</v>
      </c>
      <c r="C140" s="1132">
        <v>100</v>
      </c>
      <c r="D140" s="1132"/>
      <c r="E140" s="1133"/>
      <c r="F140" s="1134">
        <v>102</v>
      </c>
      <c r="G140" s="1132"/>
      <c r="H140" s="1135"/>
      <c r="I140" s="2438" t="s">
        <v>2430</v>
      </c>
      <c r="J140" s="217">
        <f>ROUNDUP((J139-1)/2,0)</f>
        <v>10</v>
      </c>
      <c r="K140" s="1123">
        <v>100</v>
      </c>
    </row>
    <row r="141" spans="1:17" ht="15">
      <c r="B141" s="1121">
        <v>4</v>
      </c>
      <c r="C141" s="1132">
        <v>102</v>
      </c>
      <c r="D141" s="1132"/>
      <c r="E141" s="1133"/>
      <c r="F141" s="1134">
        <v>101.5</v>
      </c>
      <c r="G141" s="1132"/>
      <c r="H141" s="1135"/>
      <c r="I141" s="2438" t="s">
        <v>2431</v>
      </c>
      <c r="J141" s="217">
        <v>1</v>
      </c>
      <c r="K141" s="1124">
        <f>ROUND(100+(J141-J140)*K139*100,1)</f>
        <v>96.4</v>
      </c>
    </row>
    <row r="142" spans="1:17" ht="15">
      <c r="B142" s="1121">
        <v>3</v>
      </c>
      <c r="C142" s="1132">
        <v>103</v>
      </c>
      <c r="D142" s="1132"/>
      <c r="E142" s="1133"/>
      <c r="F142" s="1134">
        <v>101</v>
      </c>
      <c r="G142" s="1132"/>
      <c r="H142" s="1135"/>
      <c r="I142" s="2438" t="s">
        <v>2432</v>
      </c>
      <c r="J142" s="217">
        <f>J139</f>
        <v>20</v>
      </c>
      <c r="K142" s="1137">
        <v>95</v>
      </c>
    </row>
    <row r="143" spans="1:17" ht="15">
      <c r="B143" s="1121">
        <v>2</v>
      </c>
      <c r="C143" s="1132">
        <v>100</v>
      </c>
      <c r="D143" s="1132"/>
      <c r="E143" s="1133"/>
      <c r="F143" s="1134">
        <v>100.5</v>
      </c>
      <c r="G143" s="1132"/>
      <c r="H143" s="1135"/>
      <c r="I143" s="2438" t="s">
        <v>2433</v>
      </c>
      <c r="J143" s="1132">
        <v>15</v>
      </c>
      <c r="K143" s="1124">
        <f>ROUND(100+(J143-J140)*K139*100,1)</f>
        <v>102</v>
      </c>
    </row>
    <row r="144" spans="1:17" ht="15">
      <c r="B144" s="1121">
        <v>1</v>
      </c>
      <c r="C144" s="1132">
        <v>98</v>
      </c>
      <c r="D144" s="2439" t="s">
        <v>2434</v>
      </c>
      <c r="E144" s="1133">
        <v>102</v>
      </c>
      <c r="F144" s="1136">
        <v>100</v>
      </c>
      <c r="G144" s="2439" t="s">
        <v>2434</v>
      </c>
      <c r="H144" s="1135">
        <v>105</v>
      </c>
      <c r="I144" s="2438" t="s">
        <v>2433</v>
      </c>
      <c r="J144" s="1132">
        <v>18</v>
      </c>
      <c r="K144" s="1124">
        <f>ROUND(100+(J144-J140)*K139*100,1)</f>
        <v>103.2</v>
      </c>
    </row>
    <row r="145" spans="2:11" ht="16.2" thickBot="1">
      <c r="B145" s="2440" t="s">
        <v>2435</v>
      </c>
      <c r="C145" s="1126">
        <f>ROUND(MAX(C139:C144)/MIN(C139:C144)-1,3)</f>
        <v>7.2999999999999995E-2</v>
      </c>
      <c r="D145" s="1127"/>
      <c r="E145" s="1127"/>
      <c r="F145" s="2441" t="s">
        <v>2436</v>
      </c>
      <c r="G145" s="2442"/>
      <c r="H145" s="2443"/>
      <c r="I145" s="2444" t="s">
        <v>2433</v>
      </c>
      <c r="J145" s="1138">
        <v>8</v>
      </c>
      <c r="K145" s="1125">
        <f>ROUND(100+(J145-J140)*K139*100,1)</f>
        <v>99.2</v>
      </c>
    </row>
    <row r="147" spans="2:11" ht="14.4">
      <c r="B147" s="2425" t="s">
        <v>2437</v>
      </c>
    </row>
    <row r="148" spans="2:11" ht="14.4">
      <c r="B148" s="2425" t="s">
        <v>2438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2439</v>
      </c>
      <c r="C1" s="1720"/>
      <c r="D1" s="2445"/>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2000</v>
      </c>
      <c r="B3" s="593" t="e">
        <f ca="1">ROUND(IF(D2="——",C49,IF(C2="万元",B2*10000/D3,B2/D3)),0)</f>
        <v>#DIV/0!</v>
      </c>
      <c r="C3" s="379" t="s">
        <v>2329</v>
      </c>
      <c r="D3" s="378">
        <f>IF(C1="仅计算典型户型",'数据-取费表'!E5,'数据-取费表'!B5)</f>
        <v>1134.33</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4.4">
      <c r="A4" s="380" t="s">
        <v>2330</v>
      </c>
      <c r="B4" s="381"/>
      <c r="C4" s="3038" t="s">
        <v>2331</v>
      </c>
      <c r="D4" s="3039"/>
      <c r="E4" s="3040" t="s">
        <v>2332</v>
      </c>
      <c r="F4" s="3041"/>
      <c r="G4" s="3038" t="s">
        <v>2333</v>
      </c>
      <c r="H4" s="3039"/>
      <c r="I4" s="3038" t="s">
        <v>2334</v>
      </c>
      <c r="J4" s="3039"/>
      <c r="K4" s="594"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54" t="s">
        <v>2333</v>
      </c>
      <c r="AC4" s="3035" t="s">
        <v>2334</v>
      </c>
    </row>
    <row r="5" spans="1:29">
      <c r="A5" s="383"/>
      <c r="B5" s="384"/>
      <c r="C5" s="3057" t="s">
        <v>2337</v>
      </c>
      <c r="D5" s="3058"/>
      <c r="E5" s="3055" t="s">
        <v>2338</v>
      </c>
      <c r="F5" s="3056"/>
      <c r="G5" s="3057" t="s">
        <v>2339</v>
      </c>
      <c r="H5" s="3058"/>
      <c r="I5" s="3057" t="s">
        <v>2340</v>
      </c>
      <c r="J5" s="3058"/>
      <c r="K5" s="594"/>
      <c r="L5" s="1238"/>
      <c r="M5" s="1239"/>
      <c r="N5" s="1239"/>
      <c r="O5" s="1239"/>
      <c r="P5" s="3044"/>
      <c r="Q5" s="3045"/>
      <c r="R5" s="3050"/>
      <c r="S5" s="3051"/>
      <c r="T5" s="3050"/>
      <c r="U5" s="3051"/>
      <c r="V5" s="3054"/>
      <c r="W5" s="3054"/>
      <c r="X5" s="1893"/>
      <c r="Y5" s="3050"/>
      <c r="Z5" s="3051"/>
      <c r="AA5" s="3036"/>
      <c r="AB5" s="3054"/>
      <c r="AC5" s="3036"/>
    </row>
    <row r="6" spans="1:29" ht="15" thickBot="1">
      <c r="A6" s="385"/>
      <c r="B6" s="386"/>
      <c r="C6" s="3059" t="s">
        <v>2341</v>
      </c>
      <c r="D6" s="3060"/>
      <c r="E6" s="3061" t="s">
        <v>2341</v>
      </c>
      <c r="F6" s="3062"/>
      <c r="G6" s="3059" t="s">
        <v>2341</v>
      </c>
      <c r="H6" s="3060"/>
      <c r="I6" s="3059" t="s">
        <v>2341</v>
      </c>
      <c r="J6" s="3060"/>
      <c r="K6" s="594" t="s">
        <v>2342</v>
      </c>
      <c r="L6" s="1238"/>
      <c r="M6" s="1239"/>
      <c r="N6" s="1239"/>
      <c r="O6" s="1239"/>
      <c r="P6" s="3046"/>
      <c r="Q6" s="3047"/>
      <c r="R6" s="3050"/>
      <c r="S6" s="3051"/>
      <c r="T6" s="3052"/>
      <c r="U6" s="3053"/>
      <c r="V6" s="3054"/>
      <c r="W6" s="3054"/>
      <c r="X6" s="1893"/>
      <c r="Y6" s="3052"/>
      <c r="Z6" s="3053"/>
      <c r="AA6" s="3037"/>
      <c r="AB6" s="3054"/>
      <c r="AC6" s="3037"/>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70" t="s">
        <v>2344</v>
      </c>
      <c r="Q7" s="3072"/>
      <c r="R7" s="748" t="s">
        <v>25</v>
      </c>
      <c r="S7" s="749">
        <f t="shared" ref="S7:S15" si="0">F7</f>
        <v>0</v>
      </c>
      <c r="T7" s="748" t="s">
        <v>25</v>
      </c>
      <c r="U7" s="749">
        <f t="shared" ref="U7:U15" si="1">H7</f>
        <v>0</v>
      </c>
      <c r="V7" s="748" t="s">
        <v>25</v>
      </c>
      <c r="W7" s="749">
        <f t="shared" ref="W7:W15" si="2">J7</f>
        <v>0</v>
      </c>
      <c r="X7" s="750"/>
      <c r="Y7" s="3070" t="s">
        <v>2344</v>
      </c>
      <c r="Z7" s="3071"/>
      <c r="AA7" s="751" t="e">
        <f>D7/F7</f>
        <v>#DIV/0!</v>
      </c>
      <c r="AB7" s="751" t="e">
        <f>D7/H7</f>
        <v>#DIV/0!</v>
      </c>
      <c r="AC7" s="751" t="e">
        <f>D7/J7</f>
        <v>#DIV/0!</v>
      </c>
    </row>
    <row r="8" spans="1:29" s="35" customFormat="1" ht="1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70" t="s">
        <v>2347</v>
      </c>
      <c r="Q8" s="3071"/>
      <c r="R8" s="748" t="s">
        <v>25</v>
      </c>
      <c r="S8" s="749">
        <f t="shared" si="0"/>
        <v>0</v>
      </c>
      <c r="T8" s="748" t="s">
        <v>25</v>
      </c>
      <c r="U8" s="749">
        <f t="shared" si="1"/>
        <v>0</v>
      </c>
      <c r="V8" s="748" t="s">
        <v>25</v>
      </c>
      <c r="W8" s="749">
        <f t="shared" si="2"/>
        <v>0</v>
      </c>
      <c r="X8" s="750"/>
      <c r="Y8" s="3070" t="s">
        <v>2347</v>
      </c>
      <c r="Z8" s="3071"/>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3"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3"/>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3"/>
      <c r="Q11" s="1880"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3"/>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3"/>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6"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3"/>
      <c r="Q14" s="1880">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82.8">
      <c r="A15" s="419" t="s">
        <v>2354</v>
      </c>
      <c r="B15" s="26" t="s">
        <v>2440</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76" t="s">
        <v>2355</v>
      </c>
      <c r="Q15" s="1892" t="str">
        <f t="shared" si="6"/>
        <v>商业繁华度</v>
      </c>
      <c r="R15" s="752" t="s">
        <v>25</v>
      </c>
      <c r="S15" s="753">
        <f t="shared" si="0"/>
        <v>100</v>
      </c>
      <c r="T15" s="752" t="s">
        <v>25</v>
      </c>
      <c r="U15" s="753">
        <f t="shared" si="1"/>
        <v>100</v>
      </c>
      <c r="V15" s="752" t="s">
        <v>25</v>
      </c>
      <c r="W15" s="753">
        <f t="shared" si="2"/>
        <v>100</v>
      </c>
      <c r="X15" s="1893"/>
      <c r="Y15" s="3063" t="s">
        <v>2355</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077"/>
      <c r="Q16" s="1892"/>
      <c r="R16" s="752"/>
      <c r="S16" s="753"/>
      <c r="T16" s="752"/>
      <c r="U16" s="753"/>
      <c r="V16" s="752"/>
      <c r="W16" s="753"/>
      <c r="X16" s="1893"/>
      <c r="Y16" s="3064"/>
      <c r="Z16" s="1895"/>
      <c r="AA16" s="1896">
        <v>1</v>
      </c>
      <c r="AB16" s="1896">
        <v>1</v>
      </c>
      <c r="AC16" s="1896">
        <v>1</v>
      </c>
    </row>
    <row r="17" spans="1:29" ht="96.6">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77"/>
      <c r="Q17" s="1892" t="str">
        <f>B17</f>
        <v>交通便捷度</v>
      </c>
      <c r="R17" s="752" t="s">
        <v>25</v>
      </c>
      <c r="S17" s="753">
        <f>F17</f>
        <v>100</v>
      </c>
      <c r="T17" s="752" t="s">
        <v>25</v>
      </c>
      <c r="U17" s="753">
        <f>H17</f>
        <v>100</v>
      </c>
      <c r="V17" s="752" t="s">
        <v>25</v>
      </c>
      <c r="W17" s="753">
        <f>J17</f>
        <v>100</v>
      </c>
      <c r="X17" s="1893"/>
      <c r="Y17" s="3064"/>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39"/>
      <c r="P18" s="3077"/>
      <c r="Q18" s="1892"/>
      <c r="R18" s="752"/>
      <c r="S18" s="753"/>
      <c r="T18" s="752"/>
      <c r="U18" s="753"/>
      <c r="V18" s="752"/>
      <c r="W18" s="753"/>
      <c r="X18" s="1893"/>
      <c r="Y18" s="3064"/>
      <c r="Z18" s="1895"/>
      <c r="AA18" s="1896">
        <v>1</v>
      </c>
      <c r="AB18" s="1896">
        <v>1</v>
      </c>
      <c r="AC18" s="1896">
        <v>1</v>
      </c>
    </row>
    <row r="19" spans="1:29" ht="41.4">
      <c r="A19" s="408"/>
      <c r="B19" s="431" t="s">
        <v>2441</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77"/>
      <c r="Q19" s="1892" t="str">
        <f>B19</f>
        <v>公共配套设施</v>
      </c>
      <c r="R19" s="752" t="s">
        <v>25</v>
      </c>
      <c r="S19" s="753">
        <f>F19</f>
        <v>100</v>
      </c>
      <c r="T19" s="752" t="s">
        <v>25</v>
      </c>
      <c r="U19" s="753">
        <f>H19</f>
        <v>100</v>
      </c>
      <c r="V19" s="752" t="s">
        <v>25</v>
      </c>
      <c r="W19" s="753">
        <f>J19</f>
        <v>100</v>
      </c>
      <c r="X19" s="1893"/>
      <c r="Y19" s="3064"/>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599"/>
      <c r="L20" s="1248"/>
      <c r="M20" s="1239"/>
      <c r="N20" s="1239"/>
      <c r="O20" s="1239"/>
      <c r="P20" s="3077"/>
      <c r="Q20" s="1892"/>
      <c r="R20" s="752"/>
      <c r="S20" s="753"/>
      <c r="T20" s="752"/>
      <c r="U20" s="753"/>
      <c r="V20" s="752"/>
      <c r="W20" s="753"/>
      <c r="X20" s="1893"/>
      <c r="Y20" s="3064"/>
      <c r="Z20" s="1895"/>
      <c r="AA20" s="1896">
        <v>1</v>
      </c>
      <c r="AB20" s="1896">
        <v>1</v>
      </c>
      <c r="AC20" s="1896">
        <v>1</v>
      </c>
    </row>
    <row r="21" spans="1:29" ht="41.4">
      <c r="A21" s="408"/>
      <c r="B21" s="2400" t="s">
        <v>2442</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77"/>
      <c r="Q21" s="1892" t="str">
        <f>B21</f>
        <v>基础设施水平</v>
      </c>
      <c r="R21" s="752" t="s">
        <v>25</v>
      </c>
      <c r="S21" s="753">
        <f>F21</f>
        <v>100</v>
      </c>
      <c r="T21" s="752" t="s">
        <v>25</v>
      </c>
      <c r="U21" s="753">
        <f>H21</f>
        <v>100</v>
      </c>
      <c r="V21" s="752" t="s">
        <v>25</v>
      </c>
      <c r="W21" s="753">
        <f>J21</f>
        <v>100</v>
      </c>
      <c r="X21" s="1893"/>
      <c r="Y21" s="3064"/>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39"/>
      <c r="P22" s="3077"/>
      <c r="Q22" s="1892"/>
      <c r="R22" s="752"/>
      <c r="S22" s="753"/>
      <c r="T22" s="752"/>
      <c r="U22" s="753"/>
      <c r="V22" s="752"/>
      <c r="W22" s="753"/>
      <c r="X22" s="1893"/>
      <c r="Y22" s="3064"/>
      <c r="Z22" s="1895"/>
      <c r="AA22" s="1896">
        <v>1</v>
      </c>
      <c r="AB22" s="1896">
        <v>1</v>
      </c>
      <c r="AC22" s="1896">
        <v>1</v>
      </c>
    </row>
    <row r="23" spans="1:29" ht="55.2">
      <c r="A23" s="408"/>
      <c r="B23" s="431" t="s">
        <v>1747</v>
      </c>
      <c r="C23" s="244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77"/>
      <c r="Q23" s="1892" t="str">
        <f>B23</f>
        <v>自然及人文环境</v>
      </c>
      <c r="R23" s="752" t="s">
        <v>25</v>
      </c>
      <c r="S23" s="753">
        <f>F23</f>
        <v>100</v>
      </c>
      <c r="T23" s="752" t="s">
        <v>25</v>
      </c>
      <c r="U23" s="753">
        <f>H23</f>
        <v>100</v>
      </c>
      <c r="V23" s="752" t="s">
        <v>25</v>
      </c>
      <c r="W23" s="753">
        <f>J23</f>
        <v>100</v>
      </c>
      <c r="X23" s="1893"/>
      <c r="Y23" s="3064"/>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599"/>
      <c r="L24" s="1248"/>
      <c r="M24" s="1239"/>
      <c r="N24" s="1239"/>
      <c r="O24" s="1239"/>
      <c r="P24" s="3077"/>
      <c r="Q24" s="1892"/>
      <c r="R24" s="752"/>
      <c r="S24" s="753"/>
      <c r="T24" s="752"/>
      <c r="U24" s="753"/>
      <c r="V24" s="752"/>
      <c r="W24" s="753"/>
      <c r="X24" s="1893"/>
      <c r="Y24" s="3064"/>
      <c r="Z24" s="1895"/>
      <c r="AA24" s="1896">
        <v>1</v>
      </c>
      <c r="AB24" s="1896">
        <v>1</v>
      </c>
      <c r="AC24" s="1896">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77"/>
      <c r="Q25" s="1892" t="str">
        <f t="shared" ref="Q25:Q46" si="11">B25</f>
        <v>临街状况</v>
      </c>
      <c r="R25" s="752" t="s">
        <v>25</v>
      </c>
      <c r="S25" s="753">
        <f>F25</f>
        <v>100</v>
      </c>
      <c r="T25" s="752" t="s">
        <v>25</v>
      </c>
      <c r="U25" s="753">
        <f>H25</f>
        <v>100</v>
      </c>
      <c r="V25" s="752" t="s">
        <v>25</v>
      </c>
      <c r="W25" s="753">
        <f>J25</f>
        <v>100</v>
      </c>
      <c r="X25" s="1893"/>
      <c r="Y25" s="3064"/>
      <c r="Z25" s="1895" t="str">
        <f>Q25</f>
        <v>临街状况</v>
      </c>
      <c r="AA25" s="1896">
        <f t="shared" si="3"/>
        <v>1</v>
      </c>
      <c r="AB25" s="1896">
        <f t="shared" si="4"/>
        <v>1</v>
      </c>
      <c r="AC25" s="1896">
        <f t="shared" si="5"/>
        <v>1</v>
      </c>
    </row>
    <row r="26" spans="1:29" ht="15">
      <c r="A26" s="408"/>
      <c r="B26" s="2404" t="s">
        <v>2444</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77"/>
      <c r="Q26" s="1892" t="str">
        <f t="shared" si="11"/>
        <v>平面位置/可视性</v>
      </c>
      <c r="R26" s="752" t="s">
        <v>25</v>
      </c>
      <c r="S26" s="753">
        <f>F26</f>
        <v>100</v>
      </c>
      <c r="T26" s="752" t="s">
        <v>25</v>
      </c>
      <c r="U26" s="753">
        <f>H26</f>
        <v>100</v>
      </c>
      <c r="V26" s="752" t="s">
        <v>25</v>
      </c>
      <c r="W26" s="753">
        <f>J26</f>
        <v>100</v>
      </c>
      <c r="X26" s="1893"/>
      <c r="Y26" s="3064"/>
      <c r="Z26" s="1895" t="str">
        <f>Q26</f>
        <v>平面位置/可视性</v>
      </c>
      <c r="AA26" s="1896">
        <f t="shared" si="3"/>
        <v>1</v>
      </c>
      <c r="AB26" s="1896">
        <f t="shared" si="4"/>
        <v>1</v>
      </c>
      <c r="AC26" s="1896">
        <f t="shared" si="5"/>
        <v>1</v>
      </c>
    </row>
    <row r="27" spans="1:29" s="35" customFormat="1" ht="15">
      <c r="A27" s="411"/>
      <c r="B27" s="431" t="s">
        <v>2445</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77"/>
      <c r="Q27" s="1880" t="str">
        <f t="shared" si="11"/>
        <v>人流量</v>
      </c>
      <c r="R27" s="748" t="s">
        <v>25</v>
      </c>
      <c r="S27" s="749">
        <f>F27</f>
        <v>100</v>
      </c>
      <c r="T27" s="748" t="s">
        <v>25</v>
      </c>
      <c r="U27" s="749">
        <f>H27</f>
        <v>100</v>
      </c>
      <c r="V27" s="748" t="s">
        <v>25</v>
      </c>
      <c r="W27" s="749">
        <f>J27</f>
        <v>100</v>
      </c>
      <c r="X27" s="750"/>
      <c r="Y27" s="3064"/>
      <c r="Z27" s="23" t="str">
        <f>Q27</f>
        <v>人流量</v>
      </c>
      <c r="AA27" s="1896">
        <f>D27/F27</f>
        <v>1</v>
      </c>
      <c r="AB27" s="1896">
        <f>D27/H27</f>
        <v>1</v>
      </c>
      <c r="AC27" s="1896">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77"/>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64"/>
      <c r="Z28" s="1895" t="str">
        <f t="shared" ref="Z28:Z46" si="15">Q28</f>
        <v>楼层</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77"/>
      <c r="Q29" s="1892">
        <f t="shared" si="11"/>
        <v>111</v>
      </c>
      <c r="R29" s="752" t="s">
        <v>25</v>
      </c>
      <c r="S29" s="753">
        <f t="shared" si="12"/>
        <v>100</v>
      </c>
      <c r="T29" s="752" t="s">
        <v>25</v>
      </c>
      <c r="U29" s="753">
        <f t="shared" si="13"/>
        <v>100</v>
      </c>
      <c r="V29" s="752" t="s">
        <v>25</v>
      </c>
      <c r="W29" s="753">
        <f t="shared" si="14"/>
        <v>100</v>
      </c>
      <c r="X29" s="1893"/>
      <c r="Y29" s="3064"/>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77"/>
      <c r="Q30" s="1892">
        <f t="shared" si="11"/>
        <v>111</v>
      </c>
      <c r="R30" s="752" t="s">
        <v>25</v>
      </c>
      <c r="S30" s="753">
        <f t="shared" si="12"/>
        <v>100</v>
      </c>
      <c r="T30" s="752" t="s">
        <v>25</v>
      </c>
      <c r="U30" s="753">
        <f t="shared" si="13"/>
        <v>100</v>
      </c>
      <c r="V30" s="752" t="s">
        <v>25</v>
      </c>
      <c r="W30" s="753">
        <f t="shared" si="14"/>
        <v>100</v>
      </c>
      <c r="X30" s="1893"/>
      <c r="Y30" s="3064"/>
      <c r="Z30" s="1895">
        <f t="shared" si="15"/>
        <v>111</v>
      </c>
      <c r="AA30" s="1896">
        <f t="shared" si="3"/>
        <v>1</v>
      </c>
      <c r="AB30" s="1896">
        <f t="shared" si="4"/>
        <v>1</v>
      </c>
      <c r="AC30" s="1896">
        <f t="shared" si="5"/>
        <v>1</v>
      </c>
    </row>
    <row r="31" spans="1:29" ht="15.6"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77"/>
      <c r="Q31" s="1892">
        <f t="shared" si="11"/>
        <v>111</v>
      </c>
      <c r="R31" s="752" t="s">
        <v>25</v>
      </c>
      <c r="S31" s="753">
        <f t="shared" si="12"/>
        <v>100</v>
      </c>
      <c r="T31" s="752" t="s">
        <v>25</v>
      </c>
      <c r="U31" s="753">
        <f t="shared" si="13"/>
        <v>100</v>
      </c>
      <c r="V31" s="752" t="s">
        <v>25</v>
      </c>
      <c r="W31" s="753">
        <f t="shared" si="14"/>
        <v>100</v>
      </c>
      <c r="X31" s="1893"/>
      <c r="Y31" s="3064"/>
      <c r="Z31" s="1895">
        <f t="shared" si="15"/>
        <v>111</v>
      </c>
      <c r="AA31" s="1896">
        <f t="shared" si="3"/>
        <v>1</v>
      </c>
      <c r="AB31" s="1896">
        <f t="shared" si="4"/>
        <v>1</v>
      </c>
      <c r="AC31" s="1896">
        <f t="shared" si="5"/>
        <v>1</v>
      </c>
    </row>
    <row r="32" spans="1:29" ht="15">
      <c r="A32" s="419" t="s">
        <v>2359</v>
      </c>
      <c r="B32" s="28" t="s">
        <v>2447</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65" t="s">
        <v>2361</v>
      </c>
      <c r="Q32" s="1892" t="str">
        <f t="shared" si="11"/>
        <v>商业类型</v>
      </c>
      <c r="R32" s="752" t="s">
        <v>25</v>
      </c>
      <c r="S32" s="753">
        <f t="shared" si="12"/>
        <v>100</v>
      </c>
      <c r="T32" s="752" t="s">
        <v>25</v>
      </c>
      <c r="U32" s="753">
        <f t="shared" si="13"/>
        <v>100</v>
      </c>
      <c r="V32" s="752" t="s">
        <v>25</v>
      </c>
      <c r="W32" s="753">
        <f t="shared" si="14"/>
        <v>100</v>
      </c>
      <c r="X32" s="1893"/>
      <c r="Y32" s="3068" t="s">
        <v>2361</v>
      </c>
      <c r="Z32" s="1895" t="str">
        <f t="shared" si="15"/>
        <v>商业类型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6"/>
      <c r="Q33" s="754" t="str">
        <f t="shared" si="11"/>
        <v>项目建筑规模</v>
      </c>
      <c r="R33" s="755" t="s">
        <v>25</v>
      </c>
      <c r="S33" s="756" t="e">
        <f t="shared" si="12"/>
        <v>#N/A</v>
      </c>
      <c r="T33" s="755" t="s">
        <v>25</v>
      </c>
      <c r="U33" s="756" t="e">
        <f t="shared" si="13"/>
        <v>#N/A</v>
      </c>
      <c r="V33" s="755" t="s">
        <v>25</v>
      </c>
      <c r="W33" s="756" t="e">
        <f t="shared" si="14"/>
        <v>#N/A</v>
      </c>
      <c r="X33" s="757"/>
      <c r="Y33" s="3068"/>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66"/>
      <c r="Q34" s="1892" t="str">
        <f t="shared" si="11"/>
        <v>建筑结构</v>
      </c>
      <c r="R34" s="752" t="s">
        <v>25</v>
      </c>
      <c r="S34" s="753">
        <f t="shared" si="12"/>
        <v>100</v>
      </c>
      <c r="T34" s="752" t="s">
        <v>25</v>
      </c>
      <c r="U34" s="753">
        <f t="shared" si="13"/>
        <v>100</v>
      </c>
      <c r="V34" s="752" t="s">
        <v>25</v>
      </c>
      <c r="W34" s="753">
        <f t="shared" si="14"/>
        <v>100</v>
      </c>
      <c r="X34" s="1893"/>
      <c r="Y34" s="3068"/>
      <c r="Z34" s="1895" t="str">
        <f t="shared" si="15"/>
        <v>建筑结构</v>
      </c>
      <c r="AA34" s="1896">
        <f t="shared" si="3"/>
        <v>1</v>
      </c>
      <c r="AB34" s="1896">
        <f t="shared" si="4"/>
        <v>1</v>
      </c>
      <c r="AC34" s="1896">
        <f t="shared" si="5"/>
        <v>1</v>
      </c>
    </row>
    <row r="35" spans="1:29" ht="15">
      <c r="A35" s="453"/>
      <c r="B35" s="402" t="s">
        <v>2448</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66"/>
      <c r="Q35" s="1892" t="str">
        <f t="shared" si="11"/>
        <v>公共部分装修</v>
      </c>
      <c r="R35" s="752" t="s">
        <v>25</v>
      </c>
      <c r="S35" s="753">
        <f t="shared" si="12"/>
        <v>100</v>
      </c>
      <c r="T35" s="752" t="s">
        <v>25</v>
      </c>
      <c r="U35" s="753">
        <f t="shared" si="13"/>
        <v>100</v>
      </c>
      <c r="V35" s="752" t="s">
        <v>25</v>
      </c>
      <c r="W35" s="753">
        <f t="shared" si="14"/>
        <v>100</v>
      </c>
      <c r="X35" s="1893"/>
      <c r="Y35" s="3068"/>
      <c r="Z35" s="1895" t="str">
        <f t="shared" si="15"/>
        <v>公共部分装修</v>
      </c>
      <c r="AA35" s="1896">
        <f t="shared" si="3"/>
        <v>1</v>
      </c>
      <c r="AB35" s="1896">
        <f t="shared" si="4"/>
        <v>1</v>
      </c>
      <c r="AC35" s="1896">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6"/>
      <c r="Q36" s="1892" t="str">
        <f t="shared" si="11"/>
        <v>成新度</v>
      </c>
      <c r="R36" s="752" t="s">
        <v>25</v>
      </c>
      <c r="S36" s="753" t="e">
        <f t="shared" si="12"/>
        <v>#N/A</v>
      </c>
      <c r="T36" s="752" t="s">
        <v>25</v>
      </c>
      <c r="U36" s="753" t="e">
        <f t="shared" si="13"/>
        <v>#N/A</v>
      </c>
      <c r="V36" s="752" t="s">
        <v>25</v>
      </c>
      <c r="W36" s="753" t="e">
        <f t="shared" si="14"/>
        <v>#N/A</v>
      </c>
      <c r="X36" s="1893"/>
      <c r="Y36" s="3068"/>
      <c r="Z36" s="1895" t="str">
        <f t="shared" si="15"/>
        <v>成新度</v>
      </c>
      <c r="AA36" s="1896" t="e">
        <f t="shared" si="3"/>
        <v>#N/A</v>
      </c>
      <c r="AB36" s="1896" t="e">
        <f t="shared" si="4"/>
        <v>#N/A</v>
      </c>
      <c r="AC36" s="1896" t="e">
        <f t="shared" si="5"/>
        <v>#N/A</v>
      </c>
    </row>
    <row r="37" spans="1:29" s="35" customFormat="1" ht="15">
      <c r="A37" s="454"/>
      <c r="B37" s="402" t="s">
        <v>2450</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66"/>
      <c r="Q37" s="1880" t="str">
        <f t="shared" si="11"/>
        <v>市政基础设施</v>
      </c>
      <c r="R37" s="748" t="s">
        <v>25</v>
      </c>
      <c r="S37" s="749">
        <f t="shared" si="12"/>
        <v>100</v>
      </c>
      <c r="T37" s="748" t="s">
        <v>25</v>
      </c>
      <c r="U37" s="749">
        <f t="shared" si="13"/>
        <v>100</v>
      </c>
      <c r="V37" s="748" t="s">
        <v>25</v>
      </c>
      <c r="W37" s="749">
        <f t="shared" si="14"/>
        <v>100</v>
      </c>
      <c r="X37" s="750"/>
      <c r="Y37" s="3068"/>
      <c r="Z37" s="23" t="str">
        <f t="shared" si="15"/>
        <v>市政基础设施</v>
      </c>
      <c r="AA37" s="751">
        <f t="shared" si="3"/>
        <v>1</v>
      </c>
      <c r="AB37" s="751">
        <f t="shared" si="4"/>
        <v>1</v>
      </c>
      <c r="AC37" s="751">
        <f t="shared" si="5"/>
        <v>1</v>
      </c>
    </row>
    <row r="38" spans="1:29" ht="15">
      <c r="A38" s="453"/>
      <c r="B38" s="402" t="s">
        <v>2451</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66" t="s">
        <v>2361</v>
      </c>
      <c r="Q38" s="1892" t="str">
        <f t="shared" si="11"/>
        <v>业态</v>
      </c>
      <c r="R38" s="752" t="s">
        <v>25</v>
      </c>
      <c r="S38" s="753">
        <f t="shared" si="12"/>
        <v>100</v>
      </c>
      <c r="T38" s="752" t="s">
        <v>25</v>
      </c>
      <c r="U38" s="753">
        <f t="shared" si="13"/>
        <v>100</v>
      </c>
      <c r="V38" s="752" t="s">
        <v>25</v>
      </c>
      <c r="W38" s="753">
        <f t="shared" si="14"/>
        <v>100</v>
      </c>
      <c r="X38" s="1893"/>
      <c r="Y38" s="3068" t="s">
        <v>2361</v>
      </c>
      <c r="Z38" s="1895" t="str">
        <f t="shared" si="15"/>
        <v>业态</v>
      </c>
      <c r="AA38" s="1896">
        <f t="shared" si="3"/>
        <v>1</v>
      </c>
      <c r="AB38" s="1896">
        <f t="shared" si="4"/>
        <v>1</v>
      </c>
      <c r="AC38" s="1896">
        <f t="shared" si="5"/>
        <v>1</v>
      </c>
    </row>
    <row r="39" spans="1:29" ht="15">
      <c r="A39" s="453"/>
      <c r="B39" s="402" t="s">
        <v>2452</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66"/>
      <c r="Q39" s="1892" t="str">
        <f t="shared" si="11"/>
        <v>层高</v>
      </c>
      <c r="R39" s="752" t="s">
        <v>25</v>
      </c>
      <c r="S39" s="753">
        <f t="shared" si="12"/>
        <v>100</v>
      </c>
      <c r="T39" s="752" t="s">
        <v>25</v>
      </c>
      <c r="U39" s="753">
        <f t="shared" si="13"/>
        <v>100</v>
      </c>
      <c r="V39" s="752" t="s">
        <v>25</v>
      </c>
      <c r="W39" s="753">
        <f t="shared" si="14"/>
        <v>100</v>
      </c>
      <c r="X39" s="1893"/>
      <c r="Y39" s="3068"/>
      <c r="Z39" s="1895" t="str">
        <f t="shared" si="15"/>
        <v>层高</v>
      </c>
      <c r="AA39" s="1896">
        <f t="shared" si="3"/>
        <v>1</v>
      </c>
      <c r="AB39" s="1896">
        <f t="shared" si="4"/>
        <v>1</v>
      </c>
      <c r="AC39" s="1896">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6"/>
      <c r="Q40" s="1892" t="str">
        <f t="shared" si="11"/>
        <v>单套建筑面积</v>
      </c>
      <c r="R40" s="752" t="s">
        <v>25</v>
      </c>
      <c r="S40" s="753">
        <f t="shared" si="12"/>
        <v>100</v>
      </c>
      <c r="T40" s="752" t="s">
        <v>25</v>
      </c>
      <c r="U40" s="753">
        <f t="shared" si="13"/>
        <v>100</v>
      </c>
      <c r="V40" s="752" t="s">
        <v>25</v>
      </c>
      <c r="W40" s="753">
        <f t="shared" si="14"/>
        <v>100</v>
      </c>
      <c r="X40" s="1893"/>
      <c r="Y40" s="3068"/>
      <c r="Z40" s="1895" t="str">
        <f t="shared" si="15"/>
        <v>单套建筑面积</v>
      </c>
      <c r="AA40" s="1896">
        <f t="shared" si="3"/>
        <v>1</v>
      </c>
      <c r="AB40" s="1896">
        <f t="shared" si="4"/>
        <v>1</v>
      </c>
      <c r="AC40" s="1896">
        <f t="shared" si="5"/>
        <v>1</v>
      </c>
    </row>
    <row r="41" spans="1:29" s="452" customFormat="1" ht="15">
      <c r="A41" s="449"/>
      <c r="B41" s="1897"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6"/>
      <c r="Q41" s="754" t="str">
        <f t="shared" si="11"/>
        <v>进深比</v>
      </c>
      <c r="R41" s="755" t="s">
        <v>25</v>
      </c>
      <c r="S41" s="756">
        <f t="shared" si="12"/>
        <v>100</v>
      </c>
      <c r="T41" s="755" t="s">
        <v>25</v>
      </c>
      <c r="U41" s="756">
        <f t="shared" si="13"/>
        <v>100</v>
      </c>
      <c r="V41" s="755" t="s">
        <v>25</v>
      </c>
      <c r="W41" s="756">
        <f t="shared" si="14"/>
        <v>100</v>
      </c>
      <c r="X41" s="757"/>
      <c r="Y41" s="3068"/>
      <c r="Z41" s="758" t="str">
        <f t="shared" si="15"/>
        <v>进深比</v>
      </c>
      <c r="AA41" s="1896">
        <f t="shared" si="3"/>
        <v>1</v>
      </c>
      <c r="AB41" s="1896">
        <f t="shared" si="4"/>
        <v>1</v>
      </c>
      <c r="AC41" s="1896">
        <f t="shared" si="5"/>
        <v>1</v>
      </c>
    </row>
    <row r="42" spans="1:29" ht="15">
      <c r="A42" s="453"/>
      <c r="B42" s="402" t="s">
        <v>2455</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66"/>
      <c r="Q42" s="1892" t="str">
        <f t="shared" si="11"/>
        <v>内部装修</v>
      </c>
      <c r="R42" s="752" t="s">
        <v>25</v>
      </c>
      <c r="S42" s="753">
        <f t="shared" si="12"/>
        <v>100</v>
      </c>
      <c r="T42" s="752" t="s">
        <v>25</v>
      </c>
      <c r="U42" s="753">
        <f t="shared" si="13"/>
        <v>100</v>
      </c>
      <c r="V42" s="752" t="s">
        <v>25</v>
      </c>
      <c r="W42" s="753">
        <f t="shared" si="14"/>
        <v>100</v>
      </c>
      <c r="X42" s="1893"/>
      <c r="Y42" s="3068"/>
      <c r="Z42" s="1895" t="str">
        <f t="shared" si="15"/>
        <v>内部装修</v>
      </c>
      <c r="AA42" s="1896">
        <f t="shared" si="3"/>
        <v>1</v>
      </c>
      <c r="AB42" s="1896">
        <f t="shared" si="4"/>
        <v>1</v>
      </c>
      <c r="AC42" s="1896">
        <f t="shared" si="5"/>
        <v>1</v>
      </c>
    </row>
    <row r="43" spans="1:29" ht="28.8">
      <c r="A43" s="453"/>
      <c r="B43" s="402" t="s">
        <v>2372</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66"/>
      <c r="Q43" s="1892" t="str">
        <f t="shared" si="11"/>
        <v>内部装修维护情况</v>
      </c>
      <c r="R43" s="752" t="s">
        <v>25</v>
      </c>
      <c r="S43" s="753">
        <f t="shared" si="12"/>
        <v>100</v>
      </c>
      <c r="T43" s="752" t="s">
        <v>25</v>
      </c>
      <c r="U43" s="753">
        <f t="shared" si="13"/>
        <v>100</v>
      </c>
      <c r="V43" s="752" t="s">
        <v>25</v>
      </c>
      <c r="W43" s="753">
        <f t="shared" si="14"/>
        <v>100</v>
      </c>
      <c r="X43" s="1893"/>
      <c r="Y43" s="3068"/>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6"/>
      <c r="Q44" s="1880">
        <f t="shared" si="11"/>
        <v>111</v>
      </c>
      <c r="R44" s="748" t="s">
        <v>25</v>
      </c>
      <c r="S44" s="749">
        <f t="shared" si="12"/>
        <v>100</v>
      </c>
      <c r="T44" s="748" t="s">
        <v>25</v>
      </c>
      <c r="U44" s="749">
        <f t="shared" si="13"/>
        <v>100</v>
      </c>
      <c r="V44" s="748" t="s">
        <v>25</v>
      </c>
      <c r="W44" s="749">
        <f t="shared" si="14"/>
        <v>100</v>
      </c>
      <c r="X44" s="750"/>
      <c r="Y44" s="3068"/>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6"/>
      <c r="Q45" s="1892">
        <f t="shared" si="11"/>
        <v>111</v>
      </c>
      <c r="R45" s="752" t="s">
        <v>25</v>
      </c>
      <c r="S45" s="753">
        <f t="shared" si="12"/>
        <v>100</v>
      </c>
      <c r="T45" s="752" t="s">
        <v>25</v>
      </c>
      <c r="U45" s="753">
        <f t="shared" si="13"/>
        <v>100</v>
      </c>
      <c r="V45" s="752" t="s">
        <v>25</v>
      </c>
      <c r="W45" s="753">
        <f t="shared" si="14"/>
        <v>100</v>
      </c>
      <c r="X45" s="1893"/>
      <c r="Y45" s="3068"/>
      <c r="Z45" s="1895">
        <f t="shared" si="15"/>
        <v>111</v>
      </c>
      <c r="AA45" s="1896">
        <f t="shared" si="3"/>
        <v>1</v>
      </c>
      <c r="AB45" s="1896">
        <f t="shared" si="4"/>
        <v>1</v>
      </c>
      <c r="AC45" s="1896">
        <f t="shared" si="5"/>
        <v>1</v>
      </c>
    </row>
    <row r="46" spans="1:29" ht="15.6"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7"/>
      <c r="Q46" s="1892">
        <f t="shared" si="11"/>
        <v>111</v>
      </c>
      <c r="R46" s="752" t="s">
        <v>25</v>
      </c>
      <c r="S46" s="753">
        <f t="shared" si="12"/>
        <v>100</v>
      </c>
      <c r="T46" s="752" t="s">
        <v>25</v>
      </c>
      <c r="U46" s="753">
        <f t="shared" si="13"/>
        <v>100</v>
      </c>
      <c r="V46" s="752" t="s">
        <v>25</v>
      </c>
      <c r="W46" s="753">
        <f t="shared" si="14"/>
        <v>100</v>
      </c>
      <c r="X46" s="1893"/>
      <c r="Y46" s="3069"/>
      <c r="Z46" s="1895">
        <f t="shared" si="15"/>
        <v>111</v>
      </c>
      <c r="AA46" s="1896">
        <f t="shared" si="3"/>
        <v>1</v>
      </c>
      <c r="AB46" s="1896">
        <f t="shared" si="4"/>
        <v>1</v>
      </c>
      <c r="AC46" s="1896">
        <f t="shared" si="5"/>
        <v>1</v>
      </c>
    </row>
    <row r="47" spans="1:29" ht="14.4">
      <c r="A47" s="460" t="s">
        <v>2373</v>
      </c>
      <c r="B47" s="461"/>
      <c r="C47" s="1496" t="s">
        <v>1</v>
      </c>
      <c r="D47" s="1497"/>
      <c r="E47" s="1498"/>
      <c r="F47" s="1499"/>
      <c r="G47" s="1500"/>
      <c r="H47" s="1501"/>
      <c r="I47" s="1498"/>
      <c r="J47" s="1501"/>
      <c r="K47" s="761"/>
      <c r="L47" s="1251"/>
      <c r="M47" s="1252"/>
      <c r="N47" s="1239"/>
      <c r="O47" s="1252"/>
      <c r="P47" s="3074" t="str">
        <f>A47</f>
        <v>成交单价（元/平方米）</v>
      </c>
      <c r="Q47" s="3074"/>
      <c r="R47" s="3075">
        <f>E47</f>
        <v>0</v>
      </c>
      <c r="S47" s="3075"/>
      <c r="T47" s="3075">
        <f>G47</f>
        <v>0</v>
      </c>
      <c r="U47" s="3075"/>
      <c r="V47" s="3075">
        <f>I47</f>
        <v>0</v>
      </c>
      <c r="W47" s="3075"/>
      <c r="X47" s="737"/>
      <c r="Y47" s="759"/>
      <c r="Z47" s="737"/>
      <c r="AA47" s="737"/>
      <c r="AB47" s="737"/>
      <c r="AC47" s="737"/>
    </row>
    <row r="48" spans="1:29" ht="15" thickBot="1">
      <c r="A48" s="467" t="s">
        <v>2456</v>
      </c>
      <c r="B48" s="468"/>
      <c r="C48" s="1502" t="e">
        <f>R49</f>
        <v>#DIV/0!</v>
      </c>
      <c r="D48" s="1503"/>
      <c r="E48" s="1504" t="e">
        <f>R48</f>
        <v>#DIV/0!</v>
      </c>
      <c r="F48" s="1504"/>
      <c r="G48" s="1502" t="e">
        <f>T48</f>
        <v>#DIV/0!</v>
      </c>
      <c r="H48" s="1503"/>
      <c r="I48" s="1504" t="e">
        <f>V48</f>
        <v>#DIV/0!</v>
      </c>
      <c r="J48" s="1503"/>
      <c r="K48" s="762"/>
      <c r="L48" s="1251"/>
      <c r="M48" s="1252"/>
      <c r="N48" s="1239"/>
      <c r="O48" s="1252"/>
      <c r="P48" s="3074" t="str">
        <f>A48</f>
        <v>比较价值（元/平方米）</v>
      </c>
      <c r="Q48" s="3074"/>
      <c r="R48" s="3075" t="e">
        <f>IF(E1="售价",ROUND(PRODUCT(R47,AA7:AA46),0),ROUND(PRODUCT(R47,AA7:AA46),1))</f>
        <v>#DIV/0!</v>
      </c>
      <c r="S48" s="3075"/>
      <c r="T48" s="3075" t="e">
        <f>IF(E1="售价",ROUND(PRODUCT(T47,AB7:AB46),0),ROUND(PRODUCT(T47,AB7:AB46),1))</f>
        <v>#DIV/0!</v>
      </c>
      <c r="U48" s="3075"/>
      <c r="V48" s="3075" t="e">
        <f>IF(E1="售价",ROUND(PRODUCT(V47,AC7:AC46),0),ROUND(PRODUCT(V47,AC7:AC46),1))</f>
        <v>#DIV/0!</v>
      </c>
      <c r="W48" s="3075"/>
      <c r="X48" s="737"/>
      <c r="Y48" s="737"/>
      <c r="Z48" s="737"/>
      <c r="AA48" s="737"/>
      <c r="AB48" s="737"/>
      <c r="AC48" s="737"/>
    </row>
    <row r="49" spans="1:29" ht="15" thickBot="1">
      <c r="A49" s="473" t="s">
        <v>2457</v>
      </c>
      <c r="B49" s="474"/>
      <c r="C49" s="1506" t="e">
        <f>R49</f>
        <v>#DIV/0!</v>
      </c>
      <c r="D49" s="1506"/>
      <c r="E49" s="1506"/>
      <c r="F49" s="1506"/>
      <c r="G49" s="1506"/>
      <c r="H49" s="1506"/>
      <c r="I49" s="1506"/>
      <c r="J49" s="1506"/>
      <c r="K49" s="763"/>
      <c r="L49" s="1251"/>
      <c r="M49" s="1252"/>
      <c r="N49" s="1239"/>
      <c r="O49" s="1252"/>
      <c r="P49" s="3080" t="str">
        <f>A49</f>
        <v>估价对象XX用房的比较价值（楼面单价，元/平方米）</v>
      </c>
      <c r="Q49" s="3081"/>
      <c r="R49" s="3082" t="e">
        <f>IF(E1="售价",ROUND(AVERAGE(R48:V48),0),ROUND(AVERAGE(R48:V48),1))</f>
        <v>#DIV/0!</v>
      </c>
      <c r="S49" s="3082"/>
      <c r="T49" s="3082"/>
      <c r="U49" s="3082"/>
      <c r="V49" s="3082"/>
      <c r="W49" s="308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2.2" thickBot="1">
      <c r="A57" s="741" t="s">
        <v>2461</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4.4">
      <c r="A58" s="486" t="s">
        <v>2343</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2345</v>
      </c>
      <c r="B61" s="491"/>
      <c r="C61" s="503" t="s">
        <v>2346</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18"/>
      <c r="E73" s="518"/>
      <c r="F73" s="518"/>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2442</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2462</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4.4"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4.4" thickBot="1">
      <c r="A89" s="563"/>
      <c r="B89" s="526"/>
      <c r="C89" s="544"/>
      <c r="D89" s="518"/>
      <c r="E89" s="518"/>
      <c r="F89" s="518"/>
      <c r="G89" s="518"/>
      <c r="H89" s="518"/>
      <c r="I89" s="518"/>
      <c r="J89" s="518"/>
      <c r="K89" s="518"/>
      <c r="L89" s="518"/>
      <c r="M89" s="518"/>
      <c r="N89" s="1263"/>
      <c r="O89" s="1263"/>
      <c r="P89" s="2418"/>
      <c r="Q89" s="485"/>
    </row>
    <row r="90" spans="1:17" s="452" customFormat="1" ht="14.4"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4.4" thickTop="1">
      <c r="A92" s="516"/>
      <c r="B92" s="521" t="str">
        <f>B28</f>
        <v>楼层</v>
      </c>
      <c r="C92" s="537"/>
      <c r="D92" s="537"/>
      <c r="E92" s="537"/>
      <c r="F92" s="537"/>
      <c r="G92" s="537"/>
      <c r="H92" s="537"/>
      <c r="I92" s="537"/>
      <c r="J92" s="537"/>
      <c r="K92" s="537"/>
      <c r="L92" s="564"/>
      <c r="M92" s="565"/>
      <c r="N92" s="1262"/>
      <c r="O92" s="1262"/>
      <c r="P92" s="2418"/>
      <c r="Q92" s="485"/>
    </row>
    <row r="93" spans="1:17" ht="14.4" thickBot="1">
      <c r="A93" s="516"/>
      <c r="B93" s="526"/>
      <c r="C93" s="518"/>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18"/>
      <c r="E95" s="518"/>
      <c r="F95" s="518"/>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44"/>
      <c r="D97" s="518"/>
      <c r="E97" s="518"/>
      <c r="F97" s="518"/>
      <c r="G97" s="518"/>
      <c r="H97" s="518"/>
      <c r="I97" s="518"/>
      <c r="J97" s="518"/>
      <c r="K97" s="518"/>
      <c r="L97" s="518"/>
      <c r="M97" s="519"/>
      <c r="N97" s="1263"/>
      <c r="O97" s="1263"/>
      <c r="P97" s="2418"/>
      <c r="Q97" s="485"/>
    </row>
    <row r="98" spans="1:17" ht="14.4" thickTop="1">
      <c r="A98" s="516"/>
      <c r="B98" s="529">
        <f>B31</f>
        <v>111</v>
      </c>
      <c r="C98" s="537"/>
      <c r="D98" s="537"/>
      <c r="E98" s="537"/>
      <c r="F98" s="537"/>
      <c r="G98" s="571"/>
      <c r="H98" s="571"/>
      <c r="I98" s="571"/>
      <c r="J98" s="571"/>
      <c r="K98" s="572"/>
      <c r="L98" s="573"/>
      <c r="M98" s="574"/>
      <c r="N98" s="1262"/>
      <c r="O98" s="1262"/>
      <c r="P98" s="2418"/>
      <c r="Q98" s="485"/>
    </row>
    <row r="99" spans="1:17" ht="14.4" thickBot="1">
      <c r="A99" s="2424"/>
      <c r="B99" s="553"/>
      <c r="C99" s="554"/>
      <c r="D99" s="554"/>
      <c r="E99" s="554"/>
      <c r="F99" s="554"/>
      <c r="G99" s="575"/>
      <c r="H99" s="575"/>
      <c r="I99" s="575"/>
      <c r="J99" s="575"/>
      <c r="K99" s="575"/>
      <c r="L99" s="575"/>
      <c r="M99" s="576"/>
      <c r="N99" s="1263"/>
      <c r="O99" s="1263"/>
      <c r="P99" s="2418"/>
      <c r="Q99" s="485"/>
    </row>
    <row r="100" spans="1:17" ht="14.4">
      <c r="A100" s="508" t="s">
        <v>2359</v>
      </c>
      <c r="B100" s="509" t="s">
        <v>2463</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2412</v>
      </c>
      <c r="C107" s="537"/>
      <c r="D107" s="537"/>
      <c r="E107" s="53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2415</v>
      </c>
      <c r="C112" s="537"/>
      <c r="D112" s="537"/>
      <c r="E112" s="537"/>
      <c r="F112" s="537"/>
      <c r="G112" s="537"/>
      <c r="H112" s="567"/>
      <c r="I112" s="567"/>
      <c r="J112" s="567"/>
      <c r="K112" s="568"/>
      <c r="L112" s="569"/>
      <c r="M112" s="570"/>
      <c r="N112" s="1264"/>
      <c r="O112" s="1264"/>
      <c r="P112" s="2419"/>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2466</v>
      </c>
      <c r="C118" s="611"/>
      <c r="D118" s="611"/>
      <c r="E118" s="611"/>
      <c r="F118" s="611"/>
      <c r="G118" s="611"/>
      <c r="H118" s="538"/>
      <c r="I118" s="538"/>
      <c r="J118" s="538"/>
      <c r="K118" s="538"/>
      <c r="L118" s="539"/>
      <c r="M118" s="540"/>
      <c r="N118" s="1262"/>
      <c r="O118" s="1262"/>
      <c r="P118" s="2418"/>
      <c r="Q118" s="485"/>
    </row>
    <row r="119" spans="1:17" ht="14.4"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2467</v>
      </c>
      <c r="C120" s="567"/>
      <c r="D120" s="567"/>
      <c r="E120" s="567"/>
      <c r="F120" s="567"/>
      <c r="G120" s="538"/>
      <c r="H120" s="538"/>
      <c r="I120" s="538"/>
      <c r="J120" s="538"/>
      <c r="K120" s="538"/>
      <c r="L120" s="539"/>
      <c r="M120" s="540"/>
      <c r="N120" s="1264"/>
      <c r="O120" s="1264"/>
      <c r="P120" s="2419"/>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18"/>
      <c r="E129" s="518"/>
      <c r="F129" s="518"/>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8" sqref="C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5.109375" style="382" customWidth="1"/>
    <col min="6" max="6" width="12.21875" style="382" customWidth="1"/>
    <col min="7" max="7" width="14.44140625" style="382" customWidth="1"/>
    <col min="8" max="8" width="12.21875" style="382" customWidth="1"/>
    <col min="9" max="9" width="15.66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2468</v>
      </c>
      <c r="C1" s="1720" t="s">
        <v>2852</v>
      </c>
      <c r="D1" s="1733"/>
      <c r="E1" s="2374" t="s">
        <v>2858</v>
      </c>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5"/>
      <c r="AC1" s="1730"/>
    </row>
    <row r="2" spans="1:29" s="377" customFormat="1" ht="28.5" customHeight="1" thickTop="1">
      <c r="A2" s="1721" t="s">
        <v>1999</v>
      </c>
      <c r="B2" s="1719">
        <f>IF(D2="——",IF(C2="元",ROUND(C50*D3,0),ROUND(C50*D3/10000,0)),IF(C2="元",ROUND(C50*D3,0),ROUND(C50*D3/10000,0))-E2)</f>
        <v>4974051</v>
      </c>
      <c r="C2" s="163" t="str">
        <f>'数据-取费表'!B3</f>
        <v>元</v>
      </c>
      <c r="D2" s="2376" t="s">
        <v>1248</v>
      </c>
      <c r="E2" s="1836"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2000</v>
      </c>
      <c r="B3" s="593">
        <f>ROUND(IF(D2="——",C50,IF(C2="万元",B2*10000/D3,B2/D3)),0)</f>
        <v>33037</v>
      </c>
      <c r="C3" s="379" t="s">
        <v>2329</v>
      </c>
      <c r="D3" s="378">
        <f>IF(C1="仅计算典型户型",'数据-取费表'!E5,'数据-取费表'!B5)</f>
        <v>150.56</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4.4">
      <c r="A4" s="380" t="s">
        <v>2330</v>
      </c>
      <c r="B4" s="381"/>
      <c r="C4" s="3038" t="s">
        <v>2331</v>
      </c>
      <c r="D4" s="3039"/>
      <c r="E4" s="3040" t="s">
        <v>2332</v>
      </c>
      <c r="F4" s="3041"/>
      <c r="G4" s="3038" t="s">
        <v>2333</v>
      </c>
      <c r="H4" s="3039"/>
      <c r="I4" s="3038" t="s">
        <v>2334</v>
      </c>
      <c r="J4" s="3039"/>
      <c r="K4" s="594" t="s">
        <v>2335</v>
      </c>
      <c r="L4" s="1238"/>
      <c r="M4" s="1239"/>
      <c r="N4" s="1239"/>
      <c r="O4" s="1239"/>
      <c r="P4" s="3083" t="s">
        <v>2336</v>
      </c>
      <c r="Q4" s="3043"/>
      <c r="R4" s="3048" t="s">
        <v>2332</v>
      </c>
      <c r="S4" s="3049"/>
      <c r="T4" s="3048" t="s">
        <v>2333</v>
      </c>
      <c r="U4" s="3049"/>
      <c r="V4" s="3054" t="s">
        <v>2334</v>
      </c>
      <c r="W4" s="3054"/>
      <c r="X4" s="1893"/>
      <c r="Y4" s="3048" t="s">
        <v>2336</v>
      </c>
      <c r="Z4" s="3049"/>
      <c r="AA4" s="3035" t="s">
        <v>2332</v>
      </c>
      <c r="AB4" s="3035" t="s">
        <v>2333</v>
      </c>
      <c r="AC4" s="3035" t="s">
        <v>2334</v>
      </c>
    </row>
    <row r="5" spans="1:29">
      <c r="A5" s="383"/>
      <c r="B5" s="384"/>
      <c r="C5" s="3087" t="s">
        <v>2898</v>
      </c>
      <c r="D5" s="3058"/>
      <c r="E5" s="3086" t="s">
        <v>2897</v>
      </c>
      <c r="F5" s="3056"/>
      <c r="G5" s="3057" t="str">
        <f>E5</f>
        <v>金澳国际</v>
      </c>
      <c r="H5" s="3058"/>
      <c r="I5" s="3088" t="s">
        <v>2899</v>
      </c>
      <c r="J5" s="3058"/>
      <c r="K5" s="594"/>
      <c r="L5" s="1238"/>
      <c r="M5" s="1239"/>
      <c r="N5" s="1239"/>
      <c r="O5" s="1239"/>
      <c r="P5" s="308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594" t="s">
        <v>2342</v>
      </c>
      <c r="L6" s="1238"/>
      <c r="M6" s="1239"/>
      <c r="N6" s="1239"/>
      <c r="O6" s="1239"/>
      <c r="P6" s="3085"/>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391">
        <v>43921</v>
      </c>
      <c r="F7" s="392">
        <f>SUMIF(59:59,YEAR(E7)&amp;"-"&amp;MONTH(E7),60:60)</f>
        <v>100</v>
      </c>
      <c r="G7" s="2458">
        <v>43923</v>
      </c>
      <c r="H7" s="390">
        <f>SUMIF(59:59,YEAR(G7)&amp;"-"&amp;MONTH(G7),60:60)</f>
        <v>100</v>
      </c>
      <c r="I7" s="2458">
        <v>43902</v>
      </c>
      <c r="J7" s="390">
        <f>SUMIF(59:59,YEAR(I7)&amp;"-"&amp;MONTH(I7),60:60)</f>
        <v>100</v>
      </c>
      <c r="K7" s="595"/>
      <c r="L7" s="1240"/>
      <c r="M7" s="1241"/>
      <c r="N7" s="1241"/>
      <c r="O7" s="1241"/>
      <c r="P7" s="3072" t="s">
        <v>2344</v>
      </c>
      <c r="Q7" s="3072"/>
      <c r="R7" s="748" t="s">
        <v>25</v>
      </c>
      <c r="S7" s="749">
        <f t="shared" ref="S7:S15" si="0">F7</f>
        <v>100</v>
      </c>
      <c r="T7" s="748" t="s">
        <v>25</v>
      </c>
      <c r="U7" s="749">
        <f t="shared" ref="U7:U15" si="1">H7</f>
        <v>100</v>
      </c>
      <c r="V7" s="748" t="s">
        <v>25</v>
      </c>
      <c r="W7" s="749">
        <f t="shared" ref="W7:W15" si="2">J7</f>
        <v>100</v>
      </c>
      <c r="X7" s="750"/>
      <c r="Y7" s="3070" t="s">
        <v>2344</v>
      </c>
      <c r="Z7" s="3071"/>
      <c r="AA7" s="751">
        <f>D7/F7</f>
        <v>1</v>
      </c>
      <c r="AB7" s="751">
        <f>D7/H7</f>
        <v>1</v>
      </c>
      <c r="AC7" s="751">
        <f>D7/J7</f>
        <v>1</v>
      </c>
    </row>
    <row r="8" spans="1:29" s="35" customFormat="1" ht="15" thickBot="1">
      <c r="A8" s="387" t="s">
        <v>2345</v>
      </c>
      <c r="B8" s="388"/>
      <c r="C8" s="394" t="s">
        <v>2346</v>
      </c>
      <c r="D8" s="390">
        <v>100</v>
      </c>
      <c r="E8" s="394" t="s">
        <v>2896</v>
      </c>
      <c r="F8" s="392">
        <f>SUMIF(62:62,E8,63:63)-SUMIF(62:62,C8,63:63)+100</f>
        <v>100</v>
      </c>
      <c r="G8" s="394" t="s">
        <v>2896</v>
      </c>
      <c r="H8" s="390">
        <f>SUMIF(62:62,G8,63:63)-SUMIF(62:62,C8,63:63)+100</f>
        <v>100</v>
      </c>
      <c r="I8" s="394" t="s">
        <v>2896</v>
      </c>
      <c r="J8" s="390">
        <f>SUMIF(62:62,I8,63:63)-SUMIF(62:62,C8,63:63)+100</f>
        <v>100</v>
      </c>
      <c r="K8" s="595"/>
      <c r="L8" s="1240"/>
      <c r="M8" s="1241"/>
      <c r="N8" s="1241"/>
      <c r="O8" s="1241"/>
      <c r="P8" s="3072" t="s">
        <v>2347</v>
      </c>
      <c r="Q8" s="3071"/>
      <c r="R8" s="748" t="s">
        <v>25</v>
      </c>
      <c r="S8" s="749">
        <f t="shared" si="0"/>
        <v>100</v>
      </c>
      <c r="T8" s="748" t="s">
        <v>25</v>
      </c>
      <c r="U8" s="749">
        <f t="shared" si="1"/>
        <v>100</v>
      </c>
      <c r="V8" s="748" t="s">
        <v>25</v>
      </c>
      <c r="W8" s="749">
        <f t="shared" si="2"/>
        <v>100</v>
      </c>
      <c r="X8" s="750"/>
      <c r="Y8" s="3070" t="s">
        <v>2347</v>
      </c>
      <c r="Z8" s="3071"/>
      <c r="AA8" s="751">
        <f t="shared" ref="AA8:AA47" si="3">D8/F8</f>
        <v>1</v>
      </c>
      <c r="AB8" s="751">
        <f t="shared" ref="AB8:AB47" si="4">D8/H8</f>
        <v>1</v>
      </c>
      <c r="AC8" s="751">
        <f t="shared" ref="AC8:AC47" si="5">D8/J8</f>
        <v>1</v>
      </c>
    </row>
    <row r="9" spans="1:29" s="35" customFormat="1" ht="14.4">
      <c r="A9" s="395" t="s">
        <v>2348</v>
      </c>
      <c r="B9" s="28" t="s">
        <v>2349</v>
      </c>
      <c r="C9" s="2768" t="s">
        <v>2859</v>
      </c>
      <c r="D9" s="51">
        <v>100</v>
      </c>
      <c r="E9" s="399" t="s">
        <v>2838</v>
      </c>
      <c r="F9" s="51">
        <f>SUMIF(64:64,E9,65:65)-SUMIF(64:64,C9,65:65)+100</f>
        <v>100</v>
      </c>
      <c r="G9" s="397" t="s">
        <v>2838</v>
      </c>
      <c r="H9" s="51">
        <f>SUMIF(64:64,G9,65:65)-SUMIF(64:64,C9,65:65)+100</f>
        <v>100</v>
      </c>
      <c r="I9" s="397" t="s">
        <v>2838</v>
      </c>
      <c r="J9" s="51">
        <f>SUMIF(64:64,I9,65:65)-SUMIF(64:64,C9,65:65)+100</f>
        <v>100</v>
      </c>
      <c r="K9" s="595"/>
      <c r="L9" s="1240"/>
      <c r="M9" s="1241"/>
      <c r="N9" s="1241"/>
      <c r="O9" s="1241"/>
      <c r="P9" s="3081"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29" s="407" customFormat="1" ht="28.8">
      <c r="A10" s="401"/>
      <c r="B10" s="402" t="s">
        <v>2352</v>
      </c>
      <c r="C10" s="403" t="s">
        <v>2860</v>
      </c>
      <c r="D10" s="52">
        <v>100</v>
      </c>
      <c r="E10" s="403" t="s">
        <v>2860</v>
      </c>
      <c r="F10" s="52">
        <f>SUMIF(66:66,E10,67:67)-SUMIF(66:66,C10,67:67)+100</f>
        <v>100</v>
      </c>
      <c r="G10" s="404" t="s">
        <v>2860</v>
      </c>
      <c r="H10" s="52">
        <f>SUMIF(66:66,G10,67:67)-SUMIF(66:66,C10,67:67)+100</f>
        <v>100</v>
      </c>
      <c r="I10" s="403" t="s">
        <v>2860</v>
      </c>
      <c r="J10" s="52">
        <f>SUMIF(66:66,I10,67:67)-SUMIF(66:66,C10,67:67)+100</f>
        <v>100</v>
      </c>
      <c r="K10" s="596">
        <v>2</v>
      </c>
      <c r="L10" s="1243"/>
      <c r="M10" s="1244"/>
      <c r="N10" s="1244"/>
      <c r="O10" s="1244"/>
      <c r="P10" s="3081"/>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2353</v>
      </c>
      <c r="C11" s="409"/>
      <c r="D11" s="52">
        <v>100</v>
      </c>
      <c r="E11" s="409"/>
      <c r="F11" s="52">
        <f>LOOKUP(E11,69:69,70:70)-LOOKUP(C11,69:69,70:70)+100</f>
        <v>100</v>
      </c>
      <c r="G11" s="410"/>
      <c r="H11" s="52">
        <f>LOOKUP(G11,69:69,70:70)-LOOKUP(C11,69:69,70:70)+100</f>
        <v>100</v>
      </c>
      <c r="I11" s="409"/>
      <c r="J11" s="52">
        <f>LOOKUP(I11,69:69,70:70)-LOOKUP(C11,69:69,70:70)+100</f>
        <v>100</v>
      </c>
      <c r="K11" s="596"/>
      <c r="L11" s="1246"/>
      <c r="M11" s="1239"/>
      <c r="N11" s="1239"/>
      <c r="O11" s="1239"/>
      <c r="P11" s="3081"/>
      <c r="Q11" s="1880" t="str">
        <f t="shared" si="6"/>
        <v>容积率</v>
      </c>
      <c r="R11" s="748" t="s">
        <v>25</v>
      </c>
      <c r="S11" s="749">
        <f t="shared" si="0"/>
        <v>100</v>
      </c>
      <c r="T11" s="748" t="s">
        <v>25</v>
      </c>
      <c r="U11" s="749">
        <f t="shared" si="1"/>
        <v>100</v>
      </c>
      <c r="V11" s="748" t="s">
        <v>25</v>
      </c>
      <c r="W11" s="749">
        <f t="shared" si="2"/>
        <v>100</v>
      </c>
      <c r="X11" s="750"/>
      <c r="Y11" s="2865"/>
      <c r="Z11" s="23" t="str">
        <f t="shared" si="7"/>
        <v>容积率</v>
      </c>
      <c r="AA11" s="751">
        <f t="shared" si="3"/>
        <v>1</v>
      </c>
      <c r="AB11" s="751">
        <f t="shared" si="4"/>
        <v>1</v>
      </c>
      <c r="AC11" s="751">
        <f t="shared" si="5"/>
        <v>1</v>
      </c>
    </row>
    <row r="12" spans="1:29" s="35" customFormat="1" ht="15">
      <c r="A12" s="411"/>
      <c r="B12" s="2391">
        <v>111</v>
      </c>
      <c r="C12" s="412"/>
      <c r="D12" s="413">
        <v>100</v>
      </c>
      <c r="E12" s="412"/>
      <c r="F12" s="52">
        <f>SUMIF(71:71,E12,72:72)-SUMIF(71:71,C12,72:72)+100</f>
        <v>100</v>
      </c>
      <c r="G12" s="1467"/>
      <c r="H12" s="52">
        <f>SUMIF(71:71,G12,72:72)-SUMIF(71:71,C12,72:72)+100</f>
        <v>100</v>
      </c>
      <c r="I12" s="412"/>
      <c r="J12" s="52">
        <f>SUMIF(71:71,I12,72:72)-SUMIF(71:71,C12,72:72)+100</f>
        <v>100</v>
      </c>
      <c r="K12" s="597"/>
      <c r="L12" s="1240"/>
      <c r="M12" s="1241"/>
      <c r="N12" s="1241"/>
      <c r="O12" s="1241"/>
      <c r="P12" s="3081"/>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67"/>
      <c r="H13" s="415">
        <f>SUMIF(73:73,G13,74:74)-SUMIF(73:73,C13,74:74)+100</f>
        <v>100</v>
      </c>
      <c r="I13" s="412"/>
      <c r="J13" s="415">
        <f>SUMIF(73:73,I13,74:74)-SUMIF(73:73,C13,74:74)+100</f>
        <v>100</v>
      </c>
      <c r="K13" s="597"/>
      <c r="L13" s="1248"/>
      <c r="M13" s="1239"/>
      <c r="N13" s="1239"/>
      <c r="O13" s="1239"/>
      <c r="P13" s="3081"/>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6" thickBot="1">
      <c r="A14" s="416"/>
      <c r="B14" s="2393">
        <v>111</v>
      </c>
      <c r="C14" s="2394"/>
      <c r="D14" s="417">
        <v>100</v>
      </c>
      <c r="E14" s="612"/>
      <c r="F14" s="417">
        <f>SUMIF(75:75,E14,76:76)-SUMIF(75:75,C14,76:76)+100</f>
        <v>100</v>
      </c>
      <c r="G14" s="1467"/>
      <c r="H14" s="417">
        <f>SUMIF(75:75,G14,76:76)-SUMIF(75:75,C14,76:76)+100</f>
        <v>100</v>
      </c>
      <c r="I14" s="412"/>
      <c r="J14" s="417">
        <f>SUMIF(75:75,I14,76:76)-SUMIF(75:75,C14,76:76)+100</f>
        <v>100</v>
      </c>
      <c r="K14" s="597"/>
      <c r="L14" s="1248"/>
      <c r="M14" s="1239"/>
      <c r="N14" s="1239"/>
      <c r="O14" s="1239"/>
      <c r="P14" s="3081"/>
      <c r="Q14" s="1880">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82.8">
      <c r="A15" s="419" t="s">
        <v>2354</v>
      </c>
      <c r="B15" s="613" t="s">
        <v>2469</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43" t="s">
        <v>2355</v>
      </c>
      <c r="Q15" s="1892" t="str">
        <f t="shared" si="6"/>
        <v>办公集聚程度</v>
      </c>
      <c r="R15" s="752" t="s">
        <v>25</v>
      </c>
      <c r="S15" s="753">
        <f t="shared" si="0"/>
        <v>100</v>
      </c>
      <c r="T15" s="752" t="s">
        <v>25</v>
      </c>
      <c r="U15" s="753">
        <f t="shared" si="1"/>
        <v>100</v>
      </c>
      <c r="V15" s="752" t="s">
        <v>25</v>
      </c>
      <c r="W15" s="753">
        <f t="shared" si="2"/>
        <v>100</v>
      </c>
      <c r="X15" s="1893"/>
      <c r="Y15" s="3063" t="s">
        <v>2355</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8"/>
      <c r="M16" s="1239"/>
      <c r="N16" s="1239"/>
      <c r="O16" s="1239"/>
      <c r="P16" s="3045"/>
      <c r="Q16" s="1892"/>
      <c r="R16" s="752"/>
      <c r="S16" s="753"/>
      <c r="T16" s="752"/>
      <c r="U16" s="753"/>
      <c r="V16" s="752"/>
      <c r="W16" s="753"/>
      <c r="X16" s="1893"/>
      <c r="Y16" s="3064"/>
      <c r="Z16" s="1895"/>
      <c r="AA16" s="1896">
        <v>1</v>
      </c>
      <c r="AB16" s="1896">
        <v>1</v>
      </c>
      <c r="AC16" s="1896">
        <v>1</v>
      </c>
    </row>
    <row r="17" spans="1:29" ht="96.6">
      <c r="A17" s="408"/>
      <c r="B17" s="615" t="s">
        <v>1742</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5"/>
      <c r="Q17" s="1892" t="str">
        <f>B17</f>
        <v>交通便捷度</v>
      </c>
      <c r="R17" s="752" t="s">
        <v>25</v>
      </c>
      <c r="S17" s="753">
        <f>F17</f>
        <v>100</v>
      </c>
      <c r="T17" s="752" t="s">
        <v>25</v>
      </c>
      <c r="U17" s="753">
        <f>H17</f>
        <v>100</v>
      </c>
      <c r="V17" s="752" t="s">
        <v>25</v>
      </c>
      <c r="W17" s="753">
        <f>J17</f>
        <v>100</v>
      </c>
      <c r="X17" s="1893"/>
      <c r="Y17" s="3064"/>
      <c r="Z17" s="1895" t="str">
        <f>Q17</f>
        <v>交通便捷度</v>
      </c>
      <c r="AA17" s="1896">
        <f t="shared" si="3"/>
        <v>1</v>
      </c>
      <c r="AB17" s="1896">
        <f t="shared" si="4"/>
        <v>1</v>
      </c>
      <c r="AC17" s="1896">
        <f t="shared" si="5"/>
        <v>1</v>
      </c>
    </row>
    <row r="18" spans="1:29" ht="15">
      <c r="A18" s="408"/>
      <c r="B18" s="616"/>
      <c r="C18" s="2461" t="s">
        <v>30</v>
      </c>
      <c r="D18" s="430"/>
      <c r="E18" s="1466" t="s">
        <v>30</v>
      </c>
      <c r="F18" s="430"/>
      <c r="G18" s="1466" t="s">
        <v>30</v>
      </c>
      <c r="H18" s="427"/>
      <c r="I18" s="1466" t="s">
        <v>30</v>
      </c>
      <c r="J18" s="427"/>
      <c r="K18" s="599"/>
      <c r="L18" s="1248"/>
      <c r="M18" s="1239"/>
      <c r="N18" s="1239"/>
      <c r="O18" s="1239"/>
      <c r="P18" s="3045"/>
      <c r="Q18" s="1892"/>
      <c r="R18" s="752"/>
      <c r="S18" s="753"/>
      <c r="T18" s="752"/>
      <c r="U18" s="753"/>
      <c r="V18" s="752"/>
      <c r="W18" s="753"/>
      <c r="X18" s="1893"/>
      <c r="Y18" s="3064"/>
      <c r="Z18" s="1895"/>
      <c r="AA18" s="1896">
        <v>1</v>
      </c>
      <c r="AB18" s="1896">
        <v>1</v>
      </c>
      <c r="AC18" s="1896">
        <v>1</v>
      </c>
    </row>
    <row r="19" spans="1:29" ht="41.4">
      <c r="A19" s="408"/>
      <c r="B19" s="615" t="s">
        <v>2470</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5"/>
      <c r="Q19" s="1892" t="str">
        <f>B19</f>
        <v>公共配套设施</v>
      </c>
      <c r="R19" s="752" t="s">
        <v>25</v>
      </c>
      <c r="S19" s="753">
        <f>F19</f>
        <v>100</v>
      </c>
      <c r="T19" s="752" t="s">
        <v>25</v>
      </c>
      <c r="U19" s="753">
        <f>H19</f>
        <v>100</v>
      </c>
      <c r="V19" s="752" t="s">
        <v>25</v>
      </c>
      <c r="W19" s="753">
        <f>J19</f>
        <v>100</v>
      </c>
      <c r="X19" s="1893"/>
      <c r="Y19" s="3064"/>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8"/>
      <c r="M20" s="1239"/>
      <c r="N20" s="1239"/>
      <c r="O20" s="1239"/>
      <c r="P20" s="3045"/>
      <c r="Q20" s="1892"/>
      <c r="R20" s="752"/>
      <c r="S20" s="753"/>
      <c r="T20" s="752"/>
      <c r="U20" s="753"/>
      <c r="V20" s="752"/>
      <c r="W20" s="753"/>
      <c r="X20" s="1893"/>
      <c r="Y20" s="3064"/>
      <c r="Z20" s="1895"/>
      <c r="AA20" s="1896">
        <v>1</v>
      </c>
      <c r="AB20" s="1896">
        <v>1</v>
      </c>
      <c r="AC20" s="1896">
        <v>1</v>
      </c>
    </row>
    <row r="21" spans="1:29" ht="41.4">
      <c r="A21" s="408"/>
      <c r="B21" s="617" t="s">
        <v>2471</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5"/>
      <c r="Q21" s="1892" t="str">
        <f>B21</f>
        <v>基础设施水平</v>
      </c>
      <c r="R21" s="752" t="s">
        <v>25</v>
      </c>
      <c r="S21" s="753">
        <f>F21</f>
        <v>100</v>
      </c>
      <c r="T21" s="752" t="s">
        <v>25</v>
      </c>
      <c r="U21" s="753">
        <f>H21</f>
        <v>100</v>
      </c>
      <c r="V21" s="752" t="s">
        <v>25</v>
      </c>
      <c r="W21" s="753">
        <f>J21</f>
        <v>100</v>
      </c>
      <c r="X21" s="1893"/>
      <c r="Y21" s="3064"/>
      <c r="Z21" s="1895" t="str">
        <f>Q21</f>
        <v>基础设施水平</v>
      </c>
      <c r="AA21" s="1896">
        <f t="shared" ref="AA21" si="8">D21/F21</f>
        <v>1</v>
      </c>
      <c r="AB21" s="1896">
        <f t="shared" ref="AB21" si="9">D21/H21</f>
        <v>1</v>
      </c>
      <c r="AC21" s="1896">
        <f t="shared" ref="AC21" si="10">D21/J21</f>
        <v>1</v>
      </c>
    </row>
    <row r="22" spans="1:29" ht="15">
      <c r="A22" s="408"/>
      <c r="B22" s="617"/>
      <c r="C22" s="2461" t="s">
        <v>2861</v>
      </c>
      <c r="D22" s="427"/>
      <c r="E22" s="1466" t="s">
        <v>2861</v>
      </c>
      <c r="F22" s="427"/>
      <c r="G22" s="1466" t="s">
        <v>2861</v>
      </c>
      <c r="H22" s="427"/>
      <c r="I22" s="1466" t="s">
        <v>2861</v>
      </c>
      <c r="J22" s="427"/>
      <c r="K22" s="1463"/>
      <c r="L22" s="1248"/>
      <c r="M22" s="1239"/>
      <c r="N22" s="1239"/>
      <c r="O22" s="1239"/>
      <c r="P22" s="3045"/>
      <c r="Q22" s="1892"/>
      <c r="R22" s="752"/>
      <c r="S22" s="753"/>
      <c r="T22" s="752"/>
      <c r="U22" s="753"/>
      <c r="V22" s="752"/>
      <c r="W22" s="753"/>
      <c r="X22" s="1893"/>
      <c r="Y22" s="3064"/>
      <c r="Z22" s="1895"/>
      <c r="AA22" s="1896">
        <v>1</v>
      </c>
      <c r="AB22" s="1896">
        <v>1</v>
      </c>
      <c r="AC22" s="1896">
        <v>1</v>
      </c>
    </row>
    <row r="23" spans="1:29" ht="55.2">
      <c r="A23" s="408"/>
      <c r="B23" s="615" t="s">
        <v>2472</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8"/>
      <c r="J23" s="430">
        <f>SUMIF(85:85,I24,86:86)-SUMIF(85:85,C24,86:86)+100</f>
        <v>100</v>
      </c>
      <c r="K23" s="598">
        <v>2</v>
      </c>
      <c r="L23" s="1248"/>
      <c r="M23" s="1239"/>
      <c r="N23" s="1239"/>
      <c r="O23" s="1239"/>
      <c r="P23" s="3045"/>
      <c r="Q23" s="1892" t="str">
        <f>B23</f>
        <v>环境质量</v>
      </c>
      <c r="R23" s="752" t="s">
        <v>25</v>
      </c>
      <c r="S23" s="753">
        <f>F23</f>
        <v>100</v>
      </c>
      <c r="T23" s="752" t="s">
        <v>25</v>
      </c>
      <c r="U23" s="753">
        <f>H23</f>
        <v>100</v>
      </c>
      <c r="V23" s="752" t="s">
        <v>25</v>
      </c>
      <c r="W23" s="753">
        <f>J23</f>
        <v>100</v>
      </c>
      <c r="X23" s="1893"/>
      <c r="Y23" s="3064"/>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8"/>
      <c r="M24" s="1239"/>
      <c r="N24" s="1239"/>
      <c r="O24" s="1239"/>
      <c r="P24" s="3045"/>
      <c r="Q24" s="1892"/>
      <c r="R24" s="752"/>
      <c r="S24" s="753"/>
      <c r="T24" s="752"/>
      <c r="U24" s="753"/>
      <c r="V24" s="752"/>
      <c r="W24" s="753"/>
      <c r="X24" s="1893"/>
      <c r="Y24" s="3064"/>
      <c r="Z24" s="1895"/>
      <c r="AA24" s="1896">
        <v>1</v>
      </c>
      <c r="AB24" s="1896">
        <v>1</v>
      </c>
      <c r="AC24" s="1896">
        <v>1</v>
      </c>
    </row>
    <row r="25" spans="1:29" ht="28.8">
      <c r="A25" s="383"/>
      <c r="B25" s="615" t="s">
        <v>2473</v>
      </c>
      <c r="C25" s="2462"/>
      <c r="D25" s="415">
        <v>100</v>
      </c>
      <c r="E25" s="414"/>
      <c r="F25" s="415">
        <f>SUMIF(87:87,E26,88:88)-SUMIF(87:87,C26,88:88)+100</f>
        <v>104</v>
      </c>
      <c r="G25" s="2462"/>
      <c r="H25" s="415">
        <f>SUMIF(87:87,G26,88:88)-SUMIF(87:87,C26,88:88)+100</f>
        <v>104</v>
      </c>
      <c r="I25" s="414"/>
      <c r="J25" s="415">
        <f>SUMIF(87:87,I26,88:88)-SUMIF(87:87,C26,88:88)+100</f>
        <v>100</v>
      </c>
      <c r="K25" s="598">
        <v>1</v>
      </c>
      <c r="L25" s="1248"/>
      <c r="M25" s="1239"/>
      <c r="N25" s="1239"/>
      <c r="O25" s="1239"/>
      <c r="P25" s="3045"/>
      <c r="Q25" s="1892" t="str">
        <f>B25</f>
        <v>毗邻道路的类型与等级</v>
      </c>
      <c r="R25" s="752" t="s">
        <v>25</v>
      </c>
      <c r="S25" s="753">
        <f>F25</f>
        <v>104</v>
      </c>
      <c r="T25" s="752" t="s">
        <v>25</v>
      </c>
      <c r="U25" s="753">
        <f>H25</f>
        <v>104</v>
      </c>
      <c r="V25" s="752" t="s">
        <v>25</v>
      </c>
      <c r="W25" s="753">
        <f>J25</f>
        <v>100</v>
      </c>
      <c r="X25" s="1893"/>
      <c r="Y25" s="3064"/>
      <c r="Z25" s="1895" t="str">
        <f>Q25</f>
        <v>毗邻道路的类型与等级</v>
      </c>
      <c r="AA25" s="1896">
        <f t="shared" si="3"/>
        <v>0.96153846153846156</v>
      </c>
      <c r="AB25" s="1896">
        <f t="shared" si="4"/>
        <v>0.96153846153846156</v>
      </c>
      <c r="AC25" s="1896">
        <f t="shared" si="5"/>
        <v>1</v>
      </c>
    </row>
    <row r="26" spans="1:29" ht="15">
      <c r="A26" s="383"/>
      <c r="B26" s="616"/>
      <c r="C26" s="618" t="s">
        <v>2867</v>
      </c>
      <c r="D26" s="415"/>
      <c r="E26" s="600" t="s">
        <v>2862</v>
      </c>
      <c r="F26" s="415"/>
      <c r="G26" s="618" t="s">
        <v>2862</v>
      </c>
      <c r="H26" s="415"/>
      <c r="I26" s="600" t="s">
        <v>2867</v>
      </c>
      <c r="J26" s="415"/>
      <c r="K26" s="599"/>
      <c r="L26" s="1248"/>
      <c r="M26" s="1239"/>
      <c r="N26" s="1239"/>
      <c r="O26" s="1239"/>
      <c r="P26" s="3045"/>
      <c r="Q26" s="1892"/>
      <c r="R26" s="752"/>
      <c r="S26" s="753"/>
      <c r="T26" s="752"/>
      <c r="U26" s="753"/>
      <c r="V26" s="752"/>
      <c r="W26" s="753"/>
      <c r="X26" s="1893"/>
      <c r="Y26" s="3064"/>
      <c r="Z26" s="1895"/>
      <c r="AA26" s="1896">
        <v>1</v>
      </c>
      <c r="AB26" s="1896">
        <v>1</v>
      </c>
      <c r="AC26" s="1896">
        <v>1</v>
      </c>
    </row>
    <row r="27" spans="1:29" ht="15">
      <c r="A27" s="408"/>
      <c r="B27" s="616" t="s">
        <v>2446</v>
      </c>
      <c r="C27" s="618" t="s">
        <v>2871</v>
      </c>
      <c r="D27" s="415">
        <v>100</v>
      </c>
      <c r="E27" s="600" t="s">
        <v>2871</v>
      </c>
      <c r="F27" s="415">
        <f>SUMIF(89:89,E27,90:90)-SUMIF(89:89,C27,90:90)+100</f>
        <v>100</v>
      </c>
      <c r="G27" s="618" t="s">
        <v>2873</v>
      </c>
      <c r="H27" s="415">
        <f>SUMIF(89:89,G27,90:90)-SUMIF(89:89,C27,90:90)+100</f>
        <v>98</v>
      </c>
      <c r="I27" s="600" t="s">
        <v>2869</v>
      </c>
      <c r="J27" s="415">
        <f>SUMIF(89:89,I27,90:90)-SUMIF(89:89,C27,90:90)+100</f>
        <v>102</v>
      </c>
      <c r="K27" s="596">
        <v>2</v>
      </c>
      <c r="L27" s="1248"/>
      <c r="M27" s="1239"/>
      <c r="N27" s="1239"/>
      <c r="O27" s="1239"/>
      <c r="P27" s="3045"/>
      <c r="Q27" s="1892" t="str">
        <f t="shared" ref="Q27:Q47" si="11">B27</f>
        <v>楼层</v>
      </c>
      <c r="R27" s="752" t="s">
        <v>25</v>
      </c>
      <c r="S27" s="753">
        <f>F27</f>
        <v>100</v>
      </c>
      <c r="T27" s="752" t="s">
        <v>25</v>
      </c>
      <c r="U27" s="753">
        <f>H27</f>
        <v>98</v>
      </c>
      <c r="V27" s="752" t="s">
        <v>25</v>
      </c>
      <c r="W27" s="753">
        <f>J27</f>
        <v>102</v>
      </c>
      <c r="X27" s="1893"/>
      <c r="Y27" s="3064"/>
      <c r="Z27" s="1895" t="str">
        <f>Q27</f>
        <v>楼层</v>
      </c>
      <c r="AA27" s="1896">
        <f t="shared" si="3"/>
        <v>1</v>
      </c>
      <c r="AB27" s="1896">
        <f t="shared" si="4"/>
        <v>1.0204081632653061</v>
      </c>
      <c r="AC27" s="1896">
        <f t="shared" si="5"/>
        <v>0.98039215686274506</v>
      </c>
    </row>
    <row r="28" spans="1:29" s="35" customFormat="1" ht="15">
      <c r="A28" s="411"/>
      <c r="B28" s="615" t="s">
        <v>2474</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5"/>
      <c r="Q28" s="1880" t="str">
        <f t="shared" si="11"/>
        <v>朝向</v>
      </c>
      <c r="R28" s="748" t="s">
        <v>25</v>
      </c>
      <c r="S28" s="749">
        <f>F28</f>
        <v>100</v>
      </c>
      <c r="T28" s="748" t="s">
        <v>25</v>
      </c>
      <c r="U28" s="749">
        <f>H28</f>
        <v>100</v>
      </c>
      <c r="V28" s="748" t="s">
        <v>25</v>
      </c>
      <c r="W28" s="749">
        <f>J28</f>
        <v>100</v>
      </c>
      <c r="X28" s="750"/>
      <c r="Y28" s="3064"/>
      <c r="Z28" s="23" t="str">
        <f>Q28</f>
        <v>朝向</v>
      </c>
      <c r="AA28" s="1896">
        <f>D28/F28</f>
        <v>1</v>
      </c>
      <c r="AB28" s="1896">
        <f>D28/H28</f>
        <v>1</v>
      </c>
      <c r="AC28" s="1896">
        <f>D28/J28</f>
        <v>1</v>
      </c>
    </row>
    <row r="29" spans="1:29" ht="15">
      <c r="A29" s="408"/>
      <c r="B29" s="2464">
        <v>111</v>
      </c>
      <c r="C29" s="2462"/>
      <c r="D29" s="415">
        <v>100</v>
      </c>
      <c r="E29" s="412"/>
      <c r="F29" s="415">
        <f>SUMIF(93:93,E29,94:94)-SUMIF(93:93,C29,94:94)+100</f>
        <v>100</v>
      </c>
      <c r="G29" s="1467"/>
      <c r="H29" s="415">
        <f>SUMIF(93:93,G29,94:94)-SUMIF(93:93,C29,94:94)+100</f>
        <v>100</v>
      </c>
      <c r="I29" s="412"/>
      <c r="J29" s="415">
        <f>SUMIF(93:93,I29,94:94)-SUMIF(93:93,C29,94:94)+100</f>
        <v>100</v>
      </c>
      <c r="K29" s="597"/>
      <c r="L29" s="1248"/>
      <c r="M29" s="1239"/>
      <c r="N29" s="1239"/>
      <c r="O29" s="1239"/>
      <c r="P29" s="3045"/>
      <c r="Q29" s="1892">
        <f t="shared" si="11"/>
        <v>111</v>
      </c>
      <c r="R29" s="752" t="s">
        <v>25</v>
      </c>
      <c r="S29" s="753">
        <f t="shared" ref="S29:S47" si="12">F29</f>
        <v>100</v>
      </c>
      <c r="T29" s="752" t="s">
        <v>25</v>
      </c>
      <c r="U29" s="753">
        <f t="shared" ref="U29:U47" si="13">H29</f>
        <v>100</v>
      </c>
      <c r="V29" s="752" t="s">
        <v>25</v>
      </c>
      <c r="W29" s="753">
        <f t="shared" ref="W29:W47" si="14">J29</f>
        <v>100</v>
      </c>
      <c r="X29" s="1893"/>
      <c r="Y29" s="3064"/>
      <c r="Z29" s="1895">
        <f t="shared" ref="Z29:Z47" si="15">Q29</f>
        <v>111</v>
      </c>
      <c r="AA29" s="1896">
        <f t="shared" si="3"/>
        <v>1</v>
      </c>
      <c r="AB29" s="1896">
        <f t="shared" si="4"/>
        <v>1</v>
      </c>
      <c r="AC29" s="1896">
        <f t="shared" si="5"/>
        <v>1</v>
      </c>
    </row>
    <row r="30" spans="1:29" ht="15">
      <c r="A30" s="408"/>
      <c r="B30" s="2464">
        <v>111</v>
      </c>
      <c r="C30" s="2462"/>
      <c r="D30" s="415">
        <v>100</v>
      </c>
      <c r="E30" s="412"/>
      <c r="F30" s="415">
        <f>SUMIF(95:95,E30,96:96)-SUMIF(95:95,C30,96:96)+100</f>
        <v>100</v>
      </c>
      <c r="G30" s="1467"/>
      <c r="H30" s="415">
        <f>SUMIF(95:95,G30,96:96)-SUMIF(95:95,C30,96:96)+100</f>
        <v>100</v>
      </c>
      <c r="I30" s="412"/>
      <c r="J30" s="415">
        <f>SUMIF(95:95,I30,96:96)-SUMIF(95:95,C30,96:96)+100</f>
        <v>100</v>
      </c>
      <c r="K30" s="597"/>
      <c r="L30" s="1248"/>
      <c r="M30" s="1239"/>
      <c r="N30" s="1239"/>
      <c r="O30" s="1239"/>
      <c r="P30" s="3045"/>
      <c r="Q30" s="1892">
        <f t="shared" si="11"/>
        <v>111</v>
      </c>
      <c r="R30" s="752" t="s">
        <v>25</v>
      </c>
      <c r="S30" s="753">
        <f t="shared" si="12"/>
        <v>100</v>
      </c>
      <c r="T30" s="752" t="s">
        <v>25</v>
      </c>
      <c r="U30" s="753">
        <f t="shared" si="13"/>
        <v>100</v>
      </c>
      <c r="V30" s="752" t="s">
        <v>25</v>
      </c>
      <c r="W30" s="753">
        <f t="shared" si="14"/>
        <v>100</v>
      </c>
      <c r="X30" s="1893"/>
      <c r="Y30" s="3064"/>
      <c r="Z30" s="1895">
        <f t="shared" si="15"/>
        <v>111</v>
      </c>
      <c r="AA30" s="1896">
        <f t="shared" si="3"/>
        <v>1</v>
      </c>
      <c r="AB30" s="1896">
        <f t="shared" si="4"/>
        <v>1</v>
      </c>
      <c r="AC30" s="1896">
        <f t="shared" si="5"/>
        <v>1</v>
      </c>
    </row>
    <row r="31" spans="1:29" ht="15">
      <c r="A31" s="408"/>
      <c r="B31" s="2464">
        <v>111</v>
      </c>
      <c r="C31" s="2462"/>
      <c r="D31" s="415">
        <v>100</v>
      </c>
      <c r="E31" s="412"/>
      <c r="F31" s="415">
        <f>SUMIF(97:97,E31,98:98)-SUMIF(97:97,C31,98:98)+100</f>
        <v>100</v>
      </c>
      <c r="G31" s="1467"/>
      <c r="H31" s="415">
        <f>SUMIF(97:97,G31,98:98)-SUMIF(97:97,C31,98:98)+100</f>
        <v>100</v>
      </c>
      <c r="I31" s="412"/>
      <c r="J31" s="415">
        <f>SUMIF(97:97,I31,98:98)-SUMIF(97:97,C31,98:98)+100</f>
        <v>100</v>
      </c>
      <c r="K31" s="597"/>
      <c r="L31" s="1248"/>
      <c r="M31" s="1239"/>
      <c r="N31" s="1239"/>
      <c r="O31" s="1239"/>
      <c r="P31" s="3045"/>
      <c r="Q31" s="1892">
        <f t="shared" si="11"/>
        <v>111</v>
      </c>
      <c r="R31" s="752" t="s">
        <v>25</v>
      </c>
      <c r="S31" s="753">
        <f t="shared" si="12"/>
        <v>100</v>
      </c>
      <c r="T31" s="752" t="s">
        <v>25</v>
      </c>
      <c r="U31" s="753">
        <f t="shared" si="13"/>
        <v>100</v>
      </c>
      <c r="V31" s="752" t="s">
        <v>25</v>
      </c>
      <c r="W31" s="753">
        <f t="shared" si="14"/>
        <v>100</v>
      </c>
      <c r="X31" s="1893"/>
      <c r="Y31" s="3064"/>
      <c r="Z31" s="1895">
        <f t="shared" si="15"/>
        <v>111</v>
      </c>
      <c r="AA31" s="1896">
        <f t="shared" si="3"/>
        <v>1</v>
      </c>
      <c r="AB31" s="1896">
        <f t="shared" si="4"/>
        <v>1</v>
      </c>
      <c r="AC31" s="1896">
        <f t="shared" si="5"/>
        <v>1</v>
      </c>
    </row>
    <row r="32" spans="1:29" ht="15.6"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8"/>
      <c r="M32" s="1239"/>
      <c r="N32" s="1239"/>
      <c r="O32" s="1239"/>
      <c r="P32" s="3045"/>
      <c r="Q32" s="1892">
        <f t="shared" si="11"/>
        <v>111</v>
      </c>
      <c r="R32" s="752" t="s">
        <v>25</v>
      </c>
      <c r="S32" s="753">
        <f t="shared" si="12"/>
        <v>100</v>
      </c>
      <c r="T32" s="752" t="s">
        <v>25</v>
      </c>
      <c r="U32" s="753">
        <f t="shared" si="13"/>
        <v>100</v>
      </c>
      <c r="V32" s="752" t="s">
        <v>25</v>
      </c>
      <c r="W32" s="753">
        <f t="shared" si="14"/>
        <v>100</v>
      </c>
      <c r="X32" s="1893"/>
      <c r="Y32" s="3064"/>
      <c r="Z32" s="1895">
        <f t="shared" si="15"/>
        <v>111</v>
      </c>
      <c r="AA32" s="1896">
        <f t="shared" si="3"/>
        <v>1</v>
      </c>
      <c r="AB32" s="1896">
        <f t="shared" si="4"/>
        <v>1</v>
      </c>
      <c r="AC32" s="1896">
        <f t="shared" si="5"/>
        <v>1</v>
      </c>
    </row>
    <row r="33" spans="1:29" ht="15">
      <c r="A33" s="419" t="s">
        <v>2359</v>
      </c>
      <c r="B33" s="28" t="s">
        <v>2475</v>
      </c>
      <c r="C33" s="2465" t="s">
        <v>2875</v>
      </c>
      <c r="D33" s="448">
        <v>100</v>
      </c>
      <c r="E33" s="2465" t="s">
        <v>2875</v>
      </c>
      <c r="F33" s="442">
        <f>SUMIF(101:101,E33,102:102)-SUMIF(101:101,C33,102:102)+100</f>
        <v>100</v>
      </c>
      <c r="G33" s="2465" t="s">
        <v>2875</v>
      </c>
      <c r="H33" s="415">
        <f>SUMIF(101:101,G33,102:102)-SUMIF(101:101,C33,102:102)+100</f>
        <v>100</v>
      </c>
      <c r="I33" s="2465" t="s">
        <v>2875</v>
      </c>
      <c r="J33" s="448">
        <f>SUMIF(101:101,I33,102:102)-SUMIF(101:101,C33,102:102)+100</f>
        <v>100</v>
      </c>
      <c r="K33" s="596">
        <v>1</v>
      </c>
      <c r="L33" s="1248"/>
      <c r="M33" s="1239"/>
      <c r="N33" s="1239"/>
      <c r="O33" s="1239"/>
      <c r="P33" s="3089" t="s">
        <v>2361</v>
      </c>
      <c r="Q33" s="1892" t="str">
        <f t="shared" si="11"/>
        <v>建筑类型</v>
      </c>
      <c r="R33" s="752" t="s">
        <v>25</v>
      </c>
      <c r="S33" s="753">
        <f t="shared" si="12"/>
        <v>100</v>
      </c>
      <c r="T33" s="752" t="s">
        <v>25</v>
      </c>
      <c r="U33" s="753">
        <f t="shared" si="13"/>
        <v>100</v>
      </c>
      <c r="V33" s="752" t="s">
        <v>25</v>
      </c>
      <c r="W33" s="753">
        <f t="shared" si="14"/>
        <v>100</v>
      </c>
      <c r="X33" s="1893"/>
      <c r="Y33" s="3068" t="s">
        <v>2361</v>
      </c>
      <c r="Z33" s="1895" t="str">
        <f t="shared" si="15"/>
        <v>建筑类型</v>
      </c>
      <c r="AA33" s="1896">
        <f t="shared" si="3"/>
        <v>1</v>
      </c>
      <c r="AB33" s="1896">
        <f t="shared" si="4"/>
        <v>1</v>
      </c>
      <c r="AC33" s="1896">
        <f t="shared" si="5"/>
        <v>1</v>
      </c>
    </row>
    <row r="34" spans="1:29" s="452" customFormat="1" ht="15">
      <c r="A34" s="449"/>
      <c r="B34" s="402" t="s">
        <v>2362</v>
      </c>
      <c r="C34" s="450">
        <f>'数据-取费表'!E5</f>
        <v>150.56</v>
      </c>
      <c r="D34" s="52">
        <v>100</v>
      </c>
      <c r="E34" s="450">
        <v>425</v>
      </c>
      <c r="F34" s="405">
        <f>LOOKUP(E34,104:104,105:105)-LOOKUP(C34,104:104,105:105)+100</f>
        <v>102</v>
      </c>
      <c r="G34" s="450">
        <v>260</v>
      </c>
      <c r="H34" s="52">
        <f>LOOKUP(G34,104:104,105:105)-LOOKUP(C34,104:104,105:105)+100</f>
        <v>100</v>
      </c>
      <c r="I34" s="450">
        <v>2266</v>
      </c>
      <c r="J34" s="52">
        <f>LOOKUP(I34,104:104,105:105)-LOOKUP(C34,104:104,105:105)+100</f>
        <v>98</v>
      </c>
      <c r="K34" s="597"/>
      <c r="L34" s="1246"/>
      <c r="M34" s="1249"/>
      <c r="N34" s="1249"/>
      <c r="O34" s="1249"/>
      <c r="P34" s="3090"/>
      <c r="Q34" s="754" t="str">
        <f t="shared" si="11"/>
        <v>项目建筑规模</v>
      </c>
      <c r="R34" s="755" t="s">
        <v>25</v>
      </c>
      <c r="S34" s="756">
        <f t="shared" si="12"/>
        <v>102</v>
      </c>
      <c r="T34" s="755" t="s">
        <v>25</v>
      </c>
      <c r="U34" s="756">
        <f t="shared" si="13"/>
        <v>100</v>
      </c>
      <c r="V34" s="755" t="s">
        <v>25</v>
      </c>
      <c r="W34" s="756">
        <f t="shared" si="14"/>
        <v>98</v>
      </c>
      <c r="X34" s="757"/>
      <c r="Y34" s="3068"/>
      <c r="Z34" s="758" t="str">
        <f t="shared" si="15"/>
        <v>项目建筑规模</v>
      </c>
      <c r="AA34" s="1896">
        <f t="shared" si="3"/>
        <v>0.98039215686274506</v>
      </c>
      <c r="AB34" s="1896">
        <f t="shared" si="4"/>
        <v>1</v>
      </c>
      <c r="AC34" s="1896">
        <f t="shared" si="5"/>
        <v>1.0204081632653061</v>
      </c>
    </row>
    <row r="35" spans="1:29" ht="15">
      <c r="A35" s="453"/>
      <c r="B35" s="402" t="s">
        <v>2363</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v>1</v>
      </c>
      <c r="L35" s="1248"/>
      <c r="M35" s="1239"/>
      <c r="N35" s="1239"/>
      <c r="O35" s="1239"/>
      <c r="P35" s="3090"/>
      <c r="Q35" s="1892" t="str">
        <f t="shared" si="11"/>
        <v>建筑结构</v>
      </c>
      <c r="R35" s="752" t="s">
        <v>25</v>
      </c>
      <c r="S35" s="753">
        <f t="shared" si="12"/>
        <v>100</v>
      </c>
      <c r="T35" s="752" t="s">
        <v>25</v>
      </c>
      <c r="U35" s="753">
        <f t="shared" si="13"/>
        <v>100</v>
      </c>
      <c r="V35" s="752" t="s">
        <v>25</v>
      </c>
      <c r="W35" s="753">
        <f t="shared" si="14"/>
        <v>100</v>
      </c>
      <c r="X35" s="1893"/>
      <c r="Y35" s="3068"/>
      <c r="Z35" s="1895" t="str">
        <f t="shared" si="15"/>
        <v>建筑结构</v>
      </c>
      <c r="AA35" s="1896">
        <f t="shared" si="3"/>
        <v>1</v>
      </c>
      <c r="AB35" s="1896">
        <f t="shared" si="4"/>
        <v>1</v>
      </c>
      <c r="AC35" s="1896">
        <f t="shared" si="5"/>
        <v>1</v>
      </c>
    </row>
    <row r="36" spans="1:29" ht="15">
      <c r="A36" s="453"/>
      <c r="B36" s="402" t="s">
        <v>2448</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v>2</v>
      </c>
      <c r="L36" s="1248"/>
      <c r="M36" s="1239"/>
      <c r="N36" s="1239"/>
      <c r="O36" s="1239"/>
      <c r="P36" s="3090"/>
      <c r="Q36" s="1892" t="str">
        <f t="shared" si="11"/>
        <v>公共部分装修</v>
      </c>
      <c r="R36" s="752" t="s">
        <v>25</v>
      </c>
      <c r="S36" s="753">
        <f t="shared" si="12"/>
        <v>100</v>
      </c>
      <c r="T36" s="752" t="s">
        <v>25</v>
      </c>
      <c r="U36" s="753">
        <f t="shared" si="13"/>
        <v>100</v>
      </c>
      <c r="V36" s="752" t="s">
        <v>25</v>
      </c>
      <c r="W36" s="753">
        <f t="shared" si="14"/>
        <v>100</v>
      </c>
      <c r="X36" s="1893"/>
      <c r="Y36" s="3068"/>
      <c r="Z36" s="1895" t="str">
        <f t="shared" si="15"/>
        <v>公共部分装修</v>
      </c>
      <c r="AA36" s="1896">
        <f t="shared" si="3"/>
        <v>1</v>
      </c>
      <c r="AB36" s="1896">
        <f t="shared" si="4"/>
        <v>1</v>
      </c>
      <c r="AC36" s="1896">
        <f t="shared" si="5"/>
        <v>1</v>
      </c>
    </row>
    <row r="37" spans="1:29" ht="15">
      <c r="A37" s="453"/>
      <c r="B37" s="402" t="s">
        <v>2449</v>
      </c>
      <c r="C37" s="455">
        <f>'数据-取费表'!E20</f>
        <v>0.83</v>
      </c>
      <c r="D37" s="415">
        <v>100</v>
      </c>
      <c r="E37" s="455">
        <f>C37</f>
        <v>0.83</v>
      </c>
      <c r="F37" s="442">
        <f>LOOKUP(E37,111:111,112:112)-LOOKUP(C37,111:111,112:112)+100</f>
        <v>100</v>
      </c>
      <c r="G37" s="455">
        <f>E37</f>
        <v>0.83</v>
      </c>
      <c r="H37" s="442">
        <f>LOOKUP(G37,111:111,112:112)-LOOKUP(C37,111:111,112:112)+100</f>
        <v>100</v>
      </c>
      <c r="I37" s="455">
        <f>G37</f>
        <v>0.83</v>
      </c>
      <c r="J37" s="415">
        <f>LOOKUP(I37,111:111,112:112)-LOOKUP(C37,111:111,112:112)+100</f>
        <v>100</v>
      </c>
      <c r="K37" s="596">
        <v>2</v>
      </c>
      <c r="L37" s="1248"/>
      <c r="M37" s="1239"/>
      <c r="N37" s="1239"/>
      <c r="O37" s="1239"/>
      <c r="P37" s="3090"/>
      <c r="Q37" s="1892" t="str">
        <f t="shared" si="11"/>
        <v>成新度</v>
      </c>
      <c r="R37" s="752" t="s">
        <v>25</v>
      </c>
      <c r="S37" s="753">
        <f t="shared" si="12"/>
        <v>100</v>
      </c>
      <c r="T37" s="752" t="s">
        <v>25</v>
      </c>
      <c r="U37" s="753">
        <f t="shared" si="13"/>
        <v>100</v>
      </c>
      <c r="V37" s="752" t="s">
        <v>25</v>
      </c>
      <c r="W37" s="753">
        <f t="shared" si="14"/>
        <v>100</v>
      </c>
      <c r="X37" s="1893"/>
      <c r="Y37" s="3068"/>
      <c r="Z37" s="1895" t="str">
        <f t="shared" si="15"/>
        <v>成新度</v>
      </c>
      <c r="AA37" s="1896">
        <f t="shared" si="3"/>
        <v>1</v>
      </c>
      <c r="AB37" s="1896">
        <f t="shared" si="4"/>
        <v>1</v>
      </c>
      <c r="AC37" s="1896">
        <f t="shared" si="5"/>
        <v>1</v>
      </c>
    </row>
    <row r="38" spans="1:29" s="35" customFormat="1" ht="15">
      <c r="A38" s="454"/>
      <c r="B38" s="402" t="s">
        <v>2476</v>
      </c>
      <c r="C38" s="441" t="s">
        <v>2883</v>
      </c>
      <c r="D38" s="52">
        <v>100</v>
      </c>
      <c r="E38" s="441" t="s">
        <v>2883</v>
      </c>
      <c r="F38" s="442">
        <f>SUMIF(113:113,E38,114:114)-SUMIF(113:113,C38,114:114)+100</f>
        <v>100</v>
      </c>
      <c r="G38" s="441" t="s">
        <v>2883</v>
      </c>
      <c r="H38" s="415">
        <f>SUMIF(113:113,G38,114:114)-SUMIF(113:113,C38,114:114)+100</f>
        <v>100</v>
      </c>
      <c r="I38" s="441" t="s">
        <v>2883</v>
      </c>
      <c r="J38" s="415">
        <f>SUMIF(113:113,I38,114:114)-SUMIF(113:113,C38,114:114)+100</f>
        <v>100</v>
      </c>
      <c r="K38" s="596">
        <v>1</v>
      </c>
      <c r="L38" s="1240"/>
      <c r="M38" s="1241"/>
      <c r="N38" s="1241"/>
      <c r="O38" s="1241"/>
      <c r="P38" s="3090"/>
      <c r="Q38" s="1880" t="str">
        <f t="shared" si="11"/>
        <v>写字楼等级</v>
      </c>
      <c r="R38" s="748" t="s">
        <v>25</v>
      </c>
      <c r="S38" s="749">
        <f t="shared" si="12"/>
        <v>100</v>
      </c>
      <c r="T38" s="748" t="s">
        <v>25</v>
      </c>
      <c r="U38" s="749">
        <f t="shared" si="13"/>
        <v>100</v>
      </c>
      <c r="V38" s="748" t="s">
        <v>25</v>
      </c>
      <c r="W38" s="749">
        <f t="shared" si="14"/>
        <v>100</v>
      </c>
      <c r="X38" s="750"/>
      <c r="Y38" s="3068"/>
      <c r="Z38" s="23" t="str">
        <f t="shared" si="15"/>
        <v>写字楼等级</v>
      </c>
      <c r="AA38" s="751">
        <f t="shared" si="3"/>
        <v>1</v>
      </c>
      <c r="AB38" s="751">
        <f t="shared" si="4"/>
        <v>1</v>
      </c>
      <c r="AC38" s="751">
        <f t="shared" si="5"/>
        <v>1</v>
      </c>
    </row>
    <row r="39" spans="1:29" ht="15">
      <c r="A39" s="453"/>
      <c r="B39" s="402" t="s">
        <v>2477</v>
      </c>
      <c r="C39" s="441" t="s">
        <v>2887</v>
      </c>
      <c r="D39" s="415">
        <v>100</v>
      </c>
      <c r="E39" s="441" t="s">
        <v>2887</v>
      </c>
      <c r="F39" s="442">
        <f>SUMIF(115:115,E39,116:116)-SUMIF(115:115,C39,116:116)+100</f>
        <v>100</v>
      </c>
      <c r="G39" s="441" t="s">
        <v>2887</v>
      </c>
      <c r="H39" s="415">
        <f>SUMIF(115:115,G39,116:116)-SUMIF(115:115,C39,116:116)+100</f>
        <v>100</v>
      </c>
      <c r="I39" s="441" t="s">
        <v>2887</v>
      </c>
      <c r="J39" s="415">
        <f>SUMIF(115:115,I39,116:116)-SUMIF(115:115,C39,116:116)+100</f>
        <v>100</v>
      </c>
      <c r="K39" s="596">
        <v>2</v>
      </c>
      <c r="L39" s="1248"/>
      <c r="M39" s="1239"/>
      <c r="N39" s="1239"/>
      <c r="O39" s="1239"/>
      <c r="P39" s="3090" t="s">
        <v>2361</v>
      </c>
      <c r="Q39" s="1892" t="str">
        <f t="shared" si="11"/>
        <v>物业管理</v>
      </c>
      <c r="R39" s="752" t="s">
        <v>25</v>
      </c>
      <c r="S39" s="753">
        <f t="shared" si="12"/>
        <v>100</v>
      </c>
      <c r="T39" s="752" t="s">
        <v>25</v>
      </c>
      <c r="U39" s="753">
        <f t="shared" si="13"/>
        <v>100</v>
      </c>
      <c r="V39" s="752" t="s">
        <v>25</v>
      </c>
      <c r="W39" s="753">
        <f t="shared" si="14"/>
        <v>100</v>
      </c>
      <c r="X39" s="1893"/>
      <c r="Y39" s="3068" t="s">
        <v>2361</v>
      </c>
      <c r="Z39" s="1895" t="str">
        <f t="shared" si="15"/>
        <v>物业管理</v>
      </c>
      <c r="AA39" s="1896">
        <f t="shared" si="3"/>
        <v>1</v>
      </c>
      <c r="AB39" s="1896">
        <f t="shared" si="4"/>
        <v>1</v>
      </c>
      <c r="AC39" s="1896">
        <f t="shared" si="5"/>
        <v>1</v>
      </c>
    </row>
    <row r="40" spans="1:29" ht="15">
      <c r="A40" s="453"/>
      <c r="B40" s="402" t="s">
        <v>2450</v>
      </c>
      <c r="C40" s="441" t="s">
        <v>2891</v>
      </c>
      <c r="D40" s="415">
        <v>100</v>
      </c>
      <c r="E40" s="441" t="s">
        <v>2891</v>
      </c>
      <c r="F40" s="442">
        <f>SUMIF(117:117,E40,118:118)-SUMIF(117:117,C40,118:118)+100</f>
        <v>100</v>
      </c>
      <c r="G40" s="441" t="s">
        <v>2891</v>
      </c>
      <c r="H40" s="415">
        <f>SUMIF(117:117,G40,118:118)-SUMIF(117:117,C40,118:118)+100</f>
        <v>100</v>
      </c>
      <c r="I40" s="441" t="s">
        <v>2891</v>
      </c>
      <c r="J40" s="415">
        <f>SUMIF(117:117,I40,118:118)-SUMIF(117:117,C40,118:118)+100</f>
        <v>100</v>
      </c>
      <c r="K40" s="596">
        <v>2</v>
      </c>
      <c r="L40" s="1248"/>
      <c r="M40" s="1239"/>
      <c r="N40" s="1239"/>
      <c r="O40" s="1239"/>
      <c r="P40" s="3090"/>
      <c r="Q40" s="1892" t="str">
        <f t="shared" si="11"/>
        <v>市政基础设施</v>
      </c>
      <c r="R40" s="752" t="s">
        <v>25</v>
      </c>
      <c r="S40" s="753">
        <f t="shared" si="12"/>
        <v>100</v>
      </c>
      <c r="T40" s="752" t="s">
        <v>25</v>
      </c>
      <c r="U40" s="753">
        <f t="shared" si="13"/>
        <v>100</v>
      </c>
      <c r="V40" s="752" t="s">
        <v>25</v>
      </c>
      <c r="W40" s="753">
        <f t="shared" si="14"/>
        <v>100</v>
      </c>
      <c r="X40" s="1893"/>
      <c r="Y40" s="3068"/>
      <c r="Z40" s="1895" t="str">
        <f t="shared" si="15"/>
        <v>市政基础设施</v>
      </c>
      <c r="AA40" s="1896">
        <f t="shared" si="3"/>
        <v>1</v>
      </c>
      <c r="AB40" s="1896">
        <f t="shared" si="4"/>
        <v>1</v>
      </c>
      <c r="AC40" s="1896">
        <f t="shared" si="5"/>
        <v>1</v>
      </c>
    </row>
    <row r="41" spans="1:29" ht="15">
      <c r="A41" s="453"/>
      <c r="B41" s="402" t="s">
        <v>2452</v>
      </c>
      <c r="C41" s="600" t="s">
        <v>2894</v>
      </c>
      <c r="D41" s="415">
        <v>100</v>
      </c>
      <c r="E41" s="600" t="s">
        <v>2894</v>
      </c>
      <c r="F41" s="442">
        <f>SUMIF(119:119,E41,120:120)-SUMIF(119:119,C41,120:120)+100</f>
        <v>100</v>
      </c>
      <c r="G41" s="600" t="s">
        <v>2894</v>
      </c>
      <c r="H41" s="415">
        <f>SUMIF(119:119,G41,120:120)-SUMIF(119:119,C41,120:120)+100</f>
        <v>100</v>
      </c>
      <c r="I41" s="600" t="s">
        <v>2894</v>
      </c>
      <c r="J41" s="415">
        <f>SUMIF(119:119,I41,120:120)-SUMIF(119:119,C41,120:120)+100</f>
        <v>100</v>
      </c>
      <c r="K41" s="596">
        <v>1</v>
      </c>
      <c r="L41" s="1248"/>
      <c r="M41" s="1239"/>
      <c r="N41" s="1239"/>
      <c r="O41" s="1239"/>
      <c r="P41" s="3090"/>
      <c r="Q41" s="1892" t="str">
        <f t="shared" si="11"/>
        <v>层高</v>
      </c>
      <c r="R41" s="752" t="s">
        <v>25</v>
      </c>
      <c r="S41" s="753">
        <f t="shared" si="12"/>
        <v>100</v>
      </c>
      <c r="T41" s="752" t="s">
        <v>25</v>
      </c>
      <c r="U41" s="753">
        <f t="shared" si="13"/>
        <v>100</v>
      </c>
      <c r="V41" s="752" t="s">
        <v>25</v>
      </c>
      <c r="W41" s="753">
        <f t="shared" si="14"/>
        <v>100</v>
      </c>
      <c r="X41" s="1893"/>
      <c r="Y41" s="3068"/>
      <c r="Z41" s="1895" t="str">
        <f t="shared" si="15"/>
        <v>层高</v>
      </c>
      <c r="AA41" s="1896">
        <f t="shared" si="3"/>
        <v>1</v>
      </c>
      <c r="AB41" s="1896">
        <f t="shared" si="4"/>
        <v>1</v>
      </c>
      <c r="AC41" s="1896">
        <f t="shared" si="5"/>
        <v>1</v>
      </c>
    </row>
    <row r="42" spans="1:29" s="452" customFormat="1" ht="15">
      <c r="A42" s="449"/>
      <c r="B42" s="1897"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90"/>
      <c r="Q42" s="754" t="str">
        <f t="shared" si="11"/>
        <v>单套建筑面积</v>
      </c>
      <c r="R42" s="755" t="s">
        <v>25</v>
      </c>
      <c r="S42" s="756">
        <f t="shared" si="12"/>
        <v>100</v>
      </c>
      <c r="T42" s="755" t="s">
        <v>25</v>
      </c>
      <c r="U42" s="756">
        <f t="shared" si="13"/>
        <v>100</v>
      </c>
      <c r="V42" s="755" t="s">
        <v>25</v>
      </c>
      <c r="W42" s="756">
        <f t="shared" si="14"/>
        <v>100</v>
      </c>
      <c r="X42" s="757"/>
      <c r="Y42" s="3068"/>
      <c r="Z42" s="758" t="str">
        <f t="shared" si="15"/>
        <v>单套建筑面积</v>
      </c>
      <c r="AA42" s="1896">
        <f t="shared" si="3"/>
        <v>1</v>
      </c>
      <c r="AB42" s="1896">
        <f t="shared" si="4"/>
        <v>1</v>
      </c>
      <c r="AC42" s="1896">
        <f t="shared" si="5"/>
        <v>1</v>
      </c>
    </row>
    <row r="43" spans="1:29" ht="15">
      <c r="A43" s="453"/>
      <c r="B43" s="402" t="s">
        <v>2455</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v>2</v>
      </c>
      <c r="L43" s="1248"/>
      <c r="M43" s="1239"/>
      <c r="N43" s="1239"/>
      <c r="O43" s="1239"/>
      <c r="P43" s="3090"/>
      <c r="Q43" s="1892" t="str">
        <f t="shared" si="11"/>
        <v>内部装修</v>
      </c>
      <c r="R43" s="752" t="s">
        <v>25</v>
      </c>
      <c r="S43" s="753">
        <f t="shared" si="12"/>
        <v>100</v>
      </c>
      <c r="T43" s="752" t="s">
        <v>25</v>
      </c>
      <c r="U43" s="753">
        <f t="shared" si="13"/>
        <v>100</v>
      </c>
      <c r="V43" s="752" t="s">
        <v>25</v>
      </c>
      <c r="W43" s="753">
        <f t="shared" si="14"/>
        <v>100</v>
      </c>
      <c r="X43" s="1893"/>
      <c r="Y43" s="3068"/>
      <c r="Z43" s="1895" t="str">
        <f t="shared" si="15"/>
        <v>内部装修</v>
      </c>
      <c r="AA43" s="1896">
        <f t="shared" si="3"/>
        <v>1</v>
      </c>
      <c r="AB43" s="1896">
        <f t="shared" si="4"/>
        <v>1</v>
      </c>
      <c r="AC43" s="1896">
        <f t="shared" si="5"/>
        <v>1</v>
      </c>
    </row>
    <row r="44" spans="1:29" ht="28.8">
      <c r="A44" s="453"/>
      <c r="B44" s="402" t="s">
        <v>2372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90"/>
      <c r="Q44" s="1892" t="str">
        <f t="shared" si="11"/>
        <v>内部装修维护情况</v>
      </c>
      <c r="R44" s="752" t="s">
        <v>25</v>
      </c>
      <c r="S44" s="753">
        <f t="shared" si="12"/>
        <v>100</v>
      </c>
      <c r="T44" s="752" t="s">
        <v>25</v>
      </c>
      <c r="U44" s="753">
        <f t="shared" si="13"/>
        <v>100</v>
      </c>
      <c r="V44" s="752" t="s">
        <v>25</v>
      </c>
      <c r="W44" s="753">
        <f t="shared" si="14"/>
        <v>100</v>
      </c>
      <c r="X44" s="1893"/>
      <c r="Y44" s="3068"/>
      <c r="Z44" s="1895" t="str">
        <f t="shared" si="15"/>
        <v>内部装修维护情况</v>
      </c>
      <c r="AA44" s="1896">
        <f t="shared" si="3"/>
        <v>1</v>
      </c>
      <c r="AB44" s="1896">
        <f t="shared" si="4"/>
        <v>1</v>
      </c>
      <c r="AC44" s="1896">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0"/>
      <c r="Q45" s="1880">
        <f t="shared" si="11"/>
        <v>111</v>
      </c>
      <c r="R45" s="748" t="s">
        <v>25</v>
      </c>
      <c r="S45" s="749">
        <f t="shared" si="12"/>
        <v>100</v>
      </c>
      <c r="T45" s="748" t="s">
        <v>25</v>
      </c>
      <c r="U45" s="749">
        <f t="shared" si="13"/>
        <v>100</v>
      </c>
      <c r="V45" s="748" t="s">
        <v>25</v>
      </c>
      <c r="W45" s="749">
        <f t="shared" si="14"/>
        <v>100</v>
      </c>
      <c r="X45" s="750"/>
      <c r="Y45" s="3068"/>
      <c r="Z45" s="23">
        <f t="shared" si="15"/>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0"/>
      <c r="Q46" s="1892">
        <f t="shared" si="11"/>
        <v>111</v>
      </c>
      <c r="R46" s="752" t="s">
        <v>25</v>
      </c>
      <c r="S46" s="753">
        <f t="shared" si="12"/>
        <v>100</v>
      </c>
      <c r="T46" s="752" t="s">
        <v>25</v>
      </c>
      <c r="U46" s="753">
        <f t="shared" si="13"/>
        <v>100</v>
      </c>
      <c r="V46" s="752" t="s">
        <v>25</v>
      </c>
      <c r="W46" s="753">
        <f t="shared" si="14"/>
        <v>100</v>
      </c>
      <c r="X46" s="1893"/>
      <c r="Y46" s="3068"/>
      <c r="Z46" s="1895">
        <f t="shared" si="15"/>
        <v>111</v>
      </c>
      <c r="AA46" s="1896">
        <f t="shared" si="3"/>
        <v>1</v>
      </c>
      <c r="AB46" s="1896">
        <f t="shared" si="4"/>
        <v>1</v>
      </c>
      <c r="AC46" s="1896">
        <f t="shared" si="5"/>
        <v>1</v>
      </c>
    </row>
    <row r="47" spans="1:29" ht="15.6" thickBot="1">
      <c r="A47" s="459"/>
      <c r="B47" s="2393">
        <v>111</v>
      </c>
      <c r="C47" s="2394">
        <v>0.9</v>
      </c>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1"/>
      <c r="Q47" s="1892">
        <f t="shared" si="11"/>
        <v>111</v>
      </c>
      <c r="R47" s="752" t="s">
        <v>25</v>
      </c>
      <c r="S47" s="753">
        <f t="shared" si="12"/>
        <v>100</v>
      </c>
      <c r="T47" s="752" t="s">
        <v>25</v>
      </c>
      <c r="U47" s="753">
        <f t="shared" si="13"/>
        <v>100</v>
      </c>
      <c r="V47" s="752" t="s">
        <v>25</v>
      </c>
      <c r="W47" s="753">
        <f t="shared" si="14"/>
        <v>100</v>
      </c>
      <c r="X47" s="1893"/>
      <c r="Y47" s="3069"/>
      <c r="Z47" s="1895">
        <f t="shared" si="15"/>
        <v>111</v>
      </c>
      <c r="AA47" s="1896">
        <f t="shared" si="3"/>
        <v>1</v>
      </c>
      <c r="AB47" s="1896">
        <f t="shared" si="4"/>
        <v>1</v>
      </c>
      <c r="AC47" s="1896">
        <f t="shared" si="5"/>
        <v>1</v>
      </c>
    </row>
    <row r="48" spans="1:29" ht="14.4">
      <c r="A48" s="460" t="s">
        <v>2373</v>
      </c>
      <c r="B48" s="461"/>
      <c r="C48" s="1496" t="s">
        <v>1</v>
      </c>
      <c r="D48" s="1497"/>
      <c r="E48" s="1498">
        <f>ROUND(40123*C47,0)</f>
        <v>36111</v>
      </c>
      <c r="F48" s="1499"/>
      <c r="G48" s="1500">
        <f>ROUND(38000*C47,0)</f>
        <v>34200</v>
      </c>
      <c r="H48" s="1501"/>
      <c r="I48" s="1498">
        <f>ROUND(35000*C47,0)</f>
        <v>31500</v>
      </c>
      <c r="J48" s="1501"/>
      <c r="K48" s="761"/>
      <c r="L48" s="1251"/>
      <c r="M48" s="1239"/>
      <c r="N48" s="1239"/>
      <c r="O48" s="1239"/>
      <c r="P48" s="3081" t="str">
        <f>A48</f>
        <v>成交单价（元/平方米）</v>
      </c>
      <c r="Q48" s="3074"/>
      <c r="R48" s="3075">
        <f>E48</f>
        <v>36111</v>
      </c>
      <c r="S48" s="3075"/>
      <c r="T48" s="3075">
        <f>G48</f>
        <v>34200</v>
      </c>
      <c r="U48" s="3075"/>
      <c r="V48" s="3075">
        <f>I48</f>
        <v>31500</v>
      </c>
      <c r="W48" s="3075"/>
      <c r="X48" s="737"/>
      <c r="Y48" s="759"/>
      <c r="Z48" s="737"/>
      <c r="AA48" s="737"/>
      <c r="AB48" s="737"/>
      <c r="AC48" s="737"/>
    </row>
    <row r="49" spans="1:29" ht="15" thickBot="1">
      <c r="A49" s="467" t="s">
        <v>2456</v>
      </c>
      <c r="B49" s="468"/>
      <c r="C49" s="1502">
        <f>R50</f>
        <v>33037</v>
      </c>
      <c r="D49" s="1503"/>
      <c r="E49" s="1504">
        <f>R49</f>
        <v>34041</v>
      </c>
      <c r="F49" s="1504"/>
      <c r="G49" s="1502">
        <f>T49</f>
        <v>33556</v>
      </c>
      <c r="H49" s="1503"/>
      <c r="I49" s="1504">
        <f>V49</f>
        <v>31513</v>
      </c>
      <c r="J49" s="1503"/>
      <c r="K49" s="762"/>
      <c r="L49" s="1251"/>
      <c r="M49" s="1239"/>
      <c r="N49" s="1239"/>
      <c r="O49" s="1239"/>
      <c r="P49" s="3081" t="str">
        <f>A49</f>
        <v>比较价值（元/平方米）</v>
      </c>
      <c r="Q49" s="3074"/>
      <c r="R49" s="3075">
        <f>IF(E1="售价",ROUND(PRODUCT(R48,AA7:AA47),0),ROUND(PRODUCT(R48,AA7:AA47),1))</f>
        <v>34041</v>
      </c>
      <c r="S49" s="3075"/>
      <c r="T49" s="3075">
        <f>IF(E1="售价",ROUND(PRODUCT(T48,AB7:AB47),0),ROUND(PRODUCT(T48,AB7:AB47),1))</f>
        <v>33556</v>
      </c>
      <c r="U49" s="3075"/>
      <c r="V49" s="3075">
        <f>IF(E1="售价",ROUND(PRODUCT(V48,AC7:AC47),0),ROUND(PRODUCT(V48,AC7:AC47),1))</f>
        <v>31513</v>
      </c>
      <c r="W49" s="3075"/>
      <c r="X49" s="737"/>
      <c r="Y49" s="737"/>
      <c r="Z49" s="737"/>
      <c r="AA49" s="737"/>
      <c r="AB49" s="737"/>
      <c r="AC49" s="737"/>
    </row>
    <row r="50" spans="1:29" ht="15" thickBot="1">
      <c r="A50" s="473" t="s">
        <v>2479</v>
      </c>
      <c r="B50" s="474"/>
      <c r="C50" s="1506">
        <f>R50</f>
        <v>33037</v>
      </c>
      <c r="D50" s="1506"/>
      <c r="E50" s="1506"/>
      <c r="F50" s="1506"/>
      <c r="G50" s="1506"/>
      <c r="H50" s="1506"/>
      <c r="I50" s="1506"/>
      <c r="J50" s="1506"/>
      <c r="K50" s="763"/>
      <c r="L50" s="1251"/>
      <c r="M50" s="1239"/>
      <c r="N50" s="1239"/>
      <c r="O50" s="1239"/>
      <c r="P50" s="3092" t="str">
        <f>A50</f>
        <v>估价对象XX用房的比较价值（楼面单价，元/平方米）</v>
      </c>
      <c r="Q50" s="3081"/>
      <c r="R50" s="3082">
        <f>IF(E1="售价",ROUND(AVERAGE(R49:V49),0),ROUND(AVERAGE(R49:V49),1))</f>
        <v>33037</v>
      </c>
      <c r="S50" s="3082"/>
      <c r="T50" s="3082"/>
      <c r="U50" s="3082"/>
      <c r="V50" s="3082"/>
      <c r="W50" s="3082"/>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2458</v>
      </c>
      <c r="D53" s="479"/>
      <c r="E53" s="480">
        <f>IF(E48&lt;E49,E49/E48-1,E48/E49-1)</f>
        <v>6.0809024411738744E-2</v>
      </c>
      <c r="F53" s="481" t="str">
        <f>IF(OR(E53&gt;=0.3,E53&lt;=-0.3),"超过30%","")</f>
        <v/>
      </c>
      <c r="G53" s="480">
        <f>IF(G48&lt;G49,G49/G48-1,G48/G49-1)</f>
        <v>1.9191798784122138E-2</v>
      </c>
      <c r="H53" s="481" t="str">
        <f>IF(OR(G53&gt;=0.3,G53&lt;=-0.3),"超过30%","")</f>
        <v/>
      </c>
      <c r="I53" s="480">
        <f>IF(I48&lt;I49,I49/I48-1,I48/I49-1)</f>
        <v>4.1269841269842011E-4</v>
      </c>
      <c r="J53" s="481" t="str">
        <f>IF(OR(I53&gt;=0.3,I53&lt;=-0.3),"超过30%","")</f>
        <v/>
      </c>
      <c r="K53" s="1257"/>
      <c r="L53" s="1253"/>
      <c r="M53" s="1252"/>
      <c r="N53" s="1252"/>
      <c r="O53" s="1252"/>
    </row>
    <row r="54" spans="1:29" ht="13.5" customHeight="1">
      <c r="A54" s="1252"/>
      <c r="B54" s="1252"/>
      <c r="C54" s="478" t="s">
        <v>2459</v>
      </c>
      <c r="D54" s="482"/>
      <c r="E54" s="480">
        <f>IF(E49&lt;G49,G49/E49-1,E49/G49-1)</f>
        <v>1.4453450947669477E-2</v>
      </c>
      <c r="F54" s="481" t="str">
        <f>IF(OR(E54&gt;=0.2,E54&lt;=-0.2),"超过20%","")</f>
        <v/>
      </c>
      <c r="G54" s="480">
        <f>IF(G49&lt;I49,I49/G49-1,G49/I49-1)</f>
        <v>6.4830387459143823E-2</v>
      </c>
      <c r="H54" s="481" t="str">
        <f>IF(OR(G54&gt;=0.2,G54&lt;=-0.2),"超过20%","")</f>
        <v/>
      </c>
      <c r="I54" s="480">
        <f>IF(I49&lt;E49,E49/I49-1,I49/E49-1)</f>
        <v>8.0220861231872664E-2</v>
      </c>
      <c r="J54" s="481" t="str">
        <f>IF(OR(I54&gt;=0.2,I54&lt;=-0.2),"超过20%","")</f>
        <v/>
      </c>
      <c r="K54" s="1257"/>
      <c r="L54" s="1253"/>
      <c r="M54" s="1252"/>
      <c r="N54" s="1252"/>
      <c r="O54" s="1252"/>
    </row>
    <row r="55" spans="1:29" s="483" customFormat="1" ht="13.5" customHeight="1">
      <c r="A55" s="1254"/>
      <c r="B55" s="1254"/>
      <c r="C55" s="478" t="s">
        <v>2460</v>
      </c>
      <c r="D55" s="482"/>
      <c r="E55" s="480">
        <f>IF(E48&lt;G48,G48/E48-1,E48/G48-1)</f>
        <v>5.5877192982456192E-2</v>
      </c>
      <c r="F55" s="481" t="str">
        <f>IF(OR(E55&gt;=0.3,E55&lt;=-0.3),"超过30%","")</f>
        <v/>
      </c>
      <c r="G55" s="480">
        <f>IF(G48&lt;I48,I48/G48-1,G48/I48-1)</f>
        <v>8.5714285714285632E-2</v>
      </c>
      <c r="H55" s="481" t="str">
        <f>IF(OR(G55&gt;=0.3,G55&lt;=-0.3),"超过30%","")</f>
        <v/>
      </c>
      <c r="I55" s="480">
        <f>IF(I48&lt;E48,E48/I48-1,I48/E48-1)</f>
        <v>0.14638095238095228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2461</v>
      </c>
      <c r="B58" s="737"/>
      <c r="C58" s="742"/>
      <c r="D58" s="742"/>
      <c r="E58" s="742"/>
      <c r="F58" s="743"/>
      <c r="G58" s="743"/>
      <c r="H58" s="742"/>
      <c r="I58" s="742"/>
      <c r="J58" s="742"/>
      <c r="K58" s="744"/>
      <c r="L58" s="745"/>
      <c r="M58" s="742"/>
      <c r="N58" s="742"/>
      <c r="O58" s="742"/>
      <c r="P58" s="484"/>
      <c r="Q58" s="485"/>
    </row>
    <row r="59" spans="1:29" s="489" customFormat="1" ht="14.4">
      <c r="A59" s="486" t="s">
        <v>2343</v>
      </c>
      <c r="B59" s="487"/>
      <c r="C59" s="1672" t="str">
        <f>YEAR(C7)&amp;"-"&amp;MONTH(C7)</f>
        <v>2020-4</v>
      </c>
      <c r="D59" s="1673">
        <f>EDATE(C59,-1)</f>
        <v>43891</v>
      </c>
      <c r="E59" s="1673">
        <f t="shared" ref="E59:O59" si="16">EDATE(D59,-1)</f>
        <v>43862</v>
      </c>
      <c r="F59" s="1673">
        <f t="shared" si="16"/>
        <v>43831</v>
      </c>
      <c r="G59" s="1673">
        <f t="shared" si="16"/>
        <v>43800</v>
      </c>
      <c r="H59" s="1673">
        <f t="shared" si="16"/>
        <v>43770</v>
      </c>
      <c r="I59" s="1673">
        <f t="shared" si="16"/>
        <v>43739</v>
      </c>
      <c r="J59" s="1673">
        <f t="shared" si="16"/>
        <v>43709</v>
      </c>
      <c r="K59" s="1673">
        <f t="shared" si="16"/>
        <v>43678</v>
      </c>
      <c r="L59" s="1673">
        <f t="shared" si="16"/>
        <v>43647</v>
      </c>
      <c r="M59" s="1673">
        <f t="shared" si="16"/>
        <v>43617</v>
      </c>
      <c r="N59" s="1673">
        <f t="shared" si="16"/>
        <v>43586</v>
      </c>
      <c r="O59" s="1673">
        <f t="shared" si="16"/>
        <v>43556</v>
      </c>
      <c r="P59" s="488"/>
    </row>
    <row r="60" spans="1:29" s="35" customFormat="1">
      <c r="A60" s="490"/>
      <c r="B60" s="491"/>
      <c r="C60" s="623">
        <v>100</v>
      </c>
      <c r="D60" s="493">
        <v>100</v>
      </c>
      <c r="E60" s="493">
        <v>100</v>
      </c>
      <c r="F60" s="493"/>
      <c r="G60" s="493"/>
      <c r="H60" s="493"/>
      <c r="I60" s="493"/>
      <c r="J60" s="493"/>
      <c r="K60" s="493"/>
      <c r="L60" s="493"/>
      <c r="M60" s="494"/>
      <c r="N60" s="493"/>
      <c r="O60" s="495"/>
      <c r="P60" s="485"/>
    </row>
    <row r="61" spans="1:29" s="35" customFormat="1" ht="15" thickBot="1">
      <c r="A61" s="496" t="s">
        <v>2381</v>
      </c>
      <c r="B61" s="497"/>
      <c r="C61" s="498"/>
      <c r="D61" s="499"/>
      <c r="E61" s="499"/>
      <c r="F61" s="499"/>
      <c r="G61" s="499"/>
      <c r="H61" s="499"/>
      <c r="I61" s="499"/>
      <c r="J61" s="499"/>
      <c r="K61" s="499"/>
      <c r="L61" s="499"/>
      <c r="M61" s="500"/>
      <c r="N61" s="499"/>
      <c r="O61" s="501"/>
      <c r="P61" s="485"/>
      <c r="Q61" s="485"/>
    </row>
    <row r="62" spans="1:29" s="35" customFormat="1" ht="14.4">
      <c r="A62" s="502" t="s">
        <v>2345</v>
      </c>
      <c r="B62" s="491"/>
      <c r="C62" s="503" t="s">
        <v>2346</v>
      </c>
      <c r="D62" s="504"/>
      <c r="E62" s="504"/>
      <c r="F62" s="504"/>
      <c r="G62" s="504"/>
      <c r="H62" s="504"/>
      <c r="I62" s="504"/>
      <c r="J62" s="504"/>
      <c r="K62" s="504"/>
      <c r="L62" s="505"/>
      <c r="M62" s="506"/>
      <c r="N62" s="1261"/>
      <c r="O62" s="1261"/>
      <c r="P62" s="507"/>
      <c r="Q62" s="485"/>
    </row>
    <row r="63" spans="1:29" s="35" customFormat="1" ht="14.4" thickBot="1">
      <c r="A63" s="502"/>
      <c r="B63" s="491"/>
      <c r="C63" s="492">
        <v>100</v>
      </c>
      <c r="D63" s="493"/>
      <c r="E63" s="493"/>
      <c r="F63" s="493"/>
      <c r="G63" s="493"/>
      <c r="H63" s="493"/>
      <c r="I63" s="493"/>
      <c r="J63" s="493"/>
      <c r="K63" s="493"/>
      <c r="L63" s="493"/>
      <c r="M63" s="495"/>
      <c r="N63" s="1261"/>
      <c r="O63" s="1261"/>
      <c r="P63" s="485"/>
      <c r="Q63" s="485"/>
    </row>
    <row r="64" spans="1:29" ht="14.4">
      <c r="A64" s="508" t="s">
        <v>2384</v>
      </c>
      <c r="B64" s="509" t="s">
        <v>2349</v>
      </c>
      <c r="C64" s="510" t="str">
        <f>C9</f>
        <v>办公</v>
      </c>
      <c r="D64" s="511"/>
      <c r="E64" s="511"/>
      <c r="F64" s="511"/>
      <c r="G64" s="511"/>
      <c r="H64" s="511"/>
      <c r="I64" s="511"/>
      <c r="J64" s="511"/>
      <c r="K64" s="512"/>
      <c r="L64" s="513"/>
      <c r="M64" s="514"/>
      <c r="N64" s="1262"/>
      <c r="O64" s="1262"/>
      <c r="P64" s="22"/>
      <c r="Q64" s="485"/>
    </row>
    <row r="65" spans="1:17" ht="14.4" thickBot="1">
      <c r="A65" s="516"/>
      <c r="B65" s="517"/>
      <c r="C65" s="518">
        <v>100</v>
      </c>
      <c r="D65" s="518"/>
      <c r="E65" s="518"/>
      <c r="F65" s="518"/>
      <c r="G65" s="518"/>
      <c r="H65" s="518"/>
      <c r="I65" s="518"/>
      <c r="J65" s="518"/>
      <c r="K65" s="518"/>
      <c r="L65" s="518"/>
      <c r="M65" s="519"/>
      <c r="N65" s="1263"/>
      <c r="O65" s="1263"/>
      <c r="P65" s="22"/>
      <c r="Q65" s="485"/>
    </row>
    <row r="66" spans="1:17" ht="29.4" thickTop="1">
      <c r="A66" s="516"/>
      <c r="B66" s="521" t="s">
        <v>2352</v>
      </c>
      <c r="C66" s="522" t="s">
        <v>2385</v>
      </c>
      <c r="D66" s="522" t="s">
        <v>2386</v>
      </c>
      <c r="E66" s="522" t="s">
        <v>2387</v>
      </c>
      <c r="F66" s="522" t="s">
        <v>2388</v>
      </c>
      <c r="G66" s="522" t="s">
        <v>2389</v>
      </c>
      <c r="H66" s="522" t="s">
        <v>2390</v>
      </c>
      <c r="I66" s="522" t="s">
        <v>2391</v>
      </c>
      <c r="J66" s="522"/>
      <c r="K66" s="523"/>
      <c r="L66" s="524"/>
      <c r="M66" s="525"/>
      <c r="N66" s="1262"/>
      <c r="O66" s="1262"/>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3"/>
      <c r="O67" s="1263"/>
      <c r="P67" s="22"/>
      <c r="Q67" s="485"/>
    </row>
    <row r="68" spans="1:17" ht="15" thickTop="1">
      <c r="A68" s="516"/>
      <c r="B68" s="529" t="s">
        <v>2353</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c r="A69" s="516"/>
      <c r="B69" s="531"/>
      <c r="C69" s="532">
        <v>0</v>
      </c>
      <c r="D69" s="532"/>
      <c r="E69" s="532"/>
      <c r="F69" s="532"/>
      <c r="G69" s="532"/>
      <c r="H69" s="532"/>
      <c r="I69" s="532"/>
      <c r="J69" s="532"/>
      <c r="K69" s="533"/>
      <c r="L69" s="534"/>
      <c r="M69" s="535"/>
      <c r="N69" s="1262"/>
      <c r="O69" s="1262"/>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4.4" thickTop="1">
      <c r="A71" s="536"/>
      <c r="B71" s="521">
        <f>B12</f>
        <v>111</v>
      </c>
      <c r="C71" s="537"/>
      <c r="D71" s="537"/>
      <c r="E71" s="537"/>
      <c r="F71" s="537"/>
      <c r="G71" s="537"/>
      <c r="H71" s="538"/>
      <c r="I71" s="538"/>
      <c r="J71" s="538"/>
      <c r="K71" s="538"/>
      <c r="L71" s="539"/>
      <c r="M71" s="540"/>
      <c r="N71" s="1264"/>
      <c r="O71" s="1264"/>
      <c r="P71" s="542"/>
      <c r="Q71" s="543"/>
    </row>
    <row r="72" spans="1:17" s="452" customFormat="1" ht="14.4" thickBot="1">
      <c r="A72" s="536"/>
      <c r="B72" s="526"/>
      <c r="C72" s="544"/>
      <c r="D72" s="518"/>
      <c r="E72" s="518"/>
      <c r="F72" s="518"/>
      <c r="G72" s="518"/>
      <c r="H72" s="518"/>
      <c r="I72" s="518"/>
      <c r="J72" s="518"/>
      <c r="K72" s="518"/>
      <c r="L72" s="518"/>
      <c r="M72" s="519"/>
      <c r="N72" s="1263"/>
      <c r="O72" s="1263"/>
      <c r="P72" s="542"/>
      <c r="Q72" s="543"/>
    </row>
    <row r="73" spans="1:17" s="452" customFormat="1" ht="14.4" thickTop="1">
      <c r="A73" s="536"/>
      <c r="B73" s="521">
        <f>B13</f>
        <v>111</v>
      </c>
      <c r="C73" s="537"/>
      <c r="D73" s="537"/>
      <c r="E73" s="537"/>
      <c r="F73" s="537"/>
      <c r="G73" s="537"/>
      <c r="H73" s="538"/>
      <c r="I73" s="538"/>
      <c r="J73" s="538"/>
      <c r="K73" s="538"/>
      <c r="L73" s="539"/>
      <c r="M73" s="540"/>
      <c r="N73" s="1264"/>
      <c r="O73" s="1264"/>
      <c r="P73" s="451"/>
      <c r="Q73" s="545"/>
    </row>
    <row r="74" spans="1:17" s="452" customFormat="1" ht="14.4" thickBot="1">
      <c r="A74" s="536"/>
      <c r="B74" s="526"/>
      <c r="C74" s="544"/>
      <c r="D74" s="544"/>
      <c r="E74" s="544"/>
      <c r="F74" s="544"/>
      <c r="G74" s="544"/>
      <c r="H74" s="546"/>
      <c r="I74" s="546"/>
      <c r="J74" s="546"/>
      <c r="K74" s="546"/>
      <c r="L74" s="546"/>
      <c r="M74" s="547"/>
      <c r="N74" s="1264"/>
      <c r="O74" s="1264"/>
      <c r="P74" s="542"/>
      <c r="Q74" s="543"/>
    </row>
    <row r="75" spans="1:17" s="452" customFormat="1" ht="14.4" thickTop="1">
      <c r="A75" s="536"/>
      <c r="B75" s="529">
        <f>B14</f>
        <v>111</v>
      </c>
      <c r="C75" s="504"/>
      <c r="D75" s="504"/>
      <c r="E75" s="504"/>
      <c r="F75" s="504"/>
      <c r="G75" s="504"/>
      <c r="H75" s="548"/>
      <c r="I75" s="548"/>
      <c r="J75" s="548"/>
      <c r="K75" s="548"/>
      <c r="L75" s="549"/>
      <c r="M75" s="550"/>
      <c r="N75" s="1264"/>
      <c r="O75" s="1264"/>
      <c r="P75" s="551"/>
      <c r="Q75" s="543"/>
    </row>
    <row r="76" spans="1:17" s="452" customFormat="1" ht="14.4" thickBot="1">
      <c r="A76" s="552"/>
      <c r="B76" s="553"/>
      <c r="C76" s="554"/>
      <c r="D76" s="554"/>
      <c r="E76" s="554"/>
      <c r="F76" s="554"/>
      <c r="G76" s="554"/>
      <c r="H76" s="555"/>
      <c r="I76" s="555"/>
      <c r="J76" s="555"/>
      <c r="K76" s="555"/>
      <c r="L76" s="555"/>
      <c r="M76" s="556"/>
      <c r="N76" s="1264"/>
      <c r="O76" s="1264"/>
      <c r="P76" s="542"/>
      <c r="Q76" s="543"/>
    </row>
    <row r="77" spans="1:17" ht="14.4">
      <c r="A77" s="508" t="s">
        <v>2354</v>
      </c>
      <c r="B77" s="509" t="s">
        <v>2480</v>
      </c>
      <c r="C77" s="557" t="s">
        <v>2393</v>
      </c>
      <c r="D77" s="557" t="s">
        <v>2394</v>
      </c>
      <c r="E77" s="557" t="s">
        <v>2395</v>
      </c>
      <c r="F77" s="557" t="s">
        <v>2396</v>
      </c>
      <c r="G77" s="557" t="s">
        <v>2397</v>
      </c>
      <c r="H77" s="510"/>
      <c r="I77" s="510"/>
      <c r="J77" s="510"/>
      <c r="K77" s="558"/>
      <c r="L77" s="559"/>
      <c r="M77" s="560"/>
      <c r="N77" s="1262"/>
      <c r="O77" s="1262"/>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 thickTop="1">
      <c r="A79" s="516"/>
      <c r="B79" s="521" t="s">
        <v>2398</v>
      </c>
      <c r="C79" s="562" t="s">
        <v>2393</v>
      </c>
      <c r="D79" s="562" t="s">
        <v>2394</v>
      </c>
      <c r="E79" s="562" t="s">
        <v>2395</v>
      </c>
      <c r="F79" s="562" t="s">
        <v>2396</v>
      </c>
      <c r="G79" s="562" t="s">
        <v>2397</v>
      </c>
      <c r="H79" s="522"/>
      <c r="I79" s="522"/>
      <c r="J79" s="522"/>
      <c r="K79" s="523"/>
      <c r="L79" s="524"/>
      <c r="M79" s="525"/>
      <c r="N79" s="1262"/>
      <c r="O79" s="1262"/>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 thickTop="1">
      <c r="A81" s="516"/>
      <c r="B81" s="521" t="s">
        <v>2399</v>
      </c>
      <c r="C81" s="562" t="s">
        <v>2393</v>
      </c>
      <c r="D81" s="562" t="s">
        <v>2394</v>
      </c>
      <c r="E81" s="562" t="s">
        <v>2395</v>
      </c>
      <c r="F81" s="562" t="s">
        <v>2396</v>
      </c>
      <c r="G81" s="562" t="s">
        <v>2397</v>
      </c>
      <c r="H81" s="522"/>
      <c r="I81" s="522"/>
      <c r="J81" s="522"/>
      <c r="K81" s="523"/>
      <c r="L81" s="524"/>
      <c r="M81" s="525"/>
      <c r="N81" s="1262"/>
      <c r="O81" s="1262"/>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 thickTop="1">
      <c r="A83" s="516"/>
      <c r="B83" s="529" t="s">
        <v>2442</v>
      </c>
      <c r="C83" s="522" t="s">
        <v>2400</v>
      </c>
      <c r="D83" s="522" t="s">
        <v>2401</v>
      </c>
      <c r="E83" s="522" t="s">
        <v>2402</v>
      </c>
      <c r="F83" s="522" t="s">
        <v>2403</v>
      </c>
      <c r="G83" s="522" t="s">
        <v>2404</v>
      </c>
      <c r="H83" s="522"/>
      <c r="I83" s="522"/>
      <c r="J83" s="522"/>
      <c r="K83" s="522"/>
      <c r="L83" s="522"/>
      <c r="M83" s="1461"/>
      <c r="N83" s="1263"/>
      <c r="O83" s="1263"/>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 thickTop="1">
      <c r="A85" s="516"/>
      <c r="B85" s="521" t="s">
        <v>2481</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9.4" thickTop="1">
      <c r="A87" s="563"/>
      <c r="B87" s="521" t="s">
        <v>2482</v>
      </c>
      <c r="C87" s="2769" t="s">
        <v>2863</v>
      </c>
      <c r="D87" s="2769" t="s">
        <v>2864</v>
      </c>
      <c r="E87" s="2769" t="s">
        <v>2865</v>
      </c>
      <c r="F87" s="2769" t="s">
        <v>2866</v>
      </c>
      <c r="G87" s="2769" t="s">
        <v>2868</v>
      </c>
      <c r="H87" s="537"/>
      <c r="I87" s="537"/>
      <c r="J87" s="537"/>
      <c r="K87" s="537"/>
      <c r="L87" s="564"/>
      <c r="M87" s="565"/>
      <c r="N87" s="1261"/>
      <c r="O87" s="1261"/>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3"/>
      <c r="O88" s="1263"/>
      <c r="P88" s="22"/>
      <c r="Q88" s="485"/>
    </row>
    <row r="89" spans="1:17" s="35" customFormat="1" ht="15" thickTop="1">
      <c r="A89" s="563"/>
      <c r="B89" s="521" t="str">
        <f>B27</f>
        <v>楼层</v>
      </c>
      <c r="C89" s="2769" t="s">
        <v>2870</v>
      </c>
      <c r="D89" s="2769" t="s">
        <v>2872</v>
      </c>
      <c r="E89" s="2769" t="s">
        <v>2874</v>
      </c>
      <c r="F89" s="2423"/>
      <c r="G89" s="537"/>
      <c r="H89" s="537"/>
      <c r="I89" s="537"/>
      <c r="J89" s="537"/>
      <c r="K89" s="537"/>
      <c r="L89" s="537"/>
      <c r="M89" s="565"/>
      <c r="N89" s="1261"/>
      <c r="O89" s="1261"/>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3"/>
      <c r="O90" s="1263"/>
      <c r="P90" s="22"/>
      <c r="Q90" s="485"/>
    </row>
    <row r="91" spans="1:17" s="452" customFormat="1" ht="14.4"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4.4" thickTop="1">
      <c r="A93" s="516"/>
      <c r="B93" s="521">
        <f>B29</f>
        <v>111</v>
      </c>
      <c r="C93" s="537"/>
      <c r="D93" s="537"/>
      <c r="E93" s="537"/>
      <c r="F93" s="537"/>
      <c r="G93" s="537"/>
      <c r="H93" s="537"/>
      <c r="I93" s="537"/>
      <c r="J93" s="537"/>
      <c r="K93" s="537"/>
      <c r="L93" s="564"/>
      <c r="M93" s="565"/>
      <c r="N93" s="1262"/>
      <c r="O93" s="1262"/>
      <c r="P93" s="22"/>
      <c r="Q93" s="485"/>
    </row>
    <row r="94" spans="1:17" ht="14.4" thickBot="1">
      <c r="A94" s="516"/>
      <c r="B94" s="526"/>
      <c r="C94" s="544"/>
      <c r="D94" s="518"/>
      <c r="E94" s="518"/>
      <c r="F94" s="518"/>
      <c r="G94" s="518"/>
      <c r="H94" s="518"/>
      <c r="I94" s="518"/>
      <c r="J94" s="518"/>
      <c r="K94" s="518"/>
      <c r="L94" s="518"/>
      <c r="M94" s="519"/>
      <c r="N94" s="1263"/>
      <c r="O94" s="1263"/>
      <c r="P94" s="22"/>
      <c r="Q94" s="485"/>
    </row>
    <row r="95" spans="1:17" ht="14.4" thickTop="1">
      <c r="A95" s="516"/>
      <c r="B95" s="521">
        <f>B30</f>
        <v>111</v>
      </c>
      <c r="C95" s="537"/>
      <c r="D95" s="537"/>
      <c r="E95" s="537"/>
      <c r="F95" s="537"/>
      <c r="G95" s="567"/>
      <c r="H95" s="567"/>
      <c r="I95" s="567"/>
      <c r="J95" s="567"/>
      <c r="K95" s="568"/>
      <c r="L95" s="569"/>
      <c r="M95" s="570"/>
      <c r="N95" s="1262"/>
      <c r="O95" s="1262"/>
      <c r="P95" s="22"/>
      <c r="Q95" s="485"/>
    </row>
    <row r="96" spans="1:17" ht="14.4" thickBot="1">
      <c r="A96" s="516"/>
      <c r="B96" s="526"/>
      <c r="C96" s="544"/>
      <c r="D96" s="544"/>
      <c r="E96" s="544"/>
      <c r="F96" s="544"/>
      <c r="G96" s="518"/>
      <c r="H96" s="518"/>
      <c r="I96" s="518"/>
      <c r="J96" s="518"/>
      <c r="K96" s="518"/>
      <c r="L96" s="518"/>
      <c r="M96" s="519"/>
      <c r="N96" s="1263"/>
      <c r="O96" s="1263"/>
      <c r="P96" s="22"/>
      <c r="Q96" s="485"/>
    </row>
    <row r="97" spans="1:17" ht="14.4" thickTop="1">
      <c r="A97" s="516"/>
      <c r="B97" s="521">
        <f>B31</f>
        <v>111</v>
      </c>
      <c r="C97" s="537"/>
      <c r="D97" s="537"/>
      <c r="E97" s="537"/>
      <c r="F97" s="537"/>
      <c r="G97" s="567"/>
      <c r="H97" s="567"/>
      <c r="I97" s="567"/>
      <c r="J97" s="567"/>
      <c r="K97" s="568"/>
      <c r="L97" s="569"/>
      <c r="M97" s="570"/>
      <c r="N97" s="1262"/>
      <c r="O97" s="1262"/>
      <c r="P97" s="22"/>
      <c r="Q97" s="485"/>
    </row>
    <row r="98" spans="1:17" ht="14.4" thickBot="1">
      <c r="A98" s="516"/>
      <c r="B98" s="526"/>
      <c r="C98" s="544"/>
      <c r="D98" s="518"/>
      <c r="E98" s="518"/>
      <c r="F98" s="518"/>
      <c r="G98" s="518"/>
      <c r="H98" s="518"/>
      <c r="I98" s="518"/>
      <c r="J98" s="518"/>
      <c r="K98" s="518"/>
      <c r="L98" s="518"/>
      <c r="M98" s="519"/>
      <c r="N98" s="1263"/>
      <c r="O98" s="1263"/>
      <c r="P98" s="22"/>
      <c r="Q98" s="485"/>
    </row>
    <row r="99" spans="1:17" ht="14.4" thickTop="1">
      <c r="A99" s="516"/>
      <c r="B99" s="529">
        <f>B32</f>
        <v>111</v>
      </c>
      <c r="C99" s="504"/>
      <c r="D99" s="504"/>
      <c r="E99" s="504"/>
      <c r="F99" s="504"/>
      <c r="G99" s="571"/>
      <c r="H99" s="571"/>
      <c r="I99" s="571"/>
      <c r="J99" s="571"/>
      <c r="K99" s="572"/>
      <c r="L99" s="573"/>
      <c r="M99" s="574"/>
      <c r="N99" s="1262"/>
      <c r="O99" s="1262"/>
      <c r="P99" s="22"/>
      <c r="Q99" s="485"/>
    </row>
    <row r="100" spans="1:17" ht="14.4" thickBot="1">
      <c r="A100" s="2424"/>
      <c r="B100" s="553"/>
      <c r="C100" s="554"/>
      <c r="D100" s="554"/>
      <c r="E100" s="554"/>
      <c r="F100" s="554"/>
      <c r="G100" s="575"/>
      <c r="H100" s="575"/>
      <c r="I100" s="575"/>
      <c r="J100" s="575"/>
      <c r="K100" s="575"/>
      <c r="L100" s="575"/>
      <c r="M100" s="576"/>
      <c r="N100" s="1263"/>
      <c r="O100" s="1263"/>
      <c r="P100" s="22"/>
      <c r="Q100" s="485"/>
    </row>
    <row r="101" spans="1:17" ht="14.4">
      <c r="A101" s="508" t="s">
        <v>2359</v>
      </c>
      <c r="B101" s="509" t="s">
        <v>2408</v>
      </c>
      <c r="C101" s="2770" t="s">
        <v>2876</v>
      </c>
      <c r="D101" s="511"/>
      <c r="E101" s="511"/>
      <c r="F101" s="511"/>
      <c r="G101" s="511"/>
      <c r="H101" s="511"/>
      <c r="I101" s="511"/>
      <c r="J101" s="511"/>
      <c r="K101" s="512"/>
      <c r="L101" s="513"/>
      <c r="M101" s="514"/>
      <c r="N101" s="1262"/>
      <c r="O101" s="1262"/>
      <c r="P101" s="22"/>
      <c r="Q101" s="485"/>
    </row>
    <row r="102" spans="1:17" ht="14.4"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3"/>
      <c r="O102" s="1263"/>
      <c r="P102" s="22"/>
      <c r="Q102" s="485"/>
    </row>
    <row r="103" spans="1:17" ht="28.2" thickTop="1">
      <c r="A103" s="516"/>
      <c r="B103" s="521" t="s">
        <v>2409</v>
      </c>
      <c r="C103" s="562" t="str">
        <f>C104&amp;"(含)"&amp;"-"&amp;D104</f>
        <v>0(含)-300</v>
      </c>
      <c r="D103" s="562" t="str">
        <f t="shared" ref="D103:L103" si="23">D104&amp;"(含)"&amp;"-"&amp;E104</f>
        <v>300(含)-500</v>
      </c>
      <c r="E103" s="562" t="str">
        <f t="shared" si="23"/>
        <v>500(含)-1000</v>
      </c>
      <c r="F103" s="562" t="str">
        <f t="shared" si="23"/>
        <v>1000(含)-2500</v>
      </c>
      <c r="G103" s="562" t="str">
        <f t="shared" si="23"/>
        <v>2500(含)-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1000</v>
      </c>
      <c r="G104" s="579">
        <v>2500</v>
      </c>
      <c r="H104" s="579"/>
      <c r="I104" s="579"/>
      <c r="J104" s="580"/>
      <c r="K104" s="580"/>
      <c r="L104" s="581"/>
      <c r="M104" s="582"/>
      <c r="N104" s="1264"/>
      <c r="O104" s="1264"/>
      <c r="P104" s="542"/>
      <c r="Q104" s="543"/>
    </row>
    <row r="105" spans="1:17" s="452" customFormat="1" ht="14.4" thickBot="1">
      <c r="A105" s="536"/>
      <c r="B105" s="526"/>
      <c r="C105" s="544">
        <v>98</v>
      </c>
      <c r="D105" s="518">
        <v>100</v>
      </c>
      <c r="E105" s="518">
        <v>98</v>
      </c>
      <c r="F105" s="518">
        <v>96</v>
      </c>
      <c r="G105" s="518"/>
      <c r="H105" s="518"/>
      <c r="I105" s="518"/>
      <c r="J105" s="518"/>
      <c r="K105" s="518"/>
      <c r="L105" s="518"/>
      <c r="M105" s="519"/>
      <c r="N105" s="1263"/>
      <c r="O105" s="1263"/>
      <c r="P105" s="542"/>
      <c r="Q105" s="543"/>
    </row>
    <row r="106" spans="1:17" ht="15" thickTop="1">
      <c r="A106" s="583"/>
      <c r="B106" s="521" t="s">
        <v>2410</v>
      </c>
      <c r="C106" s="2769" t="s">
        <v>2877</v>
      </c>
      <c r="D106" s="537"/>
      <c r="E106" s="567"/>
      <c r="F106" s="567"/>
      <c r="G106" s="567"/>
      <c r="H106" s="567"/>
      <c r="I106" s="567"/>
      <c r="J106" s="567"/>
      <c r="K106" s="568"/>
      <c r="L106" s="569"/>
      <c r="M106" s="570"/>
      <c r="N106" s="1262"/>
      <c r="O106" s="1262"/>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3"/>
      <c r="O107" s="1263"/>
      <c r="P107" s="22"/>
      <c r="Q107" s="485"/>
    </row>
    <row r="108" spans="1:17" ht="15" thickTop="1">
      <c r="A108" s="583"/>
      <c r="B108" s="521" t="s">
        <v>2412</v>
      </c>
      <c r="C108" s="2769" t="s">
        <v>2879</v>
      </c>
      <c r="D108" s="2769" t="s">
        <v>2881</v>
      </c>
      <c r="E108" s="2769" t="s">
        <v>2882</v>
      </c>
      <c r="F108" s="567"/>
      <c r="G108" s="567"/>
      <c r="H108" s="567"/>
      <c r="I108" s="567"/>
      <c r="J108" s="567"/>
      <c r="K108" s="568"/>
      <c r="L108" s="569"/>
      <c r="M108" s="570"/>
      <c r="N108" s="1262"/>
      <c r="O108" s="1262"/>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4.4"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3"/>
      <c r="O112" s="1263"/>
      <c r="P112" s="22"/>
      <c r="Q112" s="485"/>
    </row>
    <row r="113" spans="1:17" s="452" customFormat="1" ht="15" thickTop="1">
      <c r="A113" s="577"/>
      <c r="B113" s="521" t="s">
        <v>2483</v>
      </c>
      <c r="C113" s="2769" t="s">
        <v>2884</v>
      </c>
      <c r="D113" s="2769" t="s">
        <v>2885</v>
      </c>
      <c r="E113" s="2769" t="s">
        <v>2886</v>
      </c>
      <c r="F113" s="537"/>
      <c r="G113" s="537"/>
      <c r="H113" s="567"/>
      <c r="I113" s="567"/>
      <c r="J113" s="567"/>
      <c r="K113" s="568"/>
      <c r="L113" s="569"/>
      <c r="M113" s="570"/>
      <c r="N113" s="1264"/>
      <c r="O113" s="1264"/>
      <c r="P113" s="542"/>
      <c r="Q113" s="543"/>
    </row>
    <row r="114" spans="1:17" s="452" customFormat="1" ht="14.4"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4"/>
      <c r="O114" s="1264"/>
      <c r="P114" s="542"/>
      <c r="Q114" s="543"/>
    </row>
    <row r="115" spans="1:17" ht="15" thickTop="1">
      <c r="A115" s="583"/>
      <c r="B115" s="521" t="s">
        <v>2414</v>
      </c>
      <c r="C115" s="2769" t="s">
        <v>2888</v>
      </c>
      <c r="D115" s="2769" t="s">
        <v>2889</v>
      </c>
      <c r="E115" s="567"/>
      <c r="F115" s="567"/>
      <c r="G115" s="567"/>
      <c r="H115" s="567"/>
      <c r="I115" s="567"/>
      <c r="J115" s="567"/>
      <c r="K115" s="568"/>
      <c r="L115" s="569"/>
      <c r="M115" s="570"/>
      <c r="N115" s="1262"/>
      <c r="O115" s="1262"/>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2415</v>
      </c>
      <c r="C117" s="537" t="s">
        <v>2861</v>
      </c>
      <c r="D117" s="537" t="s">
        <v>2890</v>
      </c>
      <c r="E117" s="537" t="s">
        <v>2891</v>
      </c>
      <c r="F117" s="537" t="s">
        <v>2892</v>
      </c>
      <c r="G117" s="537" t="s">
        <v>2893</v>
      </c>
      <c r="H117" s="567"/>
      <c r="I117" s="567"/>
      <c r="J117" s="567"/>
      <c r="K117" s="568"/>
      <c r="L117" s="569"/>
      <c r="M117" s="570"/>
      <c r="N117" s="1262"/>
      <c r="O117" s="1262"/>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3"/>
      <c r="O118" s="1263"/>
      <c r="P118" s="22"/>
      <c r="Q118" s="485"/>
    </row>
    <row r="119" spans="1:17" ht="15" thickTop="1">
      <c r="A119" s="583"/>
      <c r="B119" s="620" t="s">
        <v>2484</v>
      </c>
      <c r="C119" s="2771" t="s">
        <v>2895</v>
      </c>
      <c r="D119" s="567"/>
      <c r="E119" s="567"/>
      <c r="F119" s="567"/>
      <c r="G119" s="567"/>
      <c r="H119" s="567"/>
      <c r="I119" s="567"/>
      <c r="J119" s="567"/>
      <c r="K119" s="567"/>
      <c r="L119" s="2466"/>
      <c r="M119" s="2467"/>
      <c r="N119" s="1263"/>
      <c r="O119" s="1263"/>
      <c r="P119" s="621"/>
      <c r="Q119" s="622"/>
    </row>
    <row r="120" spans="1:17" ht="14.4"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3"/>
      <c r="O120" s="1263"/>
      <c r="P120" s="22"/>
      <c r="Q120" s="485"/>
    </row>
    <row r="121" spans="1:17" s="452" customFormat="1" ht="15" thickTop="1">
      <c r="A121" s="577"/>
      <c r="B121" s="521" t="s">
        <v>2466</v>
      </c>
      <c r="C121" s="537"/>
      <c r="D121" s="537"/>
      <c r="E121" s="537"/>
      <c r="F121" s="567"/>
      <c r="G121" s="538"/>
      <c r="H121" s="538"/>
      <c r="I121" s="538"/>
      <c r="J121" s="538"/>
      <c r="K121" s="538"/>
      <c r="L121" s="539"/>
      <c r="M121" s="540"/>
      <c r="N121" s="1264"/>
      <c r="O121" s="1264"/>
      <c r="P121" s="542"/>
      <c r="Q121" s="543"/>
    </row>
    <row r="122" spans="1:17" s="452" customFormat="1" ht="14.4"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2417</v>
      </c>
      <c r="C123" s="2769" t="s">
        <v>2879</v>
      </c>
      <c r="D123" s="2769" t="s">
        <v>2881</v>
      </c>
      <c r="E123" s="2769" t="s">
        <v>2882</v>
      </c>
      <c r="F123" s="567"/>
      <c r="G123" s="567"/>
      <c r="H123" s="567"/>
      <c r="I123" s="567"/>
      <c r="J123" s="567"/>
      <c r="K123" s="568"/>
      <c r="L123" s="569"/>
      <c r="M123" s="570"/>
      <c r="N123" s="1262"/>
      <c r="O123" s="1262"/>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3"/>
      <c r="O124" s="1263"/>
      <c r="P124" s="22"/>
      <c r="Q124" s="485"/>
    </row>
    <row r="125" spans="1:17" ht="29.4" thickTop="1">
      <c r="A125" s="583"/>
      <c r="B125" s="521" t="s">
        <v>2418</v>
      </c>
      <c r="C125" s="562" t="s">
        <v>2393</v>
      </c>
      <c r="D125" s="562" t="s">
        <v>2394</v>
      </c>
      <c r="E125" s="562" t="s">
        <v>2395</v>
      </c>
      <c r="F125" s="562" t="s">
        <v>2396</v>
      </c>
      <c r="G125" s="562" t="s">
        <v>2397</v>
      </c>
      <c r="H125" s="522"/>
      <c r="I125" s="522"/>
      <c r="J125" s="522"/>
      <c r="K125" s="523"/>
      <c r="L125" s="524"/>
      <c r="M125" s="525"/>
      <c r="N125" s="1262"/>
      <c r="O125" s="1262"/>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4.4"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4.4" thickBot="1">
      <c r="A128" s="536"/>
      <c r="B128" s="526"/>
      <c r="C128" s="544"/>
      <c r="D128" s="518"/>
      <c r="E128" s="518"/>
      <c r="F128" s="518"/>
      <c r="G128" s="544"/>
      <c r="H128" s="546"/>
      <c r="I128" s="546"/>
      <c r="J128" s="546"/>
      <c r="K128" s="546"/>
      <c r="L128" s="546"/>
      <c r="M128" s="547"/>
      <c r="N128" s="1264"/>
      <c r="O128" s="1264"/>
      <c r="P128" s="542"/>
      <c r="Q128" s="543"/>
    </row>
    <row r="129" spans="1:17" ht="14.4" thickTop="1">
      <c r="A129" s="583"/>
      <c r="B129" s="521">
        <f>B46</f>
        <v>111</v>
      </c>
      <c r="C129" s="537"/>
      <c r="D129" s="537"/>
      <c r="E129" s="537"/>
      <c r="F129" s="537"/>
      <c r="G129" s="567"/>
      <c r="H129" s="567"/>
      <c r="I129" s="567"/>
      <c r="J129" s="567"/>
      <c r="K129" s="568"/>
      <c r="L129" s="569"/>
      <c r="M129" s="570"/>
      <c r="N129" s="1262"/>
      <c r="O129" s="1262"/>
      <c r="P129" s="22"/>
      <c r="Q129" s="485"/>
    </row>
    <row r="130" spans="1:17" ht="14.4" thickBot="1">
      <c r="A130" s="516"/>
      <c r="B130" s="526"/>
      <c r="C130" s="544"/>
      <c r="D130" s="544"/>
      <c r="E130" s="544"/>
      <c r="F130" s="544"/>
      <c r="G130" s="518"/>
      <c r="H130" s="518"/>
      <c r="I130" s="518"/>
      <c r="J130" s="518"/>
      <c r="K130" s="518"/>
      <c r="L130" s="518"/>
      <c r="M130" s="519"/>
      <c r="N130" s="1263"/>
      <c r="O130" s="1263"/>
      <c r="P130" s="22"/>
      <c r="Q130" s="485"/>
    </row>
    <row r="131" spans="1:17" ht="14.4" thickTop="1">
      <c r="A131" s="583"/>
      <c r="B131" s="529">
        <f>B47</f>
        <v>111</v>
      </c>
      <c r="C131" s="504"/>
      <c r="D131" s="504"/>
      <c r="E131" s="504"/>
      <c r="F131" s="504"/>
      <c r="G131" s="571"/>
      <c r="H131" s="571"/>
      <c r="I131" s="571"/>
      <c r="J131" s="571"/>
      <c r="K131" s="504"/>
      <c r="L131" s="505"/>
      <c r="M131" s="574"/>
      <c r="N131" s="1262"/>
      <c r="O131" s="1262"/>
      <c r="P131" s="22"/>
      <c r="Q131" s="485"/>
    </row>
    <row r="132" spans="1:17" ht="14.4"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5" customWidth="1"/>
    <col min="2" max="3" width="12.44140625" style="1905" customWidth="1"/>
    <col min="4" max="6" width="8.109375" style="1905"/>
    <col min="7" max="7" width="17.44140625" style="1905" customWidth="1"/>
    <col min="8" max="16384" width="8.109375" style="1905"/>
  </cols>
  <sheetData>
    <row r="1" spans="1:7" ht="22.8">
      <c r="A1" s="1903" t="s">
        <v>1261</v>
      </c>
      <c r="B1" s="1904"/>
      <c r="C1" s="1904"/>
      <c r="D1" s="1904"/>
      <c r="E1" s="1904"/>
      <c r="F1" s="1904"/>
      <c r="G1" s="1904"/>
    </row>
    <row r="2" spans="1:7">
      <c r="A2" s="1906"/>
    </row>
    <row r="3" spans="1:7" s="1909" customFormat="1" ht="17.399999999999999">
      <c r="A3" s="1907" t="str">
        <f>IF(ISNUMBER(FIND("公司",项目基本情况!B4)),项目基本情况!B4&amp;"：",项目基本情况!B4&amp;"  先生/女士：")</f>
        <v>北京梅网通信科技有限公司：</v>
      </c>
      <c r="B3" s="1908"/>
      <c r="C3" s="1908"/>
      <c r="D3" s="1908"/>
      <c r="E3" s="1908"/>
      <c r="F3" s="1908"/>
      <c r="G3" s="1908"/>
    </row>
    <row r="4" spans="1:7" ht="34.799999999999997">
      <c r="A4" s="1910" t="str">
        <f>IF(ISNUMBER(FIND("公司",A3)),"受贵公司委托，我公司对"&amp;项目基本情况!I1&amp;"进行了预评估。","受您的委托，我公司对"&amp;项目基本情况!I1&amp;"进行了预评估。")</f>
        <v>受贵公司委托，我公司对北京市海淀区花园东路15号9层2901至2903、2905至2907共6套办公用房房地产进行了预评估。</v>
      </c>
      <c r="B4" s="1910"/>
      <c r="C4" s="1910"/>
      <c r="D4" s="1910"/>
      <c r="E4" s="1910"/>
      <c r="F4" s="1910"/>
      <c r="G4" s="1910"/>
    </row>
    <row r="5" spans="1:7" ht="17.399999999999999">
      <c r="A5" s="1911" t="s">
        <v>1262</v>
      </c>
    </row>
    <row r="6" spans="1:7" s="1912" customFormat="1" ht="69.59999999999999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花园东路15号9层2901至2903、2905至2907共6套办公用房房地产，为北京梅网通信科技有限公司所有。根据《不动产权证书》[]，估价对象建筑面积为1134.33平方米，（分摊）出让国有建设用地使用权面积为平方米。估价对象用途为办公。</v>
      </c>
      <c r="B6" s="1910"/>
      <c r="C6" s="1910"/>
      <c r="D6" s="1910"/>
      <c r="E6" s="1910"/>
      <c r="F6" s="1910"/>
      <c r="G6" s="1910"/>
    </row>
    <row r="7" spans="1:7" ht="17.399999999999999">
      <c r="A7" s="1911" t="s">
        <v>1263</v>
      </c>
    </row>
    <row r="8" spans="1:7" ht="34.799999999999997">
      <c r="A8" s="1913" t="str">
        <f>IF(项目基本情况!D4="抵押",IF(项目基本情况!B4=项目基本情况!B5,定义!C51,定义!B51),定义!D51)</f>
        <v>为估价委托人在向富邦华一银行办理贷款手续过程中，确定房地产抵押贷款额度提供参考依据而评估房地产抵押价值。</v>
      </c>
      <c r="B8" s="1914"/>
      <c r="C8" s="1910"/>
      <c r="D8" s="1910"/>
      <c r="E8" s="1910"/>
      <c r="F8" s="1910"/>
      <c r="G8" s="1910"/>
    </row>
    <row r="9" spans="1:7" ht="17.399999999999999">
      <c r="A9" s="1908" t="s">
        <v>1264</v>
      </c>
      <c r="B9" s="1915"/>
    </row>
    <row r="10" spans="1:7" ht="17.399999999999999">
      <c r="A10" s="1916" t="str">
        <f>TEXT(项目基本情况!D2,"yyyy年m月d日;;")&amp;IF(项目基本情况!B2=项目基本情况!D2,"（评估专业人员实地查勘之日）","")</f>
        <v>2020年4月3日（评估专业人员实地查勘之日）</v>
      </c>
      <c r="B10" s="1917"/>
      <c r="C10" s="1917"/>
      <c r="D10" s="1917"/>
      <c r="E10" s="1917"/>
      <c r="F10" s="1917"/>
      <c r="G10" s="1917"/>
    </row>
    <row r="11" spans="1:7" ht="17.399999999999999">
      <c r="A11" s="1908" t="s">
        <v>1265</v>
      </c>
    </row>
    <row r="12" spans="1:7" ht="69.599999999999994">
      <c r="A12" s="1910" t="s">
        <v>1266</v>
      </c>
      <c r="B12" s="1910"/>
      <c r="C12" s="1910"/>
      <c r="D12" s="1910"/>
      <c r="E12" s="1910"/>
      <c r="F12" s="1910"/>
      <c r="G12" s="1910"/>
    </row>
    <row r="13" spans="1:7" ht="52.2">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c r="B13" s="1910"/>
      <c r="C13" s="1910"/>
      <c r="D13" s="1910"/>
      <c r="E13" s="1910"/>
      <c r="F13" s="1910"/>
      <c r="G13" s="1910"/>
    </row>
    <row r="14" spans="1:7" ht="34.799999999999997">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70.8">
      <c r="A15" s="1910" t="s">
        <v>1260</v>
      </c>
      <c r="B15" s="1910"/>
      <c r="C15" s="1910"/>
      <c r="D15" s="1910"/>
      <c r="E15" s="1910"/>
      <c r="F15" s="1910"/>
      <c r="G15" s="1910"/>
    </row>
    <row r="16" spans="1:7" ht="17.399999999999999">
      <c r="A16" s="1914" t="str">
        <f>IF(项目基本情况!D5="房地产市场价值","——",IF(项目基本情况!G5="——","",定义!C57))</f>
        <v/>
      </c>
      <c r="B16" s="1918"/>
      <c r="C16" s="1918"/>
      <c r="D16" s="1918"/>
      <c r="E16" s="1918"/>
      <c r="F16" s="1918"/>
      <c r="G16" s="1918"/>
    </row>
    <row r="17" spans="1:1" ht="17.399999999999999">
      <c r="A17" s="1908" t="s">
        <v>1259</v>
      </c>
    </row>
    <row r="18" spans="1:1" ht="17.399999999999999">
      <c r="A18" s="1919" t="str">
        <f>"本次评估采用的主估价方法为"&amp;IF('数据-取费表'!E3="否",'结果表（2901）'!K4&amp;"和"&amp;'结果表（2901）'!L4,'结果表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2485</v>
      </c>
      <c r="C1" s="1720"/>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2000</v>
      </c>
      <c r="B3" s="593" t="e">
        <f ca="1">ROUND(IF(D2="——",C43,IF(C2="万元",B2*10000/D3,B2/D3)),0)</f>
        <v>#DIV/0!</v>
      </c>
      <c r="C3" s="379" t="s">
        <v>2329</v>
      </c>
      <c r="D3" s="378">
        <f>IF(C1="仅计算典型户型",'数据-取费表'!E5,'数据-取费表'!B5)</f>
        <v>1134.33</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38" t="s">
        <v>2331</v>
      </c>
      <c r="D4" s="3039"/>
      <c r="E4" s="3040" t="s">
        <v>2332</v>
      </c>
      <c r="F4" s="3041"/>
      <c r="G4" s="3038" t="s">
        <v>2333</v>
      </c>
      <c r="H4" s="3039"/>
      <c r="I4" s="3038" t="s">
        <v>2334</v>
      </c>
      <c r="J4" s="3039"/>
      <c r="K4" s="594"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36" t="s">
        <v>2333</v>
      </c>
      <c r="AC4" s="3035" t="s">
        <v>2334</v>
      </c>
    </row>
    <row r="5" spans="1:29">
      <c r="A5" s="383"/>
      <c r="B5" s="384"/>
      <c r="C5" s="3057" t="s">
        <v>2337</v>
      </c>
      <c r="D5" s="3058"/>
      <c r="E5" s="3055" t="s">
        <v>2338</v>
      </c>
      <c r="F5" s="3056"/>
      <c r="G5" s="3057" t="s">
        <v>2339</v>
      </c>
      <c r="H5" s="3058"/>
      <c r="I5" s="3057" t="s">
        <v>2340</v>
      </c>
      <c r="J5" s="3058"/>
      <c r="K5" s="594"/>
      <c r="L5" s="1238"/>
      <c r="M5" s="1239"/>
      <c r="N5" s="1239"/>
      <c r="O5" s="1239"/>
      <c r="P5" s="304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594" t="s">
        <v>2342</v>
      </c>
      <c r="L6" s="1238"/>
      <c r="M6" s="1239"/>
      <c r="N6" s="1239"/>
      <c r="O6" s="1239"/>
      <c r="P6" s="3046"/>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70" t="s">
        <v>2344</v>
      </c>
      <c r="Q7" s="3072"/>
      <c r="R7" s="748" t="s">
        <v>25</v>
      </c>
      <c r="S7" s="749">
        <f t="shared" ref="S7:S15" si="0">F7</f>
        <v>0</v>
      </c>
      <c r="T7" s="748" t="s">
        <v>25</v>
      </c>
      <c r="U7" s="749">
        <f t="shared" ref="U7:U15" si="1">H7</f>
        <v>0</v>
      </c>
      <c r="V7" s="748" t="s">
        <v>25</v>
      </c>
      <c r="W7" s="749">
        <f t="shared" ref="W7:W15" si="2">J7</f>
        <v>0</v>
      </c>
      <c r="X7" s="750"/>
      <c r="Y7" s="3070" t="s">
        <v>2344</v>
      </c>
      <c r="Z7" s="3071"/>
      <c r="AA7" s="751" t="e">
        <f>D7/F7</f>
        <v>#DIV/0!</v>
      </c>
      <c r="AB7" s="751" t="e">
        <f>D7/H7</f>
        <v>#DIV/0!</v>
      </c>
      <c r="AC7" s="751" t="e">
        <f>D7/J7</f>
        <v>#DIV/0!</v>
      </c>
    </row>
    <row r="8" spans="1:29" s="35" customFormat="1" ht="1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70" t="s">
        <v>2347</v>
      </c>
      <c r="Q8" s="3071"/>
      <c r="R8" s="748" t="s">
        <v>25</v>
      </c>
      <c r="S8" s="749">
        <f t="shared" si="0"/>
        <v>100</v>
      </c>
      <c r="T8" s="748" t="s">
        <v>25</v>
      </c>
      <c r="U8" s="749">
        <f t="shared" si="1"/>
        <v>100</v>
      </c>
      <c r="V8" s="748" t="s">
        <v>25</v>
      </c>
      <c r="W8" s="749">
        <f t="shared" si="2"/>
        <v>100</v>
      </c>
      <c r="X8" s="750"/>
      <c r="Y8" s="3070" t="s">
        <v>2347</v>
      </c>
      <c r="Z8" s="3071"/>
      <c r="AA8" s="751">
        <f t="shared" ref="AA8:AA40" si="3">D8/F8</f>
        <v>1</v>
      </c>
      <c r="AB8" s="751">
        <f t="shared" ref="AB8:AB40" si="4">D8/H8</f>
        <v>1</v>
      </c>
      <c r="AC8" s="751">
        <f t="shared" ref="AC8:AC40" si="5">D8/J8</f>
        <v>1</v>
      </c>
    </row>
    <row r="9" spans="1:29" s="35" customFormat="1" ht="14.4">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4"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4"/>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4"/>
      <c r="Q11" s="1880"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74"/>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74"/>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6"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74"/>
      <c r="Q14" s="1880">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69">
      <c r="A15" s="419" t="s">
        <v>2354</v>
      </c>
      <c r="B15" s="26" t="s">
        <v>2486</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63" t="s">
        <v>2355</v>
      </c>
      <c r="Q15" s="1892" t="str">
        <f t="shared" si="6"/>
        <v>产业集聚程度</v>
      </c>
      <c r="R15" s="752" t="s">
        <v>25</v>
      </c>
      <c r="S15" s="753">
        <f t="shared" si="0"/>
        <v>100</v>
      </c>
      <c r="T15" s="752" t="s">
        <v>25</v>
      </c>
      <c r="U15" s="753">
        <f t="shared" si="1"/>
        <v>100</v>
      </c>
      <c r="V15" s="752" t="s">
        <v>25</v>
      </c>
      <c r="W15" s="753">
        <f t="shared" si="2"/>
        <v>100</v>
      </c>
      <c r="X15" s="1893"/>
      <c r="Y15" s="3063" t="s">
        <v>2355</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064"/>
      <c r="Q16" s="1892"/>
      <c r="R16" s="752"/>
      <c r="S16" s="753"/>
      <c r="T16" s="752"/>
      <c r="U16" s="753"/>
      <c r="V16" s="752"/>
      <c r="W16" s="753"/>
      <c r="X16" s="1893"/>
      <c r="Y16" s="3064"/>
      <c r="Z16" s="1895"/>
      <c r="AA16" s="1896">
        <v>1</v>
      </c>
      <c r="AB16" s="1896">
        <v>1</v>
      </c>
      <c r="AC16" s="1896">
        <v>1</v>
      </c>
    </row>
    <row r="17" spans="1:29" ht="96.6">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4"/>
      <c r="Q17" s="1892" t="str">
        <f>B17</f>
        <v>交通便捷度</v>
      </c>
      <c r="R17" s="752" t="s">
        <v>25</v>
      </c>
      <c r="S17" s="753">
        <f>F17</f>
        <v>100</v>
      </c>
      <c r="T17" s="752" t="s">
        <v>25</v>
      </c>
      <c r="U17" s="753">
        <f>H17</f>
        <v>100</v>
      </c>
      <c r="V17" s="752" t="s">
        <v>25</v>
      </c>
      <c r="W17" s="753">
        <f>J17</f>
        <v>100</v>
      </c>
      <c r="X17" s="1893"/>
      <c r="Y17" s="3064"/>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47"/>
      <c r="P18" s="3064"/>
      <c r="Q18" s="1892"/>
      <c r="R18" s="752"/>
      <c r="S18" s="753"/>
      <c r="T18" s="752"/>
      <c r="U18" s="753"/>
      <c r="V18" s="752"/>
      <c r="W18" s="753"/>
      <c r="X18" s="1893"/>
      <c r="Y18" s="3064"/>
      <c r="Z18" s="1895"/>
      <c r="AA18" s="1896">
        <v>1</v>
      </c>
      <c r="AB18" s="1896">
        <v>1</v>
      </c>
      <c r="AC18" s="1896">
        <v>1</v>
      </c>
    </row>
    <row r="19" spans="1:29" ht="41.4">
      <c r="A19" s="408"/>
      <c r="B19" s="615" t="s">
        <v>2470</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4"/>
      <c r="Q19" s="1892" t="str">
        <f>B19</f>
        <v>公共配套设施</v>
      </c>
      <c r="R19" s="752" t="s">
        <v>25</v>
      </c>
      <c r="S19" s="753">
        <f>F19</f>
        <v>100</v>
      </c>
      <c r="T19" s="752" t="s">
        <v>25</v>
      </c>
      <c r="U19" s="753">
        <f>H19</f>
        <v>100</v>
      </c>
      <c r="V19" s="752" t="s">
        <v>25</v>
      </c>
      <c r="W19" s="753">
        <f>J19</f>
        <v>100</v>
      </c>
      <c r="X19" s="1893"/>
      <c r="Y19" s="3064"/>
      <c r="Z19" s="1895" t="str">
        <f>Q19</f>
        <v>公共配套设施</v>
      </c>
      <c r="AA19" s="1896">
        <f t="shared" si="3"/>
        <v>1</v>
      </c>
      <c r="AB19" s="1896">
        <f t="shared" si="4"/>
        <v>1</v>
      </c>
      <c r="AC19" s="1896">
        <f t="shared" si="5"/>
        <v>1</v>
      </c>
    </row>
    <row r="20" spans="1:29" ht="15">
      <c r="A20" s="408"/>
      <c r="B20" s="616"/>
      <c r="C20" s="426"/>
      <c r="D20" s="427"/>
      <c r="E20" s="428"/>
      <c r="F20" s="429"/>
      <c r="G20" s="2396"/>
      <c r="H20" s="427"/>
      <c r="I20" s="428"/>
      <c r="J20" s="427"/>
      <c r="K20" s="599"/>
      <c r="L20" s="1248"/>
      <c r="M20" s="1239"/>
      <c r="N20" s="1239"/>
      <c r="O20" s="1247"/>
      <c r="P20" s="3064"/>
      <c r="Q20" s="1892"/>
      <c r="R20" s="752"/>
      <c r="S20" s="753"/>
      <c r="T20" s="752"/>
      <c r="U20" s="753"/>
      <c r="V20" s="752"/>
      <c r="W20" s="753"/>
      <c r="X20" s="1893"/>
      <c r="Y20" s="3064"/>
      <c r="Z20" s="1895"/>
      <c r="AA20" s="1896">
        <v>1</v>
      </c>
      <c r="AB20" s="1896">
        <v>1</v>
      </c>
      <c r="AC20" s="1896">
        <v>1</v>
      </c>
    </row>
    <row r="21" spans="1:29" ht="41.4">
      <c r="A21" s="408"/>
      <c r="B21" s="617" t="s">
        <v>2471</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4"/>
      <c r="Q21" s="1892" t="str">
        <f>B21</f>
        <v>基础设施水平</v>
      </c>
      <c r="R21" s="752" t="s">
        <v>25</v>
      </c>
      <c r="S21" s="753">
        <f>F21</f>
        <v>100</v>
      </c>
      <c r="T21" s="752" t="s">
        <v>25</v>
      </c>
      <c r="U21" s="753">
        <f>H21</f>
        <v>100</v>
      </c>
      <c r="V21" s="752" t="s">
        <v>25</v>
      </c>
      <c r="W21" s="753">
        <f>J21</f>
        <v>100</v>
      </c>
      <c r="X21" s="1893"/>
      <c r="Y21" s="3064"/>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47"/>
      <c r="P22" s="3064"/>
      <c r="Q22" s="1892"/>
      <c r="R22" s="752"/>
      <c r="S22" s="753"/>
      <c r="T22" s="752"/>
      <c r="U22" s="753"/>
      <c r="V22" s="752"/>
      <c r="W22" s="753"/>
      <c r="X22" s="1893"/>
      <c r="Y22" s="3064"/>
      <c r="Z22" s="1895"/>
      <c r="AA22" s="1896">
        <v>1</v>
      </c>
      <c r="AB22" s="1896">
        <v>1</v>
      </c>
      <c r="AC22" s="1896">
        <v>1</v>
      </c>
    </row>
    <row r="23" spans="1:29" ht="82.8">
      <c r="A23" s="408"/>
      <c r="B23" s="431" t="s">
        <v>2472</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4"/>
      <c r="Q23" s="1892" t="str">
        <f>B23</f>
        <v>环境质量</v>
      </c>
      <c r="R23" s="752" t="s">
        <v>25</v>
      </c>
      <c r="S23" s="753">
        <f>F23</f>
        <v>100</v>
      </c>
      <c r="T23" s="752" t="s">
        <v>25</v>
      </c>
      <c r="U23" s="753">
        <f>H23</f>
        <v>100</v>
      </c>
      <c r="V23" s="752" t="s">
        <v>25</v>
      </c>
      <c r="W23" s="753">
        <f>J23</f>
        <v>100</v>
      </c>
      <c r="X23" s="1893"/>
      <c r="Y23" s="3064"/>
      <c r="Z23" s="1895" t="str">
        <f>Q23</f>
        <v>环境质量</v>
      </c>
      <c r="AA23" s="1896">
        <f t="shared" si="3"/>
        <v>1</v>
      </c>
      <c r="AB23" s="1896">
        <f t="shared" si="4"/>
        <v>1</v>
      </c>
      <c r="AC23" s="1896">
        <f t="shared" si="5"/>
        <v>1</v>
      </c>
    </row>
    <row r="24" spans="1:29" ht="15">
      <c r="A24" s="408"/>
      <c r="B24" s="2400"/>
      <c r="C24" s="426"/>
      <c r="D24" s="427"/>
      <c r="E24" s="428"/>
      <c r="F24" s="429"/>
      <c r="G24" s="2396"/>
      <c r="H24" s="427"/>
      <c r="I24" s="428"/>
      <c r="J24" s="427"/>
      <c r="K24" s="599"/>
      <c r="L24" s="1248"/>
      <c r="M24" s="1239"/>
      <c r="N24" s="1239"/>
      <c r="O24" s="1247"/>
      <c r="P24" s="3064"/>
      <c r="Q24" s="1892"/>
      <c r="R24" s="752"/>
      <c r="S24" s="753"/>
      <c r="T24" s="752"/>
      <c r="U24" s="753"/>
      <c r="V24" s="752"/>
      <c r="W24" s="753"/>
      <c r="X24" s="1893"/>
      <c r="Y24" s="3064"/>
      <c r="Z24" s="1895"/>
      <c r="AA24" s="1896">
        <v>1</v>
      </c>
      <c r="AB24" s="1896">
        <v>1</v>
      </c>
      <c r="AC24" s="1896">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4"/>
      <c r="Q25" s="1892">
        <f>B25</f>
        <v>111</v>
      </c>
      <c r="R25" s="752" t="s">
        <v>25</v>
      </c>
      <c r="S25" s="753">
        <f>F25</f>
        <v>100</v>
      </c>
      <c r="T25" s="752" t="s">
        <v>25</v>
      </c>
      <c r="U25" s="753">
        <f>H25</f>
        <v>100</v>
      </c>
      <c r="V25" s="752" t="s">
        <v>25</v>
      </c>
      <c r="W25" s="753">
        <f>J25</f>
        <v>100</v>
      </c>
      <c r="X25" s="1893"/>
      <c r="Y25" s="3064"/>
      <c r="Z25" s="1895">
        <f>Q25</f>
        <v>111</v>
      </c>
      <c r="AA25" s="1896">
        <f t="shared" si="3"/>
        <v>1</v>
      </c>
      <c r="AB25" s="1896">
        <f t="shared" si="4"/>
        <v>1</v>
      </c>
      <c r="AC25" s="1896">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4"/>
      <c r="Q26" s="1892">
        <f t="shared" ref="Q26:Q40" si="11">B26</f>
        <v>111</v>
      </c>
      <c r="R26" s="752" t="s">
        <v>25</v>
      </c>
      <c r="S26" s="753">
        <f>F26</f>
        <v>100</v>
      </c>
      <c r="T26" s="752" t="s">
        <v>25</v>
      </c>
      <c r="U26" s="753">
        <f>H26</f>
        <v>100</v>
      </c>
      <c r="V26" s="752" t="s">
        <v>25</v>
      </c>
      <c r="W26" s="753">
        <f>J26</f>
        <v>100</v>
      </c>
      <c r="X26" s="1893"/>
      <c r="Y26" s="3064"/>
      <c r="Z26" s="1895">
        <f>Q26</f>
        <v>111</v>
      </c>
      <c r="AA26" s="1896">
        <f t="shared" si="3"/>
        <v>1</v>
      </c>
      <c r="AB26" s="1896">
        <f t="shared" si="4"/>
        <v>1</v>
      </c>
      <c r="AC26" s="1896">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4"/>
      <c r="Q27" s="1880">
        <f t="shared" si="11"/>
        <v>111</v>
      </c>
      <c r="R27" s="748" t="s">
        <v>25</v>
      </c>
      <c r="S27" s="749">
        <f>F27</f>
        <v>100</v>
      </c>
      <c r="T27" s="748" t="s">
        <v>25</v>
      </c>
      <c r="U27" s="749">
        <f>H27</f>
        <v>100</v>
      </c>
      <c r="V27" s="748" t="s">
        <v>25</v>
      </c>
      <c r="W27" s="749">
        <f>J27</f>
        <v>100</v>
      </c>
      <c r="X27" s="750"/>
      <c r="Y27" s="3064"/>
      <c r="Z27" s="23">
        <f>Q27</f>
        <v>111</v>
      </c>
      <c r="AA27" s="1896">
        <f>D27/F27</f>
        <v>1</v>
      </c>
      <c r="AB27" s="1896">
        <f>D27/H27</f>
        <v>1</v>
      </c>
      <c r="AC27" s="1896">
        <f>D27/J27</f>
        <v>1</v>
      </c>
    </row>
    <row r="28" spans="1:29" ht="15.6"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4"/>
      <c r="Q28" s="1892">
        <f t="shared" si="11"/>
        <v>111</v>
      </c>
      <c r="R28" s="752" t="s">
        <v>25</v>
      </c>
      <c r="S28" s="753">
        <f t="shared" ref="S28:S40" si="12">F28</f>
        <v>100</v>
      </c>
      <c r="T28" s="752" t="s">
        <v>25</v>
      </c>
      <c r="U28" s="753">
        <f t="shared" ref="U28:U40" si="13">H28</f>
        <v>100</v>
      </c>
      <c r="V28" s="752" t="s">
        <v>25</v>
      </c>
      <c r="W28" s="753">
        <f t="shared" ref="W28:W40" si="14">J28</f>
        <v>100</v>
      </c>
      <c r="X28" s="1893"/>
      <c r="Y28" s="3064"/>
      <c r="Z28" s="1895">
        <f t="shared" ref="Z28:Z40" si="15">Q28</f>
        <v>111</v>
      </c>
      <c r="AA28" s="1896">
        <f t="shared" si="3"/>
        <v>1</v>
      </c>
      <c r="AB28" s="1896">
        <f t="shared" si="4"/>
        <v>1</v>
      </c>
      <c r="AC28" s="1896">
        <f t="shared" si="5"/>
        <v>1</v>
      </c>
    </row>
    <row r="29" spans="1:29" ht="30">
      <c r="A29" s="447" t="s">
        <v>2359</v>
      </c>
      <c r="B29" s="28" t="s">
        <v>2475</v>
      </c>
      <c r="C29" s="2465" t="s">
        <v>2487</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93" t="s">
        <v>2361</v>
      </c>
      <c r="Q29" s="1892" t="str">
        <f t="shared" si="11"/>
        <v>建筑类型</v>
      </c>
      <c r="R29" s="752" t="s">
        <v>25</v>
      </c>
      <c r="S29" s="753">
        <f t="shared" si="12"/>
        <v>100</v>
      </c>
      <c r="T29" s="752" t="s">
        <v>25</v>
      </c>
      <c r="U29" s="753">
        <f t="shared" si="13"/>
        <v>100</v>
      </c>
      <c r="V29" s="752" t="s">
        <v>25</v>
      </c>
      <c r="W29" s="753">
        <f t="shared" si="14"/>
        <v>100</v>
      </c>
      <c r="X29" s="1893"/>
      <c r="Y29" s="3068" t="s">
        <v>2361</v>
      </c>
      <c r="Z29" s="1895" t="str">
        <f t="shared" si="15"/>
        <v>建筑类型</v>
      </c>
      <c r="AA29" s="1896">
        <f t="shared" si="3"/>
        <v>1</v>
      </c>
      <c r="AB29" s="1896">
        <f t="shared" si="4"/>
        <v>1</v>
      </c>
      <c r="AC29" s="1896">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8"/>
      <c r="Q30" s="754" t="str">
        <f t="shared" si="11"/>
        <v>项目建筑规模</v>
      </c>
      <c r="R30" s="755" t="s">
        <v>25</v>
      </c>
      <c r="S30" s="756" t="e">
        <f t="shared" si="12"/>
        <v>#N/A</v>
      </c>
      <c r="T30" s="755" t="s">
        <v>25</v>
      </c>
      <c r="U30" s="756" t="e">
        <f t="shared" si="13"/>
        <v>#N/A</v>
      </c>
      <c r="V30" s="755" t="s">
        <v>25</v>
      </c>
      <c r="W30" s="756" t="e">
        <f t="shared" si="14"/>
        <v>#N/A</v>
      </c>
      <c r="X30" s="757"/>
      <c r="Y30" s="3068"/>
      <c r="Z30" s="758" t="str">
        <f t="shared" si="15"/>
        <v>项目建筑规模</v>
      </c>
      <c r="AA30" s="1896" t="e">
        <f t="shared" si="3"/>
        <v>#N/A</v>
      </c>
      <c r="AB30" s="1896" t="e">
        <f t="shared" si="4"/>
        <v>#N/A</v>
      </c>
      <c r="AC30" s="1896"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8"/>
      <c r="Q31" s="1892" t="str">
        <f t="shared" si="11"/>
        <v>建筑结构</v>
      </c>
      <c r="R31" s="752" t="s">
        <v>25</v>
      </c>
      <c r="S31" s="753">
        <f t="shared" si="12"/>
        <v>100</v>
      </c>
      <c r="T31" s="752" t="s">
        <v>25</v>
      </c>
      <c r="U31" s="753">
        <f t="shared" si="13"/>
        <v>100</v>
      </c>
      <c r="V31" s="752" t="s">
        <v>25</v>
      </c>
      <c r="W31" s="753">
        <f t="shared" si="14"/>
        <v>100</v>
      </c>
      <c r="X31" s="1893"/>
      <c r="Y31" s="3068"/>
      <c r="Z31" s="1895" t="str">
        <f t="shared" si="15"/>
        <v>建筑结构</v>
      </c>
      <c r="AA31" s="1896">
        <f t="shared" si="3"/>
        <v>1</v>
      </c>
      <c r="AB31" s="1896">
        <f t="shared" si="4"/>
        <v>1</v>
      </c>
      <c r="AC31" s="1896">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8"/>
      <c r="Q32" s="1892" t="str">
        <f t="shared" si="11"/>
        <v>公共部分装修</v>
      </c>
      <c r="R32" s="752" t="s">
        <v>25</v>
      </c>
      <c r="S32" s="753">
        <f t="shared" si="12"/>
        <v>100</v>
      </c>
      <c r="T32" s="752" t="s">
        <v>25</v>
      </c>
      <c r="U32" s="753">
        <f t="shared" si="13"/>
        <v>100</v>
      </c>
      <c r="V32" s="752" t="s">
        <v>25</v>
      </c>
      <c r="W32" s="753">
        <f t="shared" si="14"/>
        <v>100</v>
      </c>
      <c r="X32" s="1893"/>
      <c r="Y32" s="3068"/>
      <c r="Z32" s="1895" t="str">
        <f t="shared" si="15"/>
        <v>公共部分装修</v>
      </c>
      <c r="AA32" s="1896">
        <f t="shared" si="3"/>
        <v>1</v>
      </c>
      <c r="AB32" s="1896">
        <f t="shared" si="4"/>
        <v>1</v>
      </c>
      <c r="AC32" s="1896">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8"/>
      <c r="Q33" s="1892" t="str">
        <f t="shared" si="11"/>
        <v>成新度</v>
      </c>
      <c r="R33" s="752" t="s">
        <v>25</v>
      </c>
      <c r="S33" s="753" t="e">
        <f t="shared" si="12"/>
        <v>#N/A</v>
      </c>
      <c r="T33" s="752" t="s">
        <v>25</v>
      </c>
      <c r="U33" s="753" t="e">
        <f t="shared" si="13"/>
        <v>#N/A</v>
      </c>
      <c r="V33" s="752" t="s">
        <v>25</v>
      </c>
      <c r="W33" s="753" t="e">
        <f t="shared" si="14"/>
        <v>#N/A</v>
      </c>
      <c r="X33" s="1893"/>
      <c r="Y33" s="3068"/>
      <c r="Z33" s="1895" t="str">
        <f t="shared" si="15"/>
        <v>成新度</v>
      </c>
      <c r="AA33" s="1896" t="e">
        <f t="shared" si="3"/>
        <v>#N/A</v>
      </c>
      <c r="AB33" s="1896" t="e">
        <f t="shared" si="4"/>
        <v>#N/A</v>
      </c>
      <c r="AC33" s="1896"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8"/>
      <c r="Q34" s="1880" t="str">
        <f t="shared" si="11"/>
        <v>物业管理</v>
      </c>
      <c r="R34" s="748" t="s">
        <v>25</v>
      </c>
      <c r="S34" s="749">
        <f t="shared" si="12"/>
        <v>100</v>
      </c>
      <c r="T34" s="748" t="s">
        <v>25</v>
      </c>
      <c r="U34" s="749">
        <f t="shared" si="13"/>
        <v>100</v>
      </c>
      <c r="V34" s="748" t="s">
        <v>25</v>
      </c>
      <c r="W34" s="749">
        <f t="shared" si="14"/>
        <v>100</v>
      </c>
      <c r="X34" s="750"/>
      <c r="Y34" s="3068"/>
      <c r="Z34" s="23" t="str">
        <f t="shared" si="15"/>
        <v>物业管理</v>
      </c>
      <c r="AA34" s="751">
        <f t="shared" si="3"/>
        <v>1</v>
      </c>
      <c r="AB34" s="751">
        <f t="shared" si="4"/>
        <v>1</v>
      </c>
      <c r="AC34" s="751">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8" t="s">
        <v>2361</v>
      </c>
      <c r="Q35" s="1892" t="str">
        <f t="shared" si="11"/>
        <v>市政基础设施</v>
      </c>
      <c r="R35" s="752" t="s">
        <v>25</v>
      </c>
      <c r="S35" s="753">
        <f t="shared" si="12"/>
        <v>100</v>
      </c>
      <c r="T35" s="752" t="s">
        <v>25</v>
      </c>
      <c r="U35" s="753">
        <f t="shared" si="13"/>
        <v>100</v>
      </c>
      <c r="V35" s="752" t="s">
        <v>25</v>
      </c>
      <c r="W35" s="753">
        <f t="shared" si="14"/>
        <v>100</v>
      </c>
      <c r="X35" s="1893"/>
      <c r="Y35" s="3068" t="s">
        <v>2361</v>
      </c>
      <c r="Z35" s="1895" t="str">
        <f t="shared" si="15"/>
        <v>市政基础设施</v>
      </c>
      <c r="AA35" s="1896">
        <f t="shared" si="3"/>
        <v>1</v>
      </c>
      <c r="AB35" s="1896">
        <f t="shared" si="4"/>
        <v>1</v>
      </c>
      <c r="AC35" s="1896">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8"/>
      <c r="Q36" s="1892" t="str">
        <f t="shared" si="11"/>
        <v>内部装修</v>
      </c>
      <c r="R36" s="752" t="s">
        <v>25</v>
      </c>
      <c r="S36" s="753">
        <f t="shared" si="12"/>
        <v>100</v>
      </c>
      <c r="T36" s="752" t="s">
        <v>25</v>
      </c>
      <c r="U36" s="753">
        <f t="shared" si="13"/>
        <v>100</v>
      </c>
      <c r="V36" s="752" t="s">
        <v>25</v>
      </c>
      <c r="W36" s="753">
        <f t="shared" si="14"/>
        <v>100</v>
      </c>
      <c r="X36" s="1893"/>
      <c r="Y36" s="3068"/>
      <c r="Z36" s="1895" t="str">
        <f t="shared" si="15"/>
        <v>内部装修</v>
      </c>
      <c r="AA36" s="1896">
        <f t="shared" si="3"/>
        <v>1</v>
      </c>
      <c r="AB36" s="1896">
        <f t="shared" si="4"/>
        <v>1</v>
      </c>
      <c r="AC36" s="1896">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8"/>
      <c r="Q37" s="1892" t="str">
        <f t="shared" si="11"/>
        <v>内部装修状况</v>
      </c>
      <c r="R37" s="752" t="s">
        <v>25</v>
      </c>
      <c r="S37" s="753">
        <f t="shared" si="12"/>
        <v>0</v>
      </c>
      <c r="T37" s="752" t="s">
        <v>25</v>
      </c>
      <c r="U37" s="753">
        <f t="shared" si="13"/>
        <v>0</v>
      </c>
      <c r="V37" s="752" t="s">
        <v>25</v>
      </c>
      <c r="W37" s="753">
        <f t="shared" si="14"/>
        <v>0</v>
      </c>
      <c r="X37" s="1893"/>
      <c r="Y37" s="3068"/>
      <c r="Z37" s="1895" t="str">
        <f t="shared" si="15"/>
        <v>内部装修状况</v>
      </c>
      <c r="AA37" s="1896" t="e">
        <f t="shared" si="3"/>
        <v>#DIV/0!</v>
      </c>
      <c r="AB37" s="1896" t="e">
        <f t="shared" si="4"/>
        <v>#DIV/0!</v>
      </c>
      <c r="AC37" s="1896"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8"/>
      <c r="Q38" s="754">
        <f t="shared" si="11"/>
        <v>111</v>
      </c>
      <c r="R38" s="755" t="s">
        <v>25</v>
      </c>
      <c r="S38" s="756">
        <f t="shared" si="12"/>
        <v>100</v>
      </c>
      <c r="T38" s="755" t="s">
        <v>25</v>
      </c>
      <c r="U38" s="756">
        <f t="shared" si="13"/>
        <v>100</v>
      </c>
      <c r="V38" s="755" t="s">
        <v>25</v>
      </c>
      <c r="W38" s="756">
        <f t="shared" si="14"/>
        <v>100</v>
      </c>
      <c r="X38" s="757"/>
      <c r="Y38" s="3068"/>
      <c r="Z38" s="758">
        <f t="shared" si="15"/>
        <v>111</v>
      </c>
      <c r="AA38" s="1896">
        <f t="shared" si="3"/>
        <v>1</v>
      </c>
      <c r="AB38" s="1896">
        <f t="shared" si="4"/>
        <v>1</v>
      </c>
      <c r="AC38" s="1896">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8"/>
      <c r="Q39" s="1892">
        <f t="shared" si="11"/>
        <v>111</v>
      </c>
      <c r="R39" s="752" t="s">
        <v>25</v>
      </c>
      <c r="S39" s="753">
        <f t="shared" si="12"/>
        <v>100</v>
      </c>
      <c r="T39" s="752" t="s">
        <v>25</v>
      </c>
      <c r="U39" s="753">
        <f t="shared" si="13"/>
        <v>100</v>
      </c>
      <c r="V39" s="752" t="s">
        <v>25</v>
      </c>
      <c r="W39" s="753">
        <f t="shared" si="14"/>
        <v>100</v>
      </c>
      <c r="X39" s="1893"/>
      <c r="Y39" s="3068"/>
      <c r="Z39" s="1895">
        <f t="shared" si="15"/>
        <v>111</v>
      </c>
      <c r="AA39" s="1896">
        <f t="shared" si="3"/>
        <v>1</v>
      </c>
      <c r="AB39" s="1896">
        <f t="shared" si="4"/>
        <v>1</v>
      </c>
      <c r="AC39" s="1896">
        <f t="shared" si="5"/>
        <v>1</v>
      </c>
    </row>
    <row r="40" spans="1:29" ht="15.6"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9"/>
      <c r="Q40" s="1892">
        <f t="shared" si="11"/>
        <v>111</v>
      </c>
      <c r="R40" s="752" t="s">
        <v>25</v>
      </c>
      <c r="S40" s="753">
        <f t="shared" si="12"/>
        <v>100</v>
      </c>
      <c r="T40" s="752" t="s">
        <v>25</v>
      </c>
      <c r="U40" s="753">
        <f t="shared" si="13"/>
        <v>100</v>
      </c>
      <c r="V40" s="752" t="s">
        <v>25</v>
      </c>
      <c r="W40" s="753">
        <f t="shared" si="14"/>
        <v>100</v>
      </c>
      <c r="X40" s="1893"/>
      <c r="Y40" s="3069"/>
      <c r="Z40" s="1895">
        <f t="shared" si="15"/>
        <v>111</v>
      </c>
      <c r="AA40" s="1896">
        <f t="shared" si="3"/>
        <v>1</v>
      </c>
      <c r="AB40" s="1896">
        <f t="shared" si="4"/>
        <v>1</v>
      </c>
      <c r="AC40" s="1896">
        <f t="shared" si="5"/>
        <v>1</v>
      </c>
    </row>
    <row r="41" spans="1:29" ht="14.4">
      <c r="A41" s="460" t="s">
        <v>2373</v>
      </c>
      <c r="B41" s="461"/>
      <c r="C41" s="1496" t="s">
        <v>1</v>
      </c>
      <c r="D41" s="1497"/>
      <c r="E41" s="1498"/>
      <c r="F41" s="1499"/>
      <c r="G41" s="1500"/>
      <c r="H41" s="1501"/>
      <c r="I41" s="1498"/>
      <c r="J41" s="1501"/>
      <c r="K41" s="761"/>
      <c r="L41" s="1251"/>
      <c r="M41" s="1252"/>
      <c r="N41" s="1239"/>
      <c r="O41" s="1252"/>
      <c r="P41" s="3074" t="str">
        <f>A41</f>
        <v>成交单价（元/平方米）</v>
      </c>
      <c r="Q41" s="3074"/>
      <c r="R41" s="3075">
        <f>E41</f>
        <v>0</v>
      </c>
      <c r="S41" s="3075"/>
      <c r="T41" s="3075">
        <f>G41</f>
        <v>0</v>
      </c>
      <c r="U41" s="3075"/>
      <c r="V41" s="3075">
        <f>I41</f>
        <v>0</v>
      </c>
      <c r="W41" s="3075"/>
      <c r="X41" s="737"/>
      <c r="Y41" s="759"/>
      <c r="Z41" s="737"/>
      <c r="AA41" s="737"/>
      <c r="AB41" s="737"/>
      <c r="AC41" s="737"/>
    </row>
    <row r="42" spans="1:29" ht="15" thickBot="1">
      <c r="A42" s="467" t="s">
        <v>2456</v>
      </c>
      <c r="B42" s="468"/>
      <c r="C42" s="1502" t="e">
        <f>R43</f>
        <v>#DIV/0!</v>
      </c>
      <c r="D42" s="1503"/>
      <c r="E42" s="1504" t="e">
        <f>R42</f>
        <v>#DIV/0!</v>
      </c>
      <c r="F42" s="1504"/>
      <c r="G42" s="1502" t="e">
        <f>T42</f>
        <v>#DIV/0!</v>
      </c>
      <c r="H42" s="1503"/>
      <c r="I42" s="1504" t="e">
        <f>V42</f>
        <v>#DIV/0!</v>
      </c>
      <c r="J42" s="1503"/>
      <c r="K42" s="762"/>
      <c r="L42" s="1251"/>
      <c r="M42" s="1252"/>
      <c r="N42" s="1239"/>
      <c r="O42" s="1252"/>
      <c r="P42" s="3074" t="str">
        <f>A42</f>
        <v>比较价值（元/平方米）</v>
      </c>
      <c r="Q42" s="3074"/>
      <c r="R42" s="3075" t="e">
        <f>IF(E1="售价",ROUND(PRODUCT(R41,AA7:AA40),0),ROUND(PRODUCT(R41,AA7:AA40),1))</f>
        <v>#DIV/0!</v>
      </c>
      <c r="S42" s="3075"/>
      <c r="T42" s="3075" t="e">
        <f>IF(E1="售价",ROUND(PRODUCT(T41,AB7:AB40),0),ROUND(PRODUCT(T41,AB7:AB40),1))</f>
        <v>#DIV/0!</v>
      </c>
      <c r="U42" s="3075"/>
      <c r="V42" s="3075" t="e">
        <f>IF(E1="售价",ROUND(PRODUCT(V41,AC7:AC40),0),ROUND(PRODUCT(V41,AC7:AC40),1))</f>
        <v>#DIV/0!</v>
      </c>
      <c r="W42" s="3075"/>
      <c r="X42" s="737"/>
      <c r="Y42" s="737"/>
      <c r="Z42" s="737"/>
      <c r="AA42" s="737"/>
      <c r="AB42" s="737"/>
      <c r="AC42" s="737"/>
    </row>
    <row r="43" spans="1:29" ht="15" thickBot="1">
      <c r="A43" s="473" t="s">
        <v>2479</v>
      </c>
      <c r="B43" s="474"/>
      <c r="C43" s="1506" t="e">
        <f>R43</f>
        <v>#DIV/0!</v>
      </c>
      <c r="D43" s="1506"/>
      <c r="E43" s="1506"/>
      <c r="F43" s="1506"/>
      <c r="G43" s="1506"/>
      <c r="H43" s="1506"/>
      <c r="I43" s="1506"/>
      <c r="J43" s="1506"/>
      <c r="K43" s="763"/>
      <c r="L43" s="1251"/>
      <c r="M43" s="1252"/>
      <c r="N43" s="1252"/>
      <c r="O43" s="1252"/>
      <c r="P43" s="3080" t="str">
        <f>A43</f>
        <v>估价对象XX用房的比较价值（楼面单价，元/平方米）</v>
      </c>
      <c r="Q43" s="3081"/>
      <c r="R43" s="3082" t="e">
        <f>IF(E1="售价",ROUND(AVERAGE(R42:V42),0),ROUND(AVERAGE(R42:V42),1))</f>
        <v>#DIV/0!</v>
      </c>
      <c r="S43" s="3082"/>
      <c r="T43" s="3082"/>
      <c r="U43" s="3082"/>
      <c r="V43" s="3082"/>
      <c r="W43" s="3082"/>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2461</v>
      </c>
      <c r="B51" s="737"/>
      <c r="C51" s="742"/>
      <c r="D51" s="742"/>
      <c r="E51" s="742"/>
      <c r="F51" s="743"/>
      <c r="G51" s="743"/>
      <c r="H51" s="742"/>
      <c r="I51" s="742"/>
      <c r="J51" s="742"/>
      <c r="K51" s="744"/>
      <c r="L51" s="745"/>
      <c r="M51" s="742"/>
      <c r="N51" s="742"/>
      <c r="O51" s="742"/>
      <c r="P51" s="484"/>
      <c r="Q51" s="485"/>
    </row>
    <row r="52" spans="1:17" s="489" customFormat="1" ht="14.4">
      <c r="A52" s="486" t="s">
        <v>2343</v>
      </c>
      <c r="B52" s="487"/>
      <c r="C52" s="1672" t="str">
        <f>YEAR(C7)&amp;"-"&amp;MONTH(C7)</f>
        <v>2020-4</v>
      </c>
      <c r="D52" s="1673">
        <f>EDATE(C52,-1)</f>
        <v>43891</v>
      </c>
      <c r="E52" s="1674">
        <f t="shared" ref="E52:O52" si="16">EDATE(D52,-1)</f>
        <v>43862</v>
      </c>
      <c r="F52" s="1674">
        <f t="shared" si="16"/>
        <v>43831</v>
      </c>
      <c r="G52" s="1674">
        <f t="shared" si="16"/>
        <v>43800</v>
      </c>
      <c r="H52" s="1674">
        <f t="shared" si="16"/>
        <v>43770</v>
      </c>
      <c r="I52" s="1674">
        <f t="shared" si="16"/>
        <v>43739</v>
      </c>
      <c r="J52" s="1674">
        <f t="shared" si="16"/>
        <v>43709</v>
      </c>
      <c r="K52" s="1674">
        <f t="shared" si="16"/>
        <v>43678</v>
      </c>
      <c r="L52" s="1674">
        <f t="shared" si="16"/>
        <v>43647</v>
      </c>
      <c r="M52" s="1674">
        <f t="shared" si="16"/>
        <v>43617</v>
      </c>
      <c r="N52" s="1674">
        <f t="shared" si="16"/>
        <v>43586</v>
      </c>
      <c r="O52" s="1674">
        <f t="shared" si="16"/>
        <v>43556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2381</v>
      </c>
      <c r="B54" s="497"/>
      <c r="C54" s="498"/>
      <c r="D54" s="499"/>
      <c r="E54" s="499"/>
      <c r="F54" s="499"/>
      <c r="G54" s="499"/>
      <c r="H54" s="499"/>
      <c r="I54" s="499"/>
      <c r="J54" s="499"/>
      <c r="K54" s="499"/>
      <c r="L54" s="499"/>
      <c r="M54" s="500"/>
      <c r="N54" s="499"/>
      <c r="O54" s="501"/>
      <c r="P54" s="485"/>
      <c r="Q54" s="485"/>
    </row>
    <row r="55" spans="1:17" s="35" customFormat="1" ht="14.4">
      <c r="A55" s="502" t="s">
        <v>2345</v>
      </c>
      <c r="B55" s="491"/>
      <c r="C55" s="503" t="s">
        <v>2346</v>
      </c>
      <c r="D55" s="504"/>
      <c r="E55" s="504"/>
      <c r="F55" s="504"/>
      <c r="G55" s="504"/>
      <c r="H55" s="504"/>
      <c r="I55" s="504"/>
      <c r="J55" s="504"/>
      <c r="K55" s="504"/>
      <c r="L55" s="505"/>
      <c r="M55" s="506"/>
      <c r="N55" s="1261"/>
      <c r="O55" s="1261"/>
      <c r="P55" s="507"/>
      <c r="Q55" s="485"/>
    </row>
    <row r="56" spans="1:17" s="35" customFormat="1" ht="14.4" thickBot="1">
      <c r="A56" s="502"/>
      <c r="B56" s="491"/>
      <c r="C56" s="623">
        <v>100</v>
      </c>
      <c r="D56" s="493"/>
      <c r="E56" s="493"/>
      <c r="F56" s="493"/>
      <c r="G56" s="493"/>
      <c r="H56" s="493"/>
      <c r="I56" s="493"/>
      <c r="J56" s="493"/>
      <c r="K56" s="493"/>
      <c r="L56" s="493"/>
      <c r="M56" s="495"/>
      <c r="N56" s="1261"/>
      <c r="O56" s="1261"/>
      <c r="P56" s="485"/>
      <c r="Q56" s="485"/>
    </row>
    <row r="57" spans="1:17" ht="14.4">
      <c r="A57" s="508" t="s">
        <v>2384</v>
      </c>
      <c r="B57" s="509" t="s">
        <v>2349</v>
      </c>
      <c r="C57" s="510">
        <f>C9</f>
        <v>0</v>
      </c>
      <c r="D57" s="511"/>
      <c r="E57" s="511"/>
      <c r="F57" s="511"/>
      <c r="G57" s="511"/>
      <c r="H57" s="511"/>
      <c r="I57" s="511"/>
      <c r="J57" s="511"/>
      <c r="K57" s="512"/>
      <c r="L57" s="513"/>
      <c r="M57" s="514"/>
      <c r="N57" s="1262"/>
      <c r="O57" s="1262"/>
      <c r="P57" s="22"/>
      <c r="Q57" s="485"/>
    </row>
    <row r="58" spans="1:17" ht="14.4" thickBot="1">
      <c r="A58" s="516"/>
      <c r="B58" s="517"/>
      <c r="C58" s="518">
        <v>100</v>
      </c>
      <c r="D58" s="518"/>
      <c r="E58" s="518"/>
      <c r="F58" s="518"/>
      <c r="G58" s="518"/>
      <c r="H58" s="518"/>
      <c r="I58" s="518"/>
      <c r="J58" s="518"/>
      <c r="K58" s="518"/>
      <c r="L58" s="518"/>
      <c r="M58" s="519"/>
      <c r="N58" s="1263"/>
      <c r="O58" s="1263"/>
      <c r="P58" s="22"/>
      <c r="Q58" s="485"/>
    </row>
    <row r="59" spans="1:17" ht="29.4" thickTop="1">
      <c r="A59" s="516"/>
      <c r="B59" s="521" t="s">
        <v>2352</v>
      </c>
      <c r="C59" s="522" t="s">
        <v>2385</v>
      </c>
      <c r="D59" s="522" t="s">
        <v>2386</v>
      </c>
      <c r="E59" s="522" t="s">
        <v>2387</v>
      </c>
      <c r="F59" s="522" t="s">
        <v>2388</v>
      </c>
      <c r="G59" s="522" t="s">
        <v>2389</v>
      </c>
      <c r="H59" s="522" t="s">
        <v>2390</v>
      </c>
      <c r="I59" s="522" t="s">
        <v>2391</v>
      </c>
      <c r="J59" s="522"/>
      <c r="K59" s="523"/>
      <c r="L59" s="524"/>
      <c r="M59" s="525"/>
      <c r="N59" s="1262"/>
      <c r="O59" s="1262"/>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c r="A62" s="516"/>
      <c r="B62" s="531"/>
      <c r="C62" s="532"/>
      <c r="D62" s="532"/>
      <c r="E62" s="532"/>
      <c r="F62" s="532"/>
      <c r="G62" s="532"/>
      <c r="H62" s="532"/>
      <c r="I62" s="532"/>
      <c r="J62" s="532"/>
      <c r="K62" s="533"/>
      <c r="L62" s="534"/>
      <c r="M62" s="535"/>
      <c r="N62" s="1262"/>
      <c r="O62" s="1262"/>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4.4" thickTop="1">
      <c r="A64" s="536"/>
      <c r="B64" s="521">
        <f>B12</f>
        <v>111</v>
      </c>
      <c r="C64" s="537"/>
      <c r="D64" s="537"/>
      <c r="E64" s="537"/>
      <c r="F64" s="537"/>
      <c r="G64" s="537"/>
      <c r="H64" s="538"/>
      <c r="I64" s="538"/>
      <c r="J64" s="538"/>
      <c r="K64" s="538"/>
      <c r="L64" s="539"/>
      <c r="M64" s="540"/>
      <c r="N64" s="1264"/>
      <c r="O64" s="1264"/>
      <c r="P64" s="542"/>
      <c r="Q64" s="543"/>
    </row>
    <row r="65" spans="1:17" s="452" customFormat="1" ht="14.4" thickBot="1">
      <c r="A65" s="536"/>
      <c r="B65" s="526"/>
      <c r="C65" s="544"/>
      <c r="D65" s="518"/>
      <c r="E65" s="518"/>
      <c r="F65" s="518"/>
      <c r="G65" s="518"/>
      <c r="H65" s="518"/>
      <c r="I65" s="518"/>
      <c r="J65" s="518"/>
      <c r="K65" s="518"/>
      <c r="L65" s="518"/>
      <c r="M65" s="519"/>
      <c r="N65" s="1263"/>
      <c r="O65" s="1263"/>
      <c r="P65" s="542"/>
      <c r="Q65" s="543"/>
    </row>
    <row r="66" spans="1:17" s="452" customFormat="1" ht="14.4" thickTop="1">
      <c r="A66" s="536"/>
      <c r="B66" s="521">
        <f>B13</f>
        <v>111</v>
      </c>
      <c r="C66" s="537"/>
      <c r="D66" s="537"/>
      <c r="E66" s="537"/>
      <c r="F66" s="537"/>
      <c r="G66" s="537"/>
      <c r="H66" s="538"/>
      <c r="I66" s="538"/>
      <c r="J66" s="538"/>
      <c r="K66" s="538"/>
      <c r="L66" s="539"/>
      <c r="M66" s="540"/>
      <c r="N66" s="1264"/>
      <c r="O66" s="1264"/>
      <c r="P66" s="451"/>
      <c r="Q66" s="545"/>
    </row>
    <row r="67" spans="1:17" s="452" customFormat="1" ht="14.4" thickBot="1">
      <c r="A67" s="536"/>
      <c r="B67" s="526"/>
      <c r="C67" s="544"/>
      <c r="D67" s="518"/>
      <c r="E67" s="518"/>
      <c r="F67" s="518"/>
      <c r="G67" s="544"/>
      <c r="H67" s="546"/>
      <c r="I67" s="546"/>
      <c r="J67" s="546"/>
      <c r="K67" s="546"/>
      <c r="L67" s="546"/>
      <c r="M67" s="547"/>
      <c r="N67" s="1264"/>
      <c r="O67" s="1264"/>
      <c r="P67" s="542"/>
      <c r="Q67" s="543"/>
    </row>
    <row r="68" spans="1:17" s="452" customFormat="1" ht="14.4" thickTop="1">
      <c r="A68" s="536"/>
      <c r="B68" s="529">
        <f>B14</f>
        <v>111</v>
      </c>
      <c r="C68" s="504"/>
      <c r="D68" s="504"/>
      <c r="E68" s="504"/>
      <c r="F68" s="504"/>
      <c r="G68" s="504"/>
      <c r="H68" s="548"/>
      <c r="I68" s="548"/>
      <c r="J68" s="548"/>
      <c r="K68" s="548"/>
      <c r="L68" s="549"/>
      <c r="M68" s="550"/>
      <c r="N68" s="1264"/>
      <c r="O68" s="1264"/>
      <c r="P68" s="551"/>
      <c r="Q68" s="543"/>
    </row>
    <row r="69" spans="1:17" s="452" customFormat="1" ht="14.4" thickBot="1">
      <c r="A69" s="552"/>
      <c r="B69" s="553"/>
      <c r="C69" s="554"/>
      <c r="D69" s="554"/>
      <c r="E69" s="554"/>
      <c r="F69" s="554"/>
      <c r="G69" s="554"/>
      <c r="H69" s="555"/>
      <c r="I69" s="555"/>
      <c r="J69" s="555"/>
      <c r="K69" s="555"/>
      <c r="L69" s="555"/>
      <c r="M69" s="556"/>
      <c r="N69" s="1264"/>
      <c r="O69" s="1264"/>
      <c r="P69" s="542"/>
      <c r="Q69" s="543"/>
    </row>
    <row r="70" spans="1:17" ht="14.4">
      <c r="A70" s="508" t="s">
        <v>2354</v>
      </c>
      <c r="B70" s="509" t="s">
        <v>2494</v>
      </c>
      <c r="C70" s="557" t="s">
        <v>2393</v>
      </c>
      <c r="D70" s="557" t="s">
        <v>2394</v>
      </c>
      <c r="E70" s="557" t="s">
        <v>2395</v>
      </c>
      <c r="F70" s="557" t="s">
        <v>2396</v>
      </c>
      <c r="G70" s="557" t="s">
        <v>2397</v>
      </c>
      <c r="H70" s="510"/>
      <c r="I70" s="510"/>
      <c r="J70" s="510"/>
      <c r="K70" s="558"/>
      <c r="L70" s="559"/>
      <c r="M70" s="560"/>
      <c r="N70" s="1262"/>
      <c r="O70" s="1262"/>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 thickTop="1">
      <c r="A72" s="516"/>
      <c r="B72" s="521" t="s">
        <v>2398</v>
      </c>
      <c r="C72" s="562" t="s">
        <v>2393</v>
      </c>
      <c r="D72" s="562" t="s">
        <v>2394</v>
      </c>
      <c r="E72" s="562" t="s">
        <v>2395</v>
      </c>
      <c r="F72" s="562" t="s">
        <v>2396</v>
      </c>
      <c r="G72" s="562" t="s">
        <v>2397</v>
      </c>
      <c r="H72" s="522"/>
      <c r="I72" s="522"/>
      <c r="J72" s="522"/>
      <c r="K72" s="523"/>
      <c r="L72" s="524"/>
      <c r="M72" s="525"/>
      <c r="N72" s="1262"/>
      <c r="O72" s="1262"/>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 thickTop="1">
      <c r="A74" s="516"/>
      <c r="B74" s="521" t="s">
        <v>2399</v>
      </c>
      <c r="C74" s="562" t="s">
        <v>2393</v>
      </c>
      <c r="D74" s="562" t="s">
        <v>2394</v>
      </c>
      <c r="E74" s="562" t="s">
        <v>2395</v>
      </c>
      <c r="F74" s="562" t="s">
        <v>2396</v>
      </c>
      <c r="G74" s="562" t="s">
        <v>2397</v>
      </c>
      <c r="H74" s="522"/>
      <c r="I74" s="522"/>
      <c r="J74" s="522"/>
      <c r="K74" s="523"/>
      <c r="L74" s="524"/>
      <c r="M74" s="525"/>
      <c r="N74" s="1262"/>
      <c r="O74" s="1262"/>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 thickTop="1">
      <c r="A76" s="516"/>
      <c r="B76" s="529" t="s">
        <v>2471</v>
      </c>
      <c r="C76" s="522" t="s">
        <v>2400</v>
      </c>
      <c r="D76" s="522" t="s">
        <v>2401</v>
      </c>
      <c r="E76" s="522" t="s">
        <v>2402</v>
      </c>
      <c r="F76" s="522" t="s">
        <v>2403</v>
      </c>
      <c r="G76" s="522" t="s">
        <v>2404</v>
      </c>
      <c r="H76" s="522"/>
      <c r="I76" s="522"/>
      <c r="J76" s="522"/>
      <c r="K76" s="522"/>
      <c r="L76" s="522"/>
      <c r="M76" s="1461"/>
      <c r="N76" s="1263"/>
      <c r="O76" s="1263"/>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 thickTop="1">
      <c r="A78" s="516"/>
      <c r="B78" s="521" t="s">
        <v>2481</v>
      </c>
      <c r="C78" s="562" t="s">
        <v>2393</v>
      </c>
      <c r="D78" s="562" t="s">
        <v>2394</v>
      </c>
      <c r="E78" s="562" t="s">
        <v>2395</v>
      </c>
      <c r="F78" s="562" t="s">
        <v>2396</v>
      </c>
      <c r="G78" s="562" t="s">
        <v>2397</v>
      </c>
      <c r="H78" s="522"/>
      <c r="I78" s="522"/>
      <c r="J78" s="522"/>
      <c r="K78" s="523"/>
      <c r="L78" s="524"/>
      <c r="M78" s="525"/>
      <c r="N78" s="1262"/>
      <c r="O78" s="1262"/>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4.4" thickTop="1">
      <c r="A80" s="563"/>
      <c r="B80" s="521">
        <f>B25</f>
        <v>111</v>
      </c>
      <c r="C80" s="537"/>
      <c r="D80" s="537"/>
      <c r="E80" s="537"/>
      <c r="F80" s="537"/>
      <c r="G80" s="537"/>
      <c r="H80" s="537"/>
      <c r="I80" s="537"/>
      <c r="J80" s="537"/>
      <c r="K80" s="537"/>
      <c r="L80" s="564"/>
      <c r="M80" s="565"/>
      <c r="N80" s="1261"/>
      <c r="O80" s="1261"/>
      <c r="P80" s="22"/>
      <c r="Q80" s="485"/>
    </row>
    <row r="81" spans="1:17" s="35" customFormat="1" ht="14.4" thickBot="1">
      <c r="A81" s="563"/>
      <c r="B81" s="526"/>
      <c r="C81" s="544"/>
      <c r="D81" s="518"/>
      <c r="E81" s="518"/>
      <c r="F81" s="518"/>
      <c r="G81" s="518"/>
      <c r="H81" s="518"/>
      <c r="I81" s="518"/>
      <c r="J81" s="518"/>
      <c r="K81" s="518"/>
      <c r="L81" s="518"/>
      <c r="M81" s="519"/>
      <c r="N81" s="1263"/>
      <c r="O81" s="1263"/>
      <c r="P81" s="22"/>
      <c r="Q81" s="485"/>
    </row>
    <row r="82" spans="1:17" s="35" customFormat="1" ht="14.4" thickTop="1">
      <c r="A82" s="563"/>
      <c r="B82" s="521">
        <f>B26</f>
        <v>111</v>
      </c>
      <c r="C82" s="537"/>
      <c r="D82" s="537"/>
      <c r="E82" s="537"/>
      <c r="F82" s="537"/>
      <c r="G82" s="537"/>
      <c r="H82" s="537"/>
      <c r="I82" s="537"/>
      <c r="J82" s="537"/>
      <c r="K82" s="537"/>
      <c r="L82" s="564"/>
      <c r="M82" s="565"/>
      <c r="N82" s="1261"/>
      <c r="O82" s="1261"/>
      <c r="P82" s="22"/>
      <c r="Q82" s="485"/>
    </row>
    <row r="83" spans="1:17" s="35" customFormat="1" ht="14.4" thickBot="1">
      <c r="A83" s="563"/>
      <c r="B83" s="526"/>
      <c r="C83" s="544"/>
      <c r="D83" s="518"/>
      <c r="E83" s="518"/>
      <c r="F83" s="518"/>
      <c r="G83" s="518"/>
      <c r="H83" s="518"/>
      <c r="I83" s="518"/>
      <c r="J83" s="518"/>
      <c r="K83" s="518"/>
      <c r="L83" s="518"/>
      <c r="M83" s="519"/>
      <c r="N83" s="1263"/>
      <c r="O83" s="1263"/>
      <c r="P83" s="22"/>
      <c r="Q83" s="485"/>
    </row>
    <row r="84" spans="1:17" s="452" customFormat="1" ht="14.4" thickTop="1">
      <c r="A84" s="536"/>
      <c r="B84" s="521">
        <f>B27</f>
        <v>111</v>
      </c>
      <c r="C84" s="537"/>
      <c r="D84" s="537"/>
      <c r="E84" s="537"/>
      <c r="F84" s="537"/>
      <c r="G84" s="537"/>
      <c r="H84" s="537"/>
      <c r="I84" s="537"/>
      <c r="J84" s="537"/>
      <c r="K84" s="537"/>
      <c r="L84" s="564"/>
      <c r="M84" s="565"/>
      <c r="N84" s="1264"/>
      <c r="O84" s="1264"/>
      <c r="P84" s="542"/>
      <c r="Q84" s="543"/>
    </row>
    <row r="85" spans="1:17" s="452" customFormat="1" ht="14.4" thickBot="1">
      <c r="A85" s="536"/>
      <c r="B85" s="526"/>
      <c r="C85" s="544"/>
      <c r="D85" s="518"/>
      <c r="E85" s="518"/>
      <c r="F85" s="518"/>
      <c r="G85" s="518"/>
      <c r="H85" s="518"/>
      <c r="I85" s="518"/>
      <c r="J85" s="518"/>
      <c r="K85" s="518"/>
      <c r="L85" s="518"/>
      <c r="M85" s="519"/>
      <c r="N85" s="1264"/>
      <c r="O85" s="1264"/>
      <c r="P85" s="542"/>
      <c r="Q85" s="543"/>
    </row>
    <row r="86" spans="1:17" ht="14.4" thickTop="1">
      <c r="A86" s="516"/>
      <c r="B86" s="529">
        <f>B28</f>
        <v>111</v>
      </c>
      <c r="C86" s="504"/>
      <c r="D86" s="504"/>
      <c r="E86" s="504"/>
      <c r="F86" s="504"/>
      <c r="G86" s="571"/>
      <c r="H86" s="571"/>
      <c r="I86" s="571"/>
      <c r="J86" s="571"/>
      <c r="K86" s="572"/>
      <c r="L86" s="573"/>
      <c r="M86" s="574"/>
      <c r="N86" s="1262"/>
      <c r="O86" s="1262"/>
      <c r="P86" s="22"/>
      <c r="Q86" s="485"/>
    </row>
    <row r="87" spans="1:17" ht="14.4" thickBot="1">
      <c r="A87" s="2424"/>
      <c r="B87" s="553"/>
      <c r="C87" s="554"/>
      <c r="D87" s="554"/>
      <c r="E87" s="554"/>
      <c r="F87" s="554"/>
      <c r="G87" s="575"/>
      <c r="H87" s="575"/>
      <c r="I87" s="575"/>
      <c r="J87" s="575"/>
      <c r="K87" s="575"/>
      <c r="L87" s="575"/>
      <c r="M87" s="576"/>
      <c r="N87" s="1263"/>
      <c r="O87" s="1263"/>
      <c r="P87" s="22"/>
      <c r="Q87" s="485"/>
    </row>
    <row r="88" spans="1:17" ht="14.4">
      <c r="A88" s="508" t="s">
        <v>2359</v>
      </c>
      <c r="B88" s="509" t="s">
        <v>2408</v>
      </c>
      <c r="C88" s="511"/>
      <c r="D88" s="511"/>
      <c r="E88" s="511"/>
      <c r="F88" s="511"/>
      <c r="G88" s="511"/>
      <c r="H88" s="511"/>
      <c r="I88" s="511"/>
      <c r="J88" s="511"/>
      <c r="K88" s="512"/>
      <c r="L88" s="513"/>
      <c r="M88" s="514"/>
      <c r="N88" s="1262"/>
      <c r="O88" s="1262"/>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4.4"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2410</v>
      </c>
      <c r="C93" s="537"/>
      <c r="D93" s="537"/>
      <c r="E93" s="567"/>
      <c r="F93" s="567"/>
      <c r="G93" s="567"/>
      <c r="H93" s="567"/>
      <c r="I93" s="567"/>
      <c r="J93" s="567"/>
      <c r="K93" s="568"/>
      <c r="L93" s="569"/>
      <c r="M93" s="570"/>
      <c r="N93" s="1262"/>
      <c r="O93" s="1262"/>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2412</v>
      </c>
      <c r="C95" s="537"/>
      <c r="D95" s="537"/>
      <c r="E95" s="537"/>
      <c r="F95" s="567"/>
      <c r="G95" s="567"/>
      <c r="H95" s="567"/>
      <c r="I95" s="567"/>
      <c r="J95" s="567"/>
      <c r="K95" s="568"/>
      <c r="L95" s="569"/>
      <c r="M95" s="570"/>
      <c r="N95" s="1262"/>
      <c r="O95" s="1262"/>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2414</v>
      </c>
      <c r="C100" s="537"/>
      <c r="D100" s="537"/>
      <c r="E100" s="537"/>
      <c r="F100" s="537"/>
      <c r="G100" s="537"/>
      <c r="H100" s="567"/>
      <c r="I100" s="567"/>
      <c r="J100" s="567"/>
      <c r="K100" s="568"/>
      <c r="L100" s="569"/>
      <c r="M100" s="570"/>
      <c r="N100" s="1264"/>
      <c r="O100" s="1264"/>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2415</v>
      </c>
      <c r="C102" s="537"/>
      <c r="D102" s="537"/>
      <c r="E102" s="537"/>
      <c r="F102" s="537"/>
      <c r="G102" s="537"/>
      <c r="H102" s="567"/>
      <c r="I102" s="567"/>
      <c r="J102" s="567"/>
      <c r="K102" s="568"/>
      <c r="L102" s="569"/>
      <c r="M102" s="570"/>
      <c r="N102" s="1262"/>
      <c r="O102" s="1262"/>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2417</v>
      </c>
      <c r="C104" s="537"/>
      <c r="D104" s="537"/>
      <c r="E104" s="537"/>
      <c r="F104" s="537"/>
      <c r="G104" s="537"/>
      <c r="H104" s="567"/>
      <c r="I104" s="567"/>
      <c r="J104" s="567"/>
      <c r="K104" s="568"/>
      <c r="L104" s="569"/>
      <c r="M104" s="570"/>
      <c r="N104" s="1262"/>
      <c r="O104" s="1262"/>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29.4" thickTop="1">
      <c r="A106" s="583"/>
      <c r="B106" s="620" t="s">
        <v>2495</v>
      </c>
      <c r="C106" s="562" t="s">
        <v>2393</v>
      </c>
      <c r="D106" s="562" t="s">
        <v>2394</v>
      </c>
      <c r="E106" s="562" t="s">
        <v>2395</v>
      </c>
      <c r="F106" s="562" t="s">
        <v>2396</v>
      </c>
      <c r="G106" s="562" t="s">
        <v>2397</v>
      </c>
      <c r="H106" s="522"/>
      <c r="I106" s="522"/>
      <c r="J106" s="522"/>
      <c r="K106" s="523"/>
      <c r="L106" s="524"/>
      <c r="M106" s="525"/>
      <c r="N106" s="1263"/>
      <c r="O106" s="1263"/>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4.4"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4.4" thickBot="1">
      <c r="A109" s="536"/>
      <c r="B109" s="517"/>
      <c r="C109" s="544"/>
      <c r="D109" s="518"/>
      <c r="E109" s="518"/>
      <c r="F109" s="518"/>
      <c r="G109" s="544"/>
      <c r="H109" s="546"/>
      <c r="I109" s="546"/>
      <c r="J109" s="546"/>
      <c r="K109" s="546"/>
      <c r="L109" s="546"/>
      <c r="M109" s="547"/>
      <c r="N109" s="1264"/>
      <c r="O109" s="1264"/>
      <c r="P109" s="542"/>
      <c r="Q109" s="543"/>
    </row>
    <row r="110" spans="1:17" ht="14.4" thickTop="1">
      <c r="A110" s="583"/>
      <c r="B110" s="521">
        <f>B39</f>
        <v>111</v>
      </c>
      <c r="C110" s="537"/>
      <c r="D110" s="537"/>
      <c r="E110" s="537"/>
      <c r="F110" s="537"/>
      <c r="G110" s="537"/>
      <c r="H110" s="538"/>
      <c r="I110" s="538"/>
      <c r="J110" s="538"/>
      <c r="K110" s="538"/>
      <c r="L110" s="539"/>
      <c r="M110" s="540"/>
      <c r="N110" s="1262"/>
      <c r="O110" s="1262"/>
      <c r="P110" s="22"/>
      <c r="Q110" s="485"/>
    </row>
    <row r="111" spans="1:17" ht="14.4" thickBot="1">
      <c r="A111" s="516"/>
      <c r="B111" s="526"/>
      <c r="C111" s="544"/>
      <c r="D111" s="518"/>
      <c r="E111" s="518"/>
      <c r="F111" s="518"/>
      <c r="G111" s="544"/>
      <c r="H111" s="546"/>
      <c r="I111" s="546"/>
      <c r="J111" s="546"/>
      <c r="K111" s="546"/>
      <c r="L111" s="546"/>
      <c r="M111" s="547"/>
      <c r="N111" s="1263"/>
      <c r="O111" s="1263"/>
      <c r="P111" s="22"/>
      <c r="Q111" s="485"/>
    </row>
    <row r="112" spans="1:17" ht="14.4" thickTop="1">
      <c r="A112" s="583"/>
      <c r="B112" s="529">
        <f>B40</f>
        <v>111</v>
      </c>
      <c r="C112" s="504"/>
      <c r="D112" s="504"/>
      <c r="E112" s="504"/>
      <c r="F112" s="504"/>
      <c r="G112" s="571"/>
      <c r="H112" s="571"/>
      <c r="I112" s="571"/>
      <c r="J112" s="571"/>
      <c r="K112" s="504"/>
      <c r="L112" s="505"/>
      <c r="M112" s="574"/>
      <c r="N112" s="1262"/>
      <c r="O112" s="1262"/>
      <c r="P112" s="22"/>
      <c r="Q112" s="485"/>
    </row>
    <row r="113" spans="1:17" ht="14.4"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24"/>
      <c r="E1" s="2374"/>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2000</v>
      </c>
      <c r="B3" s="593" t="e">
        <f>IF(AND(D2="——",B37="元/平方米"),C39,ROUND(F3*C39/D3,0))</f>
        <v>#DIV/0!</v>
      </c>
      <c r="C3" s="379" t="s">
        <v>2329</v>
      </c>
      <c r="D3" s="378">
        <f>IF(C1="仅计算典型户型",'数据-取费表'!E5,'数据-取费表'!B5)</f>
        <v>1134.33</v>
      </c>
      <c r="E3" s="1087" t="s">
        <v>2497</v>
      </c>
      <c r="F3" s="379">
        <f>'数据-取费表'!B41</f>
        <v>0</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4.4">
      <c r="A4" s="380" t="s">
        <v>2330</v>
      </c>
      <c r="B4" s="381"/>
      <c r="C4" s="3038" t="s">
        <v>2331</v>
      </c>
      <c r="D4" s="3039"/>
      <c r="E4" s="3040" t="s">
        <v>2332</v>
      </c>
      <c r="F4" s="3041"/>
      <c r="G4" s="3038" t="s">
        <v>2333</v>
      </c>
      <c r="H4" s="3039"/>
      <c r="I4" s="3038" t="s">
        <v>2334</v>
      </c>
      <c r="J4" s="3039"/>
      <c r="K4" s="594" t="s">
        <v>2335</v>
      </c>
      <c r="L4" s="1508"/>
      <c r="M4" s="425"/>
      <c r="N4" s="425"/>
      <c r="O4" s="425"/>
      <c r="P4" s="3042" t="s">
        <v>2336</v>
      </c>
      <c r="Q4" s="3043"/>
      <c r="R4" s="3048" t="s">
        <v>2332</v>
      </c>
      <c r="S4" s="3049"/>
      <c r="T4" s="3048" t="s">
        <v>2333</v>
      </c>
      <c r="U4" s="3049"/>
      <c r="V4" s="3054" t="s">
        <v>2334</v>
      </c>
      <c r="W4" s="3054"/>
      <c r="X4" s="1893"/>
      <c r="Y4" s="3048" t="s">
        <v>2336</v>
      </c>
      <c r="Z4" s="3049"/>
      <c r="AA4" s="3035" t="s">
        <v>2332</v>
      </c>
      <c r="AB4" s="3036" t="s">
        <v>2333</v>
      </c>
      <c r="AC4" s="3035" t="s">
        <v>2334</v>
      </c>
    </row>
    <row r="5" spans="1:29">
      <c r="A5" s="383"/>
      <c r="B5" s="384"/>
      <c r="C5" s="3057" t="s">
        <v>2337</v>
      </c>
      <c r="D5" s="3058"/>
      <c r="E5" s="3055" t="s">
        <v>2338</v>
      </c>
      <c r="F5" s="3056"/>
      <c r="G5" s="3057" t="s">
        <v>2339</v>
      </c>
      <c r="H5" s="3058"/>
      <c r="I5" s="3057" t="s">
        <v>2340</v>
      </c>
      <c r="J5" s="3058"/>
      <c r="K5" s="594"/>
      <c r="L5" s="1508"/>
      <c r="M5" s="425"/>
      <c r="N5" s="425"/>
      <c r="O5" s="425"/>
      <c r="P5" s="304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594" t="s">
        <v>2342</v>
      </c>
      <c r="L6" s="1508"/>
      <c r="M6" s="425"/>
      <c r="N6" s="425"/>
      <c r="O6" s="425"/>
      <c r="P6" s="3046"/>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70" t="s">
        <v>2344</v>
      </c>
      <c r="Q7" s="3072"/>
      <c r="R7" s="748" t="s">
        <v>25</v>
      </c>
      <c r="S7" s="749">
        <f t="shared" ref="S7:S14" si="0">F7</f>
        <v>0</v>
      </c>
      <c r="T7" s="748" t="s">
        <v>25</v>
      </c>
      <c r="U7" s="749">
        <f t="shared" ref="U7:U14" si="1">H7</f>
        <v>0</v>
      </c>
      <c r="V7" s="748" t="s">
        <v>25</v>
      </c>
      <c r="W7" s="749">
        <f t="shared" ref="W7:W14" si="2">J7</f>
        <v>0</v>
      </c>
      <c r="X7" s="750"/>
      <c r="Y7" s="3070" t="s">
        <v>2344</v>
      </c>
      <c r="Z7" s="3071"/>
      <c r="AA7" s="751" t="e">
        <f>D7/F7</f>
        <v>#DIV/0!</v>
      </c>
      <c r="AB7" s="751" t="e">
        <f>D7/H7</f>
        <v>#DIV/0!</v>
      </c>
      <c r="AC7" s="751" t="e">
        <f>D7/J7</f>
        <v>#DIV/0!</v>
      </c>
    </row>
    <row r="8" spans="1:29" s="35" customFormat="1" ht="1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70" t="s">
        <v>2347</v>
      </c>
      <c r="Q8" s="3071"/>
      <c r="R8" s="748" t="s">
        <v>25</v>
      </c>
      <c r="S8" s="749">
        <f t="shared" si="0"/>
        <v>0</v>
      </c>
      <c r="T8" s="748" t="s">
        <v>25</v>
      </c>
      <c r="U8" s="749">
        <f t="shared" si="1"/>
        <v>0</v>
      </c>
      <c r="V8" s="748" t="s">
        <v>25</v>
      </c>
      <c r="W8" s="749">
        <f t="shared" si="2"/>
        <v>0</v>
      </c>
      <c r="X8" s="750"/>
      <c r="Y8" s="3070" t="s">
        <v>2347</v>
      </c>
      <c r="Z8" s="3071"/>
      <c r="AA8" s="751" t="e">
        <f t="shared" ref="AA8:AA36" si="3">D8/F8</f>
        <v>#DIV/0!</v>
      </c>
      <c r="AB8" s="751" t="e">
        <f t="shared" ref="AB8:AB36" si="4">D8/H8</f>
        <v>#DIV/0!</v>
      </c>
      <c r="AC8" s="751" t="e">
        <f t="shared" ref="AC8:AC36" si="5">D8/J8</f>
        <v>#DIV/0!</v>
      </c>
    </row>
    <row r="9" spans="1:29" s="35" customFormat="1" ht="14.4">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74" t="s">
        <v>2350</v>
      </c>
      <c r="Q9" s="1880" t="str">
        <f t="shared" ref="Q9:Q14" si="6">B9</f>
        <v>用途</v>
      </c>
      <c r="R9" s="748" t="s">
        <v>25</v>
      </c>
      <c r="S9" s="749">
        <f t="shared" si="0"/>
        <v>100</v>
      </c>
      <c r="T9" s="748" t="s">
        <v>25</v>
      </c>
      <c r="U9" s="749">
        <f t="shared" si="1"/>
        <v>100</v>
      </c>
      <c r="V9" s="748" t="s">
        <v>25</v>
      </c>
      <c r="W9" s="749">
        <f t="shared" si="2"/>
        <v>100</v>
      </c>
      <c r="X9" s="750"/>
      <c r="Y9" s="2865" t="s">
        <v>2351</v>
      </c>
      <c r="Z9" s="23" t="str">
        <f t="shared" ref="Z9:Z14" si="7">Q9</f>
        <v>用途</v>
      </c>
      <c r="AA9" s="751">
        <f t="shared" si="3"/>
        <v>1</v>
      </c>
      <c r="AB9" s="751">
        <f t="shared" si="4"/>
        <v>1</v>
      </c>
      <c r="AC9" s="751">
        <f t="shared" si="5"/>
        <v>1</v>
      </c>
    </row>
    <row r="10" spans="1:29" s="407" customFormat="1" ht="28.8">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74"/>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74"/>
      <c r="Q11" s="1880">
        <f t="shared" si="6"/>
        <v>111</v>
      </c>
      <c r="R11" s="748" t="s">
        <v>25</v>
      </c>
      <c r="S11" s="749">
        <f t="shared" si="0"/>
        <v>100</v>
      </c>
      <c r="T11" s="748" t="s">
        <v>25</v>
      </c>
      <c r="U11" s="749">
        <f t="shared" si="1"/>
        <v>100</v>
      </c>
      <c r="V11" s="748" t="s">
        <v>25</v>
      </c>
      <c r="W11" s="749">
        <f t="shared" si="2"/>
        <v>100</v>
      </c>
      <c r="X11" s="750"/>
      <c r="Y11" s="286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74"/>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74"/>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96.6">
      <c r="A14" s="380" t="s">
        <v>2354</v>
      </c>
      <c r="B14" s="613" t="s">
        <v>2498</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63" t="s">
        <v>2355</v>
      </c>
      <c r="Q14" s="1892" t="str">
        <f t="shared" si="6"/>
        <v>交通便捷度</v>
      </c>
      <c r="R14" s="752" t="s">
        <v>25</v>
      </c>
      <c r="S14" s="753">
        <f t="shared" si="0"/>
        <v>100</v>
      </c>
      <c r="T14" s="752" t="s">
        <v>25</v>
      </c>
      <c r="U14" s="753">
        <f t="shared" si="1"/>
        <v>100</v>
      </c>
      <c r="V14" s="752" t="s">
        <v>25</v>
      </c>
      <c r="W14" s="753">
        <f t="shared" si="2"/>
        <v>100</v>
      </c>
      <c r="X14" s="1893"/>
      <c r="Y14" s="3063" t="s">
        <v>2355</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64"/>
      <c r="Q15" s="1892"/>
      <c r="R15" s="752"/>
      <c r="S15" s="753"/>
      <c r="T15" s="752"/>
      <c r="U15" s="753"/>
      <c r="V15" s="752"/>
      <c r="W15" s="753"/>
      <c r="X15" s="1893"/>
      <c r="Y15" s="3064"/>
      <c r="Z15" s="1895"/>
      <c r="AA15" s="1896">
        <v>1</v>
      </c>
      <c r="AB15" s="1896">
        <v>1</v>
      </c>
      <c r="AC15" s="1896">
        <v>1</v>
      </c>
    </row>
    <row r="16" spans="1:29" ht="41.4">
      <c r="A16" s="383"/>
      <c r="B16" s="615" t="s">
        <v>2470</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64"/>
      <c r="Q16" s="1892" t="str">
        <f>B16</f>
        <v>公共配套设施</v>
      </c>
      <c r="R16" s="752" t="s">
        <v>25</v>
      </c>
      <c r="S16" s="753">
        <f>F16</f>
        <v>100</v>
      </c>
      <c r="T16" s="752" t="s">
        <v>25</v>
      </c>
      <c r="U16" s="753">
        <f>H16</f>
        <v>100</v>
      </c>
      <c r="V16" s="752" t="s">
        <v>25</v>
      </c>
      <c r="W16" s="753">
        <f>J16</f>
        <v>100</v>
      </c>
      <c r="X16" s="1893"/>
      <c r="Y16" s="3064"/>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64"/>
      <c r="Q17" s="1892"/>
      <c r="R17" s="752"/>
      <c r="S17" s="753"/>
      <c r="T17" s="752"/>
      <c r="U17" s="753"/>
      <c r="V17" s="752"/>
      <c r="W17" s="753"/>
      <c r="X17" s="1893"/>
      <c r="Y17" s="3064"/>
      <c r="Z17" s="1895"/>
      <c r="AA17" s="1896">
        <v>1</v>
      </c>
      <c r="AB17" s="1896">
        <v>1</v>
      </c>
      <c r="AC17" s="1896">
        <v>1</v>
      </c>
    </row>
    <row r="18" spans="1:29" ht="41.4">
      <c r="A18" s="383"/>
      <c r="B18" s="617" t="s">
        <v>2471</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64"/>
      <c r="Q18" s="1892" t="str">
        <f>B18</f>
        <v>基础设施水平</v>
      </c>
      <c r="R18" s="752" t="s">
        <v>25</v>
      </c>
      <c r="S18" s="753">
        <f>F18</f>
        <v>100</v>
      </c>
      <c r="T18" s="752" t="s">
        <v>25</v>
      </c>
      <c r="U18" s="753">
        <f>H18</f>
        <v>100</v>
      </c>
      <c r="V18" s="752" t="s">
        <v>25</v>
      </c>
      <c r="W18" s="753">
        <f>J18</f>
        <v>100</v>
      </c>
      <c r="X18" s="1893"/>
      <c r="Y18" s="3064"/>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64"/>
      <c r="Q19" s="1892"/>
      <c r="R19" s="752"/>
      <c r="S19" s="753"/>
      <c r="T19" s="752"/>
      <c r="U19" s="753"/>
      <c r="V19" s="752"/>
      <c r="W19" s="753"/>
      <c r="X19" s="1893"/>
      <c r="Y19" s="3064"/>
      <c r="Z19" s="1895"/>
      <c r="AA19" s="1896">
        <v>1</v>
      </c>
      <c r="AB19" s="1896">
        <v>1</v>
      </c>
      <c r="AC19" s="1896">
        <v>1</v>
      </c>
    </row>
    <row r="20" spans="1:29" ht="55.2">
      <c r="A20" s="383"/>
      <c r="B20" s="615" t="s">
        <v>2499</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64"/>
      <c r="Q20" s="1892" t="str">
        <f>B20</f>
        <v>自然及人文环境</v>
      </c>
      <c r="R20" s="752" t="s">
        <v>25</v>
      </c>
      <c r="S20" s="753">
        <f>F20</f>
        <v>100</v>
      </c>
      <c r="T20" s="752" t="s">
        <v>25</v>
      </c>
      <c r="U20" s="753">
        <f>H20</f>
        <v>100</v>
      </c>
      <c r="V20" s="752" t="s">
        <v>25</v>
      </c>
      <c r="W20" s="753">
        <f>J20</f>
        <v>100</v>
      </c>
      <c r="X20" s="1893"/>
      <c r="Y20" s="3064"/>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64"/>
      <c r="Q21" s="1892"/>
      <c r="R21" s="752"/>
      <c r="S21" s="753"/>
      <c r="T21" s="752"/>
      <c r="U21" s="753"/>
      <c r="V21" s="752"/>
      <c r="W21" s="753"/>
      <c r="X21" s="1893"/>
      <c r="Y21" s="3064"/>
      <c r="Z21" s="1895"/>
      <c r="AA21" s="1896">
        <v>1</v>
      </c>
      <c r="AB21" s="1896">
        <v>1</v>
      </c>
      <c r="AC21" s="1896">
        <v>1</v>
      </c>
    </row>
    <row r="22" spans="1:29" ht="15">
      <c r="A22" s="383"/>
      <c r="B22" s="615" t="s">
        <v>2500</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64"/>
      <c r="Q22" s="1892" t="str">
        <f>B22</f>
        <v>楼层</v>
      </c>
      <c r="R22" s="752" t="s">
        <v>25</v>
      </c>
      <c r="S22" s="753">
        <f>F22</f>
        <v>100</v>
      </c>
      <c r="T22" s="752" t="s">
        <v>25</v>
      </c>
      <c r="U22" s="753">
        <f>H22</f>
        <v>100</v>
      </c>
      <c r="V22" s="752" t="s">
        <v>25</v>
      </c>
      <c r="W22" s="753">
        <f>J22</f>
        <v>100</v>
      </c>
      <c r="X22" s="1893"/>
      <c r="Y22" s="3064"/>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64"/>
      <c r="Q23" s="1892">
        <f>B23</f>
        <v>111</v>
      </c>
      <c r="R23" s="752" t="s">
        <v>25</v>
      </c>
      <c r="S23" s="753">
        <f>F23</f>
        <v>100</v>
      </c>
      <c r="T23" s="752" t="s">
        <v>25</v>
      </c>
      <c r="U23" s="753">
        <f>H23</f>
        <v>100</v>
      </c>
      <c r="V23" s="752" t="s">
        <v>25</v>
      </c>
      <c r="W23" s="753">
        <f>J23</f>
        <v>100</v>
      </c>
      <c r="X23" s="1893"/>
      <c r="Y23" s="3064"/>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64"/>
      <c r="Q24" s="1892">
        <f t="shared" ref="Q24:Q36" si="11">B24</f>
        <v>111</v>
      </c>
      <c r="R24" s="752" t="s">
        <v>25</v>
      </c>
      <c r="S24" s="753">
        <f>F24</f>
        <v>100</v>
      </c>
      <c r="T24" s="752" t="s">
        <v>25</v>
      </c>
      <c r="U24" s="753">
        <f>H24</f>
        <v>100</v>
      </c>
      <c r="V24" s="752" t="s">
        <v>25</v>
      </c>
      <c r="W24" s="753">
        <f>J24</f>
        <v>100</v>
      </c>
      <c r="X24" s="1893"/>
      <c r="Y24" s="3064"/>
      <c r="Z24" s="1895">
        <f>Q24</f>
        <v>111</v>
      </c>
      <c r="AA24" s="1896">
        <f t="shared" si="3"/>
        <v>1</v>
      </c>
      <c r="AB24" s="1896">
        <f t="shared" si="4"/>
        <v>1</v>
      </c>
      <c r="AC24" s="1896">
        <f t="shared" si="5"/>
        <v>1</v>
      </c>
    </row>
    <row r="25" spans="1:29" s="35" customFormat="1" ht="15.6"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4"/>
      <c r="Q25" s="1880">
        <f t="shared" si="11"/>
        <v>111</v>
      </c>
      <c r="R25" s="748" t="s">
        <v>25</v>
      </c>
      <c r="S25" s="749">
        <f>F25</f>
        <v>100</v>
      </c>
      <c r="T25" s="748" t="s">
        <v>25</v>
      </c>
      <c r="U25" s="749">
        <f>H25</f>
        <v>100</v>
      </c>
      <c r="V25" s="748" t="s">
        <v>25</v>
      </c>
      <c r="W25" s="749">
        <f>J25</f>
        <v>100</v>
      </c>
      <c r="X25" s="750"/>
      <c r="Y25" s="3064"/>
      <c r="Z25" s="23">
        <f>Q25</f>
        <v>111</v>
      </c>
      <c r="AA25" s="1896">
        <f>D25/F25</f>
        <v>1</v>
      </c>
      <c r="AB25" s="1896">
        <f>D25/H25</f>
        <v>1</v>
      </c>
      <c r="AC25" s="1896">
        <f>D25/J25</f>
        <v>1</v>
      </c>
    </row>
    <row r="26" spans="1:29" ht="30">
      <c r="A26" s="635" t="s">
        <v>2359</v>
      </c>
      <c r="B26" s="27" t="s">
        <v>2501</v>
      </c>
      <c r="C26" s="2473"/>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093" t="s">
        <v>2361</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68" t="s">
        <v>2361</v>
      </c>
      <c r="Z26" s="1895" t="str">
        <f t="shared" ref="Z26:Z36" si="15">Q26</f>
        <v>配套类型</v>
      </c>
      <c r="AA26" s="1896">
        <f t="shared" si="3"/>
        <v>1</v>
      </c>
      <c r="AB26" s="1896">
        <f t="shared" si="4"/>
        <v>1</v>
      </c>
      <c r="AC26" s="1896">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68"/>
      <c r="Q27" s="754" t="str">
        <f t="shared" si="11"/>
        <v>项目停车位配比</v>
      </c>
      <c r="R27" s="755" t="s">
        <v>25</v>
      </c>
      <c r="S27" s="756">
        <f t="shared" si="12"/>
        <v>100</v>
      </c>
      <c r="T27" s="755" t="s">
        <v>25</v>
      </c>
      <c r="U27" s="756">
        <f t="shared" si="13"/>
        <v>100</v>
      </c>
      <c r="V27" s="755" t="s">
        <v>25</v>
      </c>
      <c r="W27" s="756">
        <f t="shared" si="14"/>
        <v>100</v>
      </c>
      <c r="X27" s="757"/>
      <c r="Y27" s="3068"/>
      <c r="Z27" s="758" t="str">
        <f t="shared" si="15"/>
        <v>项目停车位配比</v>
      </c>
      <c r="AA27" s="1896">
        <f t="shared" si="3"/>
        <v>1</v>
      </c>
      <c r="AB27" s="1896">
        <f t="shared" si="4"/>
        <v>1</v>
      </c>
      <c r="AC27" s="1896">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68"/>
      <c r="Q28" s="1892" t="str">
        <f t="shared" si="11"/>
        <v>公共部分装修</v>
      </c>
      <c r="R28" s="752" t="s">
        <v>25</v>
      </c>
      <c r="S28" s="753">
        <f t="shared" si="12"/>
        <v>100</v>
      </c>
      <c r="T28" s="752" t="s">
        <v>25</v>
      </c>
      <c r="U28" s="753">
        <f t="shared" si="13"/>
        <v>100</v>
      </c>
      <c r="V28" s="752" t="s">
        <v>25</v>
      </c>
      <c r="W28" s="753">
        <f t="shared" si="14"/>
        <v>100</v>
      </c>
      <c r="X28" s="1893"/>
      <c r="Y28" s="3068"/>
      <c r="Z28" s="1895" t="str">
        <f t="shared" si="15"/>
        <v>公共部分装修</v>
      </c>
      <c r="AA28" s="1896">
        <f t="shared" si="3"/>
        <v>1</v>
      </c>
      <c r="AB28" s="1896">
        <f t="shared" si="4"/>
        <v>1</v>
      </c>
      <c r="AC28" s="1896">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68"/>
      <c r="Q29" s="1892" t="str">
        <f t="shared" si="11"/>
        <v>成新率</v>
      </c>
      <c r="R29" s="752" t="s">
        <v>25</v>
      </c>
      <c r="S29" s="753" t="e">
        <f t="shared" si="12"/>
        <v>#N/A</v>
      </c>
      <c r="T29" s="752" t="s">
        <v>25</v>
      </c>
      <c r="U29" s="753" t="e">
        <f t="shared" si="13"/>
        <v>#N/A</v>
      </c>
      <c r="V29" s="752" t="s">
        <v>25</v>
      </c>
      <c r="W29" s="753" t="e">
        <f t="shared" si="14"/>
        <v>#N/A</v>
      </c>
      <c r="X29" s="1893"/>
      <c r="Y29" s="3068"/>
      <c r="Z29" s="1895" t="str">
        <f t="shared" si="15"/>
        <v>成新率</v>
      </c>
      <c r="AA29" s="1896" t="e">
        <f t="shared" si="3"/>
        <v>#N/A</v>
      </c>
      <c r="AB29" s="1896" t="e">
        <f t="shared" si="4"/>
        <v>#N/A</v>
      </c>
      <c r="AC29" s="1896"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68"/>
      <c r="Q30" s="1892" t="str">
        <f t="shared" si="11"/>
        <v>物业等级</v>
      </c>
      <c r="R30" s="752" t="s">
        <v>25</v>
      </c>
      <c r="S30" s="753">
        <f t="shared" si="12"/>
        <v>100</v>
      </c>
      <c r="T30" s="752" t="s">
        <v>25</v>
      </c>
      <c r="U30" s="753">
        <f t="shared" si="13"/>
        <v>100</v>
      </c>
      <c r="V30" s="752" t="s">
        <v>25</v>
      </c>
      <c r="W30" s="753">
        <f t="shared" si="14"/>
        <v>100</v>
      </c>
      <c r="X30" s="1893"/>
      <c r="Y30" s="3068"/>
      <c r="Z30" s="1895" t="str">
        <f t="shared" si="15"/>
        <v>物业等级</v>
      </c>
      <c r="AA30" s="1896">
        <f t="shared" si="3"/>
        <v>1</v>
      </c>
      <c r="AB30" s="1896">
        <f t="shared" si="4"/>
        <v>1</v>
      </c>
      <c r="AC30" s="1896">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68"/>
      <c r="Q31" s="1880" t="str">
        <f t="shared" si="11"/>
        <v>停车位面积</v>
      </c>
      <c r="R31" s="748" t="s">
        <v>25</v>
      </c>
      <c r="S31" s="749" t="e">
        <f t="shared" si="12"/>
        <v>#N/A</v>
      </c>
      <c r="T31" s="748" t="s">
        <v>25</v>
      </c>
      <c r="U31" s="749" t="e">
        <f t="shared" si="13"/>
        <v>#N/A</v>
      </c>
      <c r="V31" s="748" t="s">
        <v>25</v>
      </c>
      <c r="W31" s="749" t="e">
        <f t="shared" si="14"/>
        <v>#N/A</v>
      </c>
      <c r="X31" s="750"/>
      <c r="Y31" s="3068"/>
      <c r="Z31" s="23" t="str">
        <f t="shared" si="15"/>
        <v>停车位面积</v>
      </c>
      <c r="AA31" s="751" t="e">
        <f t="shared" si="3"/>
        <v>#N/A</v>
      </c>
      <c r="AB31" s="751" t="e">
        <f t="shared" si="4"/>
        <v>#N/A</v>
      </c>
      <c r="AC31" s="751"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68" t="s">
        <v>2361</v>
      </c>
      <c r="Q32" s="1892" t="str">
        <f t="shared" si="11"/>
        <v>车位类型</v>
      </c>
      <c r="R32" s="752" t="s">
        <v>25</v>
      </c>
      <c r="S32" s="753">
        <f t="shared" si="12"/>
        <v>100</v>
      </c>
      <c r="T32" s="752" t="s">
        <v>25</v>
      </c>
      <c r="U32" s="753">
        <f t="shared" si="13"/>
        <v>100</v>
      </c>
      <c r="V32" s="752" t="s">
        <v>25</v>
      </c>
      <c r="W32" s="753">
        <f t="shared" si="14"/>
        <v>100</v>
      </c>
      <c r="X32" s="1893"/>
      <c r="Y32" s="3068" t="s">
        <v>2361</v>
      </c>
      <c r="Z32" s="1895" t="str">
        <f t="shared" si="15"/>
        <v>车位类型</v>
      </c>
      <c r="AA32" s="1896">
        <f t="shared" si="3"/>
        <v>1</v>
      </c>
      <c r="AB32" s="1896">
        <f t="shared" si="4"/>
        <v>1</v>
      </c>
      <c r="AC32" s="1896">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68"/>
      <c r="Q33" s="1892" t="str">
        <f t="shared" si="11"/>
        <v>是否直接入户</v>
      </c>
      <c r="R33" s="752" t="s">
        <v>25</v>
      </c>
      <c r="S33" s="753">
        <f t="shared" si="12"/>
        <v>100</v>
      </c>
      <c r="T33" s="752" t="s">
        <v>25</v>
      </c>
      <c r="U33" s="753">
        <f t="shared" si="13"/>
        <v>100</v>
      </c>
      <c r="V33" s="752" t="s">
        <v>25</v>
      </c>
      <c r="W33" s="753">
        <f t="shared" si="14"/>
        <v>100</v>
      </c>
      <c r="X33" s="1893"/>
      <c r="Y33" s="3068"/>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68"/>
      <c r="Q34" s="1892">
        <f t="shared" si="11"/>
        <v>111</v>
      </c>
      <c r="R34" s="752" t="s">
        <v>25</v>
      </c>
      <c r="S34" s="753">
        <f t="shared" si="12"/>
        <v>100</v>
      </c>
      <c r="T34" s="752" t="s">
        <v>25</v>
      </c>
      <c r="U34" s="753">
        <f t="shared" si="13"/>
        <v>100</v>
      </c>
      <c r="V34" s="752" t="s">
        <v>25</v>
      </c>
      <c r="W34" s="753">
        <f t="shared" si="14"/>
        <v>100</v>
      </c>
      <c r="X34" s="1893"/>
      <c r="Y34" s="3068"/>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68"/>
      <c r="Q35" s="754">
        <f t="shared" si="11"/>
        <v>111</v>
      </c>
      <c r="R35" s="755" t="s">
        <v>25</v>
      </c>
      <c r="S35" s="756">
        <f t="shared" si="12"/>
        <v>100</v>
      </c>
      <c r="T35" s="755" t="s">
        <v>25</v>
      </c>
      <c r="U35" s="756">
        <f t="shared" si="13"/>
        <v>100</v>
      </c>
      <c r="V35" s="755" t="s">
        <v>25</v>
      </c>
      <c r="W35" s="756">
        <f t="shared" si="14"/>
        <v>100</v>
      </c>
      <c r="X35" s="757"/>
      <c r="Y35" s="3068"/>
      <c r="Z35" s="758">
        <f t="shared" si="15"/>
        <v>111</v>
      </c>
      <c r="AA35" s="1896">
        <f t="shared" si="3"/>
        <v>1</v>
      </c>
      <c r="AB35" s="1896">
        <f t="shared" si="4"/>
        <v>1</v>
      </c>
      <c r="AC35" s="1896">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68"/>
      <c r="Q36" s="1892">
        <f t="shared" si="11"/>
        <v>111</v>
      </c>
      <c r="R36" s="752" t="s">
        <v>25</v>
      </c>
      <c r="S36" s="753">
        <f t="shared" si="12"/>
        <v>100</v>
      </c>
      <c r="T36" s="752" t="s">
        <v>25</v>
      </c>
      <c r="U36" s="753">
        <f t="shared" si="13"/>
        <v>100</v>
      </c>
      <c r="V36" s="752" t="s">
        <v>25</v>
      </c>
      <c r="W36" s="753">
        <f t="shared" si="14"/>
        <v>100</v>
      </c>
      <c r="X36" s="1893"/>
      <c r="Y36" s="3068"/>
      <c r="Z36" s="1895">
        <f t="shared" si="15"/>
        <v>111</v>
      </c>
      <c r="AA36" s="1896">
        <f t="shared" si="3"/>
        <v>1</v>
      </c>
      <c r="AB36" s="1896">
        <f t="shared" si="4"/>
        <v>1</v>
      </c>
      <c r="AC36" s="1896">
        <f t="shared" si="5"/>
        <v>1</v>
      </c>
    </row>
    <row r="37" spans="1:29" ht="14.4">
      <c r="A37" s="460" t="s">
        <v>2509</v>
      </c>
      <c r="B37" s="1088" t="s">
        <v>2510</v>
      </c>
      <c r="C37" s="1496" t="s">
        <v>1</v>
      </c>
      <c r="D37" s="1497"/>
      <c r="E37" s="1498"/>
      <c r="F37" s="1499"/>
      <c r="G37" s="1500"/>
      <c r="H37" s="1501"/>
      <c r="I37" s="1498"/>
      <c r="J37" s="1501"/>
      <c r="K37" s="603"/>
      <c r="L37" s="1519"/>
      <c r="M37" s="737"/>
      <c r="N37" s="425"/>
      <c r="O37" s="737"/>
      <c r="P37" s="3074" t="str">
        <f>A37</f>
        <v>成交单价</v>
      </c>
      <c r="Q37" s="3074"/>
      <c r="R37" s="3075">
        <f>E37</f>
        <v>0</v>
      </c>
      <c r="S37" s="3075"/>
      <c r="T37" s="3075">
        <f>G37</f>
        <v>0</v>
      </c>
      <c r="U37" s="3075"/>
      <c r="V37" s="3075">
        <f>I37</f>
        <v>0</v>
      </c>
      <c r="W37" s="3075"/>
      <c r="X37" s="737"/>
      <c r="Y37" s="759"/>
      <c r="Z37" s="737"/>
      <c r="AA37" s="737"/>
      <c r="AB37" s="737"/>
      <c r="AC37" s="737"/>
    </row>
    <row r="38" spans="1:29" ht="15" thickBot="1">
      <c r="A38" s="467" t="s">
        <v>2511</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74" t="str">
        <f>A38</f>
        <v>比较价值</v>
      </c>
      <c r="Q38" s="3074"/>
      <c r="R38" s="3075" t="e">
        <f>IF(E1="售价",ROUND(PRODUCT(R37,AA7:AA36),0),ROUND(PRODUCT(R37,AA7:AA36),1))</f>
        <v>#DIV/0!</v>
      </c>
      <c r="S38" s="3075"/>
      <c r="T38" s="3075" t="e">
        <f>IF(E1="售价",ROUND(PRODUCT(T37,AB7:AB36),0),ROUND(PRODUCT(T37,AB7:AB36),1))</f>
        <v>#DIV/0!</v>
      </c>
      <c r="U38" s="3075"/>
      <c r="V38" s="3075" t="e">
        <f>IF(E1="售价",ROUND(PRODUCT(V37,AC7:AC36),0),ROUND(PRODUCT(V37,AC7:AC36),1))</f>
        <v>#DIV/0!</v>
      </c>
      <c r="W38" s="3075"/>
      <c r="X38" s="737"/>
      <c r="Y38" s="737"/>
      <c r="Z38" s="737"/>
      <c r="AA38" s="737"/>
      <c r="AB38" s="737"/>
      <c r="AC38" s="737"/>
    </row>
    <row r="39" spans="1:29" ht="15" thickBot="1">
      <c r="A39" s="473" t="s">
        <v>2512</v>
      </c>
      <c r="B39" s="474"/>
      <c r="C39" s="1506" t="e">
        <f>R39</f>
        <v>#DIV/0!</v>
      </c>
      <c r="D39" s="1506"/>
      <c r="E39" s="1506"/>
      <c r="F39" s="1506"/>
      <c r="G39" s="1506"/>
      <c r="H39" s="1506"/>
      <c r="I39" s="1506"/>
      <c r="J39" s="1506"/>
      <c r="K39" s="605"/>
      <c r="L39" s="1519"/>
      <c r="M39" s="737"/>
      <c r="N39" s="737"/>
      <c r="O39" s="737"/>
      <c r="P39" s="3080" t="str">
        <f>A39</f>
        <v>估价对象XX用房的比较价值（楼面单价，元/平方米）</v>
      </c>
      <c r="Q39" s="3081"/>
      <c r="R39" s="3082" t="e">
        <f>IF(E1="售价",ROUND(AVERAGE(R38:V38),0),ROUND(AVERAGE(R38:V38),1))</f>
        <v>#DIV/0!</v>
      </c>
      <c r="S39" s="3082"/>
      <c r="T39" s="3082"/>
      <c r="U39" s="3082"/>
      <c r="V39" s="3082"/>
      <c r="W39" s="3082"/>
      <c r="X39" s="737"/>
      <c r="Y39" s="737"/>
      <c r="Z39" s="737"/>
      <c r="AA39" s="737"/>
      <c r="AB39" s="737"/>
      <c r="AC39" s="737"/>
    </row>
    <row r="40" spans="1:29">
      <c r="A40" s="1252"/>
      <c r="B40" s="1252"/>
      <c r="C40" s="1252"/>
      <c r="D40" s="1252"/>
      <c r="E40" s="1252"/>
      <c r="F40" s="1252"/>
      <c r="G40" s="1256"/>
      <c r="H40" s="1252"/>
      <c r="I40" s="1252"/>
      <c r="J40" s="1252"/>
      <c r="K40" s="1257"/>
      <c r="L40" s="1520"/>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0"/>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0"/>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1"/>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1"/>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0"/>
      <c r="M46" s="737"/>
      <c r="N46" s="737"/>
      <c r="O46" s="737"/>
      <c r="P46" s="737"/>
      <c r="Q46" s="737"/>
      <c r="R46" s="737"/>
      <c r="S46" s="737"/>
      <c r="T46" s="737"/>
      <c r="U46" s="737"/>
      <c r="V46" s="737"/>
      <c r="W46" s="737"/>
      <c r="X46" s="737"/>
      <c r="Y46" s="737"/>
      <c r="Z46" s="737"/>
      <c r="AA46" s="737"/>
      <c r="AB46" s="737"/>
      <c r="AC46" s="737"/>
    </row>
    <row r="47" spans="1:29" ht="22.2" thickBot="1">
      <c r="A47" s="1523" t="s">
        <v>2516</v>
      </c>
      <c r="B47" s="1252"/>
      <c r="C47" s="1268"/>
      <c r="D47" s="1268"/>
      <c r="E47" s="1268"/>
      <c r="F47" s="1524"/>
      <c r="G47" s="1524"/>
      <c r="H47" s="1268"/>
      <c r="I47" s="1268"/>
      <c r="J47" s="1268"/>
      <c r="K47" s="1266"/>
      <c r="L47" s="745"/>
      <c r="M47" s="742"/>
      <c r="N47" s="742"/>
      <c r="O47" s="742"/>
      <c r="P47" s="742"/>
      <c r="Q47" s="1522"/>
      <c r="R47" s="737"/>
      <c r="S47" s="737"/>
      <c r="T47" s="737"/>
      <c r="U47" s="737"/>
      <c r="V47" s="737"/>
      <c r="W47" s="737"/>
      <c r="X47" s="737"/>
      <c r="Y47" s="737"/>
      <c r="Z47" s="737"/>
      <c r="AA47" s="737"/>
      <c r="AB47" s="737"/>
      <c r="AC47" s="737"/>
    </row>
    <row r="48" spans="1:29" s="489" customFormat="1" ht="14.4">
      <c r="A48" s="486" t="s">
        <v>2517</v>
      </c>
      <c r="B48" s="487"/>
      <c r="C48" s="1672" t="str">
        <f>YEAR(C7)&amp;"-"&amp;MONTH(C7)</f>
        <v>2020-4</v>
      </c>
      <c r="D48" s="1673">
        <f>EDATE(C48,-1)</f>
        <v>43891</v>
      </c>
      <c r="E48" s="1673">
        <f t="shared" ref="E48:O48" si="16">EDATE(D48,-1)</f>
        <v>43862</v>
      </c>
      <c r="F48" s="1673">
        <f t="shared" si="16"/>
        <v>43831</v>
      </c>
      <c r="G48" s="1673">
        <f t="shared" si="16"/>
        <v>43800</v>
      </c>
      <c r="H48" s="1673">
        <f t="shared" si="16"/>
        <v>43770</v>
      </c>
      <c r="I48" s="1673">
        <f t="shared" si="16"/>
        <v>43739</v>
      </c>
      <c r="J48" s="1673">
        <f t="shared" si="16"/>
        <v>43709</v>
      </c>
      <c r="K48" s="1673">
        <f t="shared" si="16"/>
        <v>43678</v>
      </c>
      <c r="L48" s="1673">
        <f t="shared" si="16"/>
        <v>43647</v>
      </c>
      <c r="M48" s="1673">
        <f t="shared" si="16"/>
        <v>43617</v>
      </c>
      <c r="N48" s="1673">
        <f t="shared" si="16"/>
        <v>43586</v>
      </c>
      <c r="O48" s="1673">
        <f t="shared" si="16"/>
        <v>43556</v>
      </c>
      <c r="P48" s="488"/>
    </row>
    <row r="49" spans="1:17" s="35" customFormat="1">
      <c r="A49" s="490"/>
      <c r="B49" s="491"/>
      <c r="C49" s="1671">
        <v>100</v>
      </c>
      <c r="D49" s="493"/>
      <c r="E49" s="493"/>
      <c r="F49" s="493"/>
      <c r="G49" s="493"/>
      <c r="H49" s="493"/>
      <c r="I49" s="493"/>
      <c r="J49" s="493"/>
      <c r="K49" s="493"/>
      <c r="L49" s="493"/>
      <c r="M49" s="494"/>
      <c r="N49" s="493"/>
      <c r="O49" s="495"/>
      <c r="P49" s="485"/>
    </row>
    <row r="50" spans="1:17" s="35" customFormat="1" ht="15" thickBot="1">
      <c r="A50" s="496" t="s">
        <v>2381</v>
      </c>
      <c r="B50" s="497"/>
      <c r="C50" s="498"/>
      <c r="D50" s="499"/>
      <c r="E50" s="499"/>
      <c r="F50" s="499"/>
      <c r="G50" s="499"/>
      <c r="H50" s="499"/>
      <c r="I50" s="499"/>
      <c r="J50" s="499"/>
      <c r="K50" s="499"/>
      <c r="L50" s="499"/>
      <c r="M50" s="500"/>
      <c r="N50" s="499"/>
      <c r="O50" s="501"/>
      <c r="P50" s="485"/>
      <c r="Q50" s="485"/>
    </row>
    <row r="51" spans="1:17" s="35" customFormat="1" ht="14.4">
      <c r="A51" s="502" t="s">
        <v>2345</v>
      </c>
      <c r="B51" s="491"/>
      <c r="C51" s="503" t="s">
        <v>2346</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2384</v>
      </c>
      <c r="B53" s="509" t="s">
        <v>2349</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2471</v>
      </c>
      <c r="C67" s="522" t="s">
        <v>2400</v>
      </c>
      <c r="D67" s="522" t="s">
        <v>2401</v>
      </c>
      <c r="E67" s="522" t="s">
        <v>2402</v>
      </c>
      <c r="F67" s="522" t="s">
        <v>2403</v>
      </c>
      <c r="G67" s="522" t="s">
        <v>2404</v>
      </c>
      <c r="H67" s="522"/>
      <c r="I67" s="522"/>
      <c r="J67" s="522"/>
      <c r="K67" s="522"/>
      <c r="L67" s="522"/>
      <c r="M67" s="1461"/>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2518</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2359</v>
      </c>
      <c r="B79" s="509" t="s">
        <v>2519</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2520</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IF(D2="——",IF(C2="元",ROUND(C37*D3,0),ROUND(C37*D3/10000,0)),IF(C2="元",ROUND(C37*D3,0),ROUND(C37*D3/10000,0))-E2)</f>
        <v>#DIV/0!</v>
      </c>
      <c r="C2" s="163" t="str">
        <f>'数据-取费表'!B3</f>
        <v>元</v>
      </c>
      <c r="D2" s="2376"/>
      <c r="E2" s="1732"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 ca="1">ROUND(IF(D2="——",C37,IF(C2="万元",B2*10000/D3,B2/D3)),0)</f>
        <v>#DIV/0!</v>
      </c>
      <c r="C3" s="379" t="s">
        <v>2329</v>
      </c>
      <c r="D3" s="378">
        <f>IF(C1="仅计算典型户型",'数据-取费表'!E5,'数据-取费表'!B5)</f>
        <v>1134.33</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38" t="s">
        <v>2331</v>
      </c>
      <c r="D4" s="3039"/>
      <c r="E4" s="3040" t="s">
        <v>2332</v>
      </c>
      <c r="F4" s="3041"/>
      <c r="G4" s="3038" t="s">
        <v>2333</v>
      </c>
      <c r="H4" s="3039"/>
      <c r="I4" s="3038" t="s">
        <v>2334</v>
      </c>
      <c r="J4" s="3039"/>
      <c r="K4" s="594"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36" t="s">
        <v>2333</v>
      </c>
      <c r="AC4" s="3035" t="s">
        <v>2334</v>
      </c>
    </row>
    <row r="5" spans="1:29">
      <c r="A5" s="383"/>
      <c r="B5" s="384"/>
      <c r="C5" s="3057" t="s">
        <v>2337</v>
      </c>
      <c r="D5" s="3058"/>
      <c r="E5" s="3055" t="s">
        <v>2338</v>
      </c>
      <c r="F5" s="3056"/>
      <c r="G5" s="3057" t="s">
        <v>2339</v>
      </c>
      <c r="H5" s="3058"/>
      <c r="I5" s="3057" t="s">
        <v>2340</v>
      </c>
      <c r="J5" s="3058"/>
      <c r="K5" s="594"/>
      <c r="L5" s="1238"/>
      <c r="M5" s="1239"/>
      <c r="N5" s="1239"/>
      <c r="O5" s="1239"/>
      <c r="P5" s="304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594" t="s">
        <v>2342</v>
      </c>
      <c r="L6" s="1238"/>
      <c r="M6" s="1239"/>
      <c r="N6" s="1239"/>
      <c r="O6" s="1239"/>
      <c r="P6" s="3046"/>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70" t="s">
        <v>2344</v>
      </c>
      <c r="Q7" s="3072"/>
      <c r="R7" s="748" t="s">
        <v>25</v>
      </c>
      <c r="S7" s="749">
        <f t="shared" ref="S7:S14" si="0">F7</f>
        <v>0</v>
      </c>
      <c r="T7" s="748" t="s">
        <v>25</v>
      </c>
      <c r="U7" s="749">
        <f t="shared" ref="U7:U14" si="1">H7</f>
        <v>0</v>
      </c>
      <c r="V7" s="748" t="s">
        <v>25</v>
      </c>
      <c r="W7" s="749">
        <f t="shared" ref="W7:W14" si="2">J7</f>
        <v>0</v>
      </c>
      <c r="X7" s="750"/>
      <c r="Y7" s="3070" t="s">
        <v>2344</v>
      </c>
      <c r="Z7" s="3071"/>
      <c r="AA7" s="751" t="e">
        <f>D7/F7</f>
        <v>#DIV/0!</v>
      </c>
      <c r="AB7" s="751" t="e">
        <f>D7/H7</f>
        <v>#DIV/0!</v>
      </c>
      <c r="AC7" s="751" t="e">
        <f>D7/J7</f>
        <v>#DIV/0!</v>
      </c>
    </row>
    <row r="8" spans="1:29" s="35" customFormat="1" ht="1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70" t="s">
        <v>2347</v>
      </c>
      <c r="Q8" s="3071"/>
      <c r="R8" s="748" t="s">
        <v>25</v>
      </c>
      <c r="S8" s="749">
        <f t="shared" si="0"/>
        <v>0</v>
      </c>
      <c r="T8" s="748" t="s">
        <v>25</v>
      </c>
      <c r="U8" s="749">
        <f t="shared" si="1"/>
        <v>0</v>
      </c>
      <c r="V8" s="748" t="s">
        <v>25</v>
      </c>
      <c r="W8" s="749">
        <f t="shared" si="2"/>
        <v>0</v>
      </c>
      <c r="X8" s="750"/>
      <c r="Y8" s="3070" t="s">
        <v>2347</v>
      </c>
      <c r="Z8" s="3071"/>
      <c r="AA8" s="751" t="e">
        <f t="shared" ref="AA8:AA34" si="3">D8/F8</f>
        <v>#DIV/0!</v>
      </c>
      <c r="AB8" s="751" t="e">
        <f t="shared" ref="AB8:AB34" si="4">D8/H8</f>
        <v>#DIV/0!</v>
      </c>
      <c r="AC8" s="751" t="e">
        <f t="shared" ref="AC8:AC34" si="5">D8/J8</f>
        <v>#DIV/0!</v>
      </c>
    </row>
    <row r="9" spans="1:29" s="35" customFormat="1" ht="14.4">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4" t="s">
        <v>2350</v>
      </c>
      <c r="Q9" s="1880" t="str">
        <f t="shared" ref="Q9:Q14" si="6">B9</f>
        <v>用途</v>
      </c>
      <c r="R9" s="748" t="s">
        <v>25</v>
      </c>
      <c r="S9" s="749">
        <f t="shared" si="0"/>
        <v>100</v>
      </c>
      <c r="T9" s="748" t="s">
        <v>25</v>
      </c>
      <c r="U9" s="749">
        <f t="shared" si="1"/>
        <v>100</v>
      </c>
      <c r="V9" s="748" t="s">
        <v>25</v>
      </c>
      <c r="W9" s="749">
        <f t="shared" si="2"/>
        <v>100</v>
      </c>
      <c r="X9" s="750"/>
      <c r="Y9" s="2865" t="s">
        <v>2351</v>
      </c>
      <c r="Z9" s="23" t="str">
        <f t="shared" ref="Z9:Z14" si="7">Q9</f>
        <v>用途</v>
      </c>
      <c r="AA9" s="751">
        <f t="shared" si="3"/>
        <v>1</v>
      </c>
      <c r="AB9" s="751">
        <f t="shared" si="4"/>
        <v>1</v>
      </c>
      <c r="AC9" s="751">
        <f t="shared" si="5"/>
        <v>1</v>
      </c>
    </row>
    <row r="10" spans="1:29" s="407" customFormat="1" ht="28.8">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4"/>
      <c r="Q10" s="1880" t="str">
        <f t="shared" si="6"/>
        <v>土地使用年限（年）</v>
      </c>
      <c r="R10" s="748" t="s">
        <v>25</v>
      </c>
      <c r="S10" s="749">
        <f t="shared" si="0"/>
        <v>100</v>
      </c>
      <c r="T10" s="748" t="s">
        <v>25</v>
      </c>
      <c r="U10" s="749">
        <f t="shared" si="1"/>
        <v>100</v>
      </c>
      <c r="V10" s="748" t="s">
        <v>25</v>
      </c>
      <c r="W10" s="749">
        <f t="shared" si="2"/>
        <v>100</v>
      </c>
      <c r="X10" s="750"/>
      <c r="Y10" s="286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4"/>
      <c r="Q11" s="1880">
        <f t="shared" si="6"/>
        <v>111</v>
      </c>
      <c r="R11" s="748" t="s">
        <v>25</v>
      </c>
      <c r="S11" s="749">
        <f t="shared" si="0"/>
        <v>100</v>
      </c>
      <c r="T11" s="748" t="s">
        <v>25</v>
      </c>
      <c r="U11" s="749">
        <f t="shared" si="1"/>
        <v>100</v>
      </c>
      <c r="V11" s="748" t="s">
        <v>25</v>
      </c>
      <c r="W11" s="749">
        <f t="shared" si="2"/>
        <v>100</v>
      </c>
      <c r="X11" s="750"/>
      <c r="Y11" s="286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4"/>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6"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4"/>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96.6">
      <c r="A14" s="419" t="s">
        <v>2354</v>
      </c>
      <c r="B14" s="26" t="s">
        <v>2498</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63" t="s">
        <v>2355</v>
      </c>
      <c r="Q14" s="1892" t="str">
        <f t="shared" si="6"/>
        <v>交通便捷度</v>
      </c>
      <c r="R14" s="752" t="s">
        <v>25</v>
      </c>
      <c r="S14" s="753">
        <f t="shared" si="0"/>
        <v>100</v>
      </c>
      <c r="T14" s="752" t="s">
        <v>25</v>
      </c>
      <c r="U14" s="753">
        <f t="shared" si="1"/>
        <v>100</v>
      </c>
      <c r="V14" s="752" t="s">
        <v>25</v>
      </c>
      <c r="W14" s="753">
        <f t="shared" si="2"/>
        <v>100</v>
      </c>
      <c r="X14" s="1893"/>
      <c r="Y14" s="3063" t="s">
        <v>2355</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064"/>
      <c r="Q15" s="1892"/>
      <c r="R15" s="752"/>
      <c r="S15" s="753"/>
      <c r="T15" s="752"/>
      <c r="U15" s="753"/>
      <c r="V15" s="752"/>
      <c r="W15" s="753"/>
      <c r="X15" s="1893"/>
      <c r="Y15" s="3064"/>
      <c r="Z15" s="1895"/>
      <c r="AA15" s="1896">
        <v>1</v>
      </c>
      <c r="AB15" s="1896">
        <v>1</v>
      </c>
      <c r="AC15" s="1896">
        <v>1</v>
      </c>
    </row>
    <row r="16" spans="1:29" ht="41.4">
      <c r="A16" s="408"/>
      <c r="B16" s="615" t="s">
        <v>2470</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4"/>
      <c r="Q16" s="1892" t="str">
        <f>B16</f>
        <v>公共配套设施</v>
      </c>
      <c r="R16" s="752" t="s">
        <v>25</v>
      </c>
      <c r="S16" s="753">
        <f>F16</f>
        <v>100</v>
      </c>
      <c r="T16" s="752" t="s">
        <v>25</v>
      </c>
      <c r="U16" s="753">
        <f>H16</f>
        <v>100</v>
      </c>
      <c r="V16" s="752" t="s">
        <v>25</v>
      </c>
      <c r="W16" s="753">
        <f>J16</f>
        <v>100</v>
      </c>
      <c r="X16" s="1893"/>
      <c r="Y16" s="3064"/>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064"/>
      <c r="Q17" s="1892"/>
      <c r="R17" s="752"/>
      <c r="S17" s="753"/>
      <c r="T17" s="752"/>
      <c r="U17" s="753"/>
      <c r="V17" s="752"/>
      <c r="W17" s="753"/>
      <c r="X17" s="1893"/>
      <c r="Y17" s="3064"/>
      <c r="Z17" s="1895"/>
      <c r="AA17" s="1896">
        <v>1</v>
      </c>
      <c r="AB17" s="1896">
        <v>1</v>
      </c>
      <c r="AC17" s="1896">
        <v>1</v>
      </c>
    </row>
    <row r="18" spans="1:29" ht="41.4">
      <c r="A18" s="408"/>
      <c r="B18" s="617" t="s">
        <v>2471</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4"/>
      <c r="Q18" s="1892" t="str">
        <f>B18</f>
        <v>基础设施水平</v>
      </c>
      <c r="R18" s="752" t="s">
        <v>25</v>
      </c>
      <c r="S18" s="753">
        <f>F18</f>
        <v>100</v>
      </c>
      <c r="T18" s="752" t="s">
        <v>25</v>
      </c>
      <c r="U18" s="753">
        <f>H18</f>
        <v>100</v>
      </c>
      <c r="V18" s="752" t="s">
        <v>25</v>
      </c>
      <c r="W18" s="753">
        <f>J18</f>
        <v>100</v>
      </c>
      <c r="X18" s="1893"/>
      <c r="Y18" s="3064"/>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8"/>
      <c r="M19" s="1239"/>
      <c r="N19" s="1239"/>
      <c r="O19" s="1247"/>
      <c r="P19" s="3064"/>
      <c r="Q19" s="1892"/>
      <c r="R19" s="752"/>
      <c r="S19" s="753"/>
      <c r="T19" s="752"/>
      <c r="U19" s="753"/>
      <c r="V19" s="752"/>
      <c r="W19" s="753"/>
      <c r="X19" s="1893"/>
      <c r="Y19" s="3064"/>
      <c r="Z19" s="1895"/>
      <c r="AA19" s="1896">
        <v>1</v>
      </c>
      <c r="AB19" s="1896">
        <v>1</v>
      </c>
      <c r="AC19" s="1896">
        <v>1</v>
      </c>
    </row>
    <row r="20" spans="1:29" ht="55.2">
      <c r="A20" s="408"/>
      <c r="B20" s="431" t="s">
        <v>2499</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4"/>
      <c r="Q20" s="1892" t="str">
        <f>B20</f>
        <v>自然及人文环境</v>
      </c>
      <c r="R20" s="752" t="s">
        <v>25</v>
      </c>
      <c r="S20" s="753">
        <f>F20</f>
        <v>100</v>
      </c>
      <c r="T20" s="752" t="s">
        <v>25</v>
      </c>
      <c r="U20" s="753">
        <f>H20</f>
        <v>100</v>
      </c>
      <c r="V20" s="752" t="s">
        <v>25</v>
      </c>
      <c r="W20" s="753">
        <f>J20</f>
        <v>100</v>
      </c>
      <c r="X20" s="1893"/>
      <c r="Y20" s="3064"/>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064"/>
      <c r="Q21" s="1892"/>
      <c r="R21" s="752"/>
      <c r="S21" s="753"/>
      <c r="T21" s="752"/>
      <c r="U21" s="753"/>
      <c r="V21" s="752"/>
      <c r="W21" s="753"/>
      <c r="X21" s="1893"/>
      <c r="Y21" s="3064"/>
      <c r="Z21" s="1895"/>
      <c r="AA21" s="1896">
        <v>1</v>
      </c>
      <c r="AB21" s="1896">
        <v>1</v>
      </c>
      <c r="AC21" s="1896">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4"/>
      <c r="Q22" s="1892" t="str">
        <f>B22</f>
        <v>楼层</v>
      </c>
      <c r="R22" s="752" t="s">
        <v>25</v>
      </c>
      <c r="S22" s="753">
        <f>F22</f>
        <v>100</v>
      </c>
      <c r="T22" s="752" t="s">
        <v>25</v>
      </c>
      <c r="U22" s="753">
        <f>H22</f>
        <v>100</v>
      </c>
      <c r="V22" s="752" t="s">
        <v>25</v>
      </c>
      <c r="W22" s="753">
        <f>J22</f>
        <v>100</v>
      </c>
      <c r="X22" s="1893"/>
      <c r="Y22" s="3064"/>
      <c r="Z22" s="1895" t="str">
        <f>Q22</f>
        <v>楼层</v>
      </c>
      <c r="AA22" s="1896">
        <f t="shared" si="3"/>
        <v>1</v>
      </c>
      <c r="AB22" s="1896">
        <f t="shared" si="4"/>
        <v>1</v>
      </c>
      <c r="AC22" s="1896">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4"/>
      <c r="Q23" s="1892">
        <f>B23</f>
        <v>111</v>
      </c>
      <c r="R23" s="752" t="s">
        <v>25</v>
      </c>
      <c r="S23" s="753">
        <f>F23</f>
        <v>100</v>
      </c>
      <c r="T23" s="752" t="s">
        <v>25</v>
      </c>
      <c r="U23" s="753">
        <f>H23</f>
        <v>100</v>
      </c>
      <c r="V23" s="752" t="s">
        <v>25</v>
      </c>
      <c r="W23" s="753">
        <f>J23</f>
        <v>100</v>
      </c>
      <c r="X23" s="1893"/>
      <c r="Y23" s="3064"/>
      <c r="Z23" s="1895">
        <f>Q23</f>
        <v>111</v>
      </c>
      <c r="AA23" s="1896">
        <f t="shared" si="3"/>
        <v>1</v>
      </c>
      <c r="AB23" s="1896">
        <f t="shared" si="4"/>
        <v>1</v>
      </c>
      <c r="AC23" s="1896">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4"/>
      <c r="Q24" s="1892">
        <f t="shared" ref="Q24:Q34" si="11">B24</f>
        <v>111</v>
      </c>
      <c r="R24" s="752" t="s">
        <v>25</v>
      </c>
      <c r="S24" s="753">
        <f>F24</f>
        <v>100</v>
      </c>
      <c r="T24" s="752" t="s">
        <v>25</v>
      </c>
      <c r="U24" s="753">
        <f>H24</f>
        <v>100</v>
      </c>
      <c r="V24" s="752" t="s">
        <v>25</v>
      </c>
      <c r="W24" s="753">
        <f>J24</f>
        <v>100</v>
      </c>
      <c r="X24" s="1893"/>
      <c r="Y24" s="3064"/>
      <c r="Z24" s="1895">
        <f>Q24</f>
        <v>111</v>
      </c>
      <c r="AA24" s="1896">
        <f t="shared" si="3"/>
        <v>1</v>
      </c>
      <c r="AB24" s="1896">
        <f t="shared" si="4"/>
        <v>1</v>
      </c>
      <c r="AC24" s="1896">
        <f t="shared" si="5"/>
        <v>1</v>
      </c>
    </row>
    <row r="25" spans="1:29" s="35" customFormat="1" ht="15.6"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64"/>
      <c r="Q25" s="1880">
        <f t="shared" si="11"/>
        <v>111</v>
      </c>
      <c r="R25" s="748" t="s">
        <v>25</v>
      </c>
      <c r="S25" s="749">
        <f>F25</f>
        <v>100</v>
      </c>
      <c r="T25" s="748" t="s">
        <v>25</v>
      </c>
      <c r="U25" s="749">
        <f>H25</f>
        <v>100</v>
      </c>
      <c r="V25" s="748" t="s">
        <v>25</v>
      </c>
      <c r="W25" s="749">
        <f>J25</f>
        <v>100</v>
      </c>
      <c r="X25" s="750"/>
      <c r="Y25" s="3064"/>
      <c r="Z25" s="23">
        <f>Q25</f>
        <v>111</v>
      </c>
      <c r="AA25" s="1896">
        <f>D25/F25</f>
        <v>1</v>
      </c>
      <c r="AB25" s="1896">
        <f>D25/H25</f>
        <v>1</v>
      </c>
      <c r="AC25" s="1896">
        <f>D25/J25</f>
        <v>1</v>
      </c>
    </row>
    <row r="26" spans="1:29" ht="30">
      <c r="A26" s="447" t="s">
        <v>2359</v>
      </c>
      <c r="B26" s="28" t="s">
        <v>2503</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93" t="s">
        <v>2361</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68" t="s">
        <v>2361</v>
      </c>
      <c r="Z26" s="1895" t="str">
        <f t="shared" ref="Z26:Z34" si="15">Q26</f>
        <v>公共部分装修</v>
      </c>
      <c r="AA26" s="1896">
        <f t="shared" si="3"/>
        <v>1</v>
      </c>
      <c r="AB26" s="1896">
        <f t="shared" si="4"/>
        <v>1</v>
      </c>
      <c r="AC26" s="1896">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8"/>
      <c r="Q27" s="754" t="str">
        <f t="shared" si="11"/>
        <v>成新率</v>
      </c>
      <c r="R27" s="755" t="s">
        <v>25</v>
      </c>
      <c r="S27" s="756" t="e">
        <f t="shared" si="12"/>
        <v>#N/A</v>
      </c>
      <c r="T27" s="755" t="s">
        <v>25</v>
      </c>
      <c r="U27" s="756" t="e">
        <f t="shared" si="13"/>
        <v>#N/A</v>
      </c>
      <c r="V27" s="755" t="s">
        <v>25</v>
      </c>
      <c r="W27" s="756" t="e">
        <f t="shared" si="14"/>
        <v>#N/A</v>
      </c>
      <c r="X27" s="757"/>
      <c r="Y27" s="3068"/>
      <c r="Z27" s="758" t="str">
        <f t="shared" si="15"/>
        <v>成新率</v>
      </c>
      <c r="AA27" s="1896" t="e">
        <f t="shared" si="3"/>
        <v>#N/A</v>
      </c>
      <c r="AB27" s="1896" t="e">
        <f t="shared" si="4"/>
        <v>#N/A</v>
      </c>
      <c r="AC27" s="1896"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8"/>
      <c r="Q28" s="1892" t="str">
        <f t="shared" si="11"/>
        <v>物业等级</v>
      </c>
      <c r="R28" s="752" t="s">
        <v>25</v>
      </c>
      <c r="S28" s="753">
        <f t="shared" si="12"/>
        <v>100</v>
      </c>
      <c r="T28" s="752" t="s">
        <v>25</v>
      </c>
      <c r="U28" s="753">
        <f t="shared" si="13"/>
        <v>100</v>
      </c>
      <c r="V28" s="752" t="s">
        <v>25</v>
      </c>
      <c r="W28" s="753">
        <f t="shared" si="14"/>
        <v>100</v>
      </c>
      <c r="X28" s="1893"/>
      <c r="Y28" s="3068"/>
      <c r="Z28" s="1895" t="str">
        <f t="shared" si="15"/>
        <v>物业等级</v>
      </c>
      <c r="AA28" s="1896">
        <f t="shared" si="3"/>
        <v>1</v>
      </c>
      <c r="AB28" s="1896">
        <f t="shared" si="4"/>
        <v>1</v>
      </c>
      <c r="AC28" s="1896">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8"/>
      <c r="Q29" s="1892" t="str">
        <f t="shared" si="11"/>
        <v>有无电梯</v>
      </c>
      <c r="R29" s="752" t="s">
        <v>25</v>
      </c>
      <c r="S29" s="753">
        <f t="shared" si="12"/>
        <v>100</v>
      </c>
      <c r="T29" s="752" t="s">
        <v>25</v>
      </c>
      <c r="U29" s="753">
        <f t="shared" si="13"/>
        <v>100</v>
      </c>
      <c r="V29" s="752" t="s">
        <v>25</v>
      </c>
      <c r="W29" s="753">
        <f t="shared" si="14"/>
        <v>100</v>
      </c>
      <c r="X29" s="1893"/>
      <c r="Y29" s="3068"/>
      <c r="Z29" s="1895" t="str">
        <f t="shared" si="15"/>
        <v>有无电梯</v>
      </c>
      <c r="AA29" s="1896">
        <f t="shared" si="3"/>
        <v>1</v>
      </c>
      <c r="AB29" s="1896">
        <f t="shared" si="4"/>
        <v>1</v>
      </c>
      <c r="AC29" s="1896">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8"/>
      <c r="Q30" s="1892" t="str">
        <f t="shared" si="11"/>
        <v>建筑面积</v>
      </c>
      <c r="R30" s="752" t="s">
        <v>25</v>
      </c>
      <c r="S30" s="753" t="e">
        <f t="shared" si="12"/>
        <v>#N/A</v>
      </c>
      <c r="T30" s="752" t="s">
        <v>25</v>
      </c>
      <c r="U30" s="753" t="e">
        <f t="shared" si="13"/>
        <v>#N/A</v>
      </c>
      <c r="V30" s="752" t="s">
        <v>25</v>
      </c>
      <c r="W30" s="753" t="e">
        <f t="shared" si="14"/>
        <v>#N/A</v>
      </c>
      <c r="X30" s="1893"/>
      <c r="Y30" s="3068"/>
      <c r="Z30" s="1895" t="str">
        <f t="shared" si="15"/>
        <v>建筑面积</v>
      </c>
      <c r="AA30" s="1896" t="e">
        <f t="shared" si="3"/>
        <v>#N/A</v>
      </c>
      <c r="AB30" s="1896" t="e">
        <f t="shared" si="4"/>
        <v>#N/A</v>
      </c>
      <c r="AC30" s="1896"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8"/>
      <c r="Q31" s="1880" t="str">
        <f t="shared" si="11"/>
        <v>是否封闭</v>
      </c>
      <c r="R31" s="748" t="s">
        <v>25</v>
      </c>
      <c r="S31" s="749">
        <f t="shared" si="12"/>
        <v>100</v>
      </c>
      <c r="T31" s="748" t="s">
        <v>25</v>
      </c>
      <c r="U31" s="749">
        <f t="shared" si="13"/>
        <v>100</v>
      </c>
      <c r="V31" s="748" t="s">
        <v>25</v>
      </c>
      <c r="W31" s="749">
        <f t="shared" si="14"/>
        <v>100</v>
      </c>
      <c r="X31" s="750"/>
      <c r="Y31" s="3068"/>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8" t="s">
        <v>2361</v>
      </c>
      <c r="Q32" s="1892">
        <f t="shared" si="11"/>
        <v>111</v>
      </c>
      <c r="R32" s="752" t="s">
        <v>25</v>
      </c>
      <c r="S32" s="753">
        <f t="shared" si="12"/>
        <v>100</v>
      </c>
      <c r="T32" s="752" t="s">
        <v>25</v>
      </c>
      <c r="U32" s="753">
        <f t="shared" si="13"/>
        <v>100</v>
      </c>
      <c r="V32" s="752" t="s">
        <v>25</v>
      </c>
      <c r="W32" s="753">
        <f t="shared" si="14"/>
        <v>100</v>
      </c>
      <c r="X32" s="1893"/>
      <c r="Y32" s="3068" t="s">
        <v>2361</v>
      </c>
      <c r="Z32" s="1895">
        <f t="shared" si="15"/>
        <v>111</v>
      </c>
      <c r="AA32" s="1896">
        <f t="shared" si="3"/>
        <v>1</v>
      </c>
      <c r="AB32" s="1896">
        <f t="shared" si="4"/>
        <v>1</v>
      </c>
      <c r="AC32" s="1896">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8"/>
      <c r="Q33" s="1892">
        <f t="shared" si="11"/>
        <v>111</v>
      </c>
      <c r="R33" s="752" t="s">
        <v>25</v>
      </c>
      <c r="S33" s="753">
        <f t="shared" si="12"/>
        <v>100</v>
      </c>
      <c r="T33" s="752" t="s">
        <v>25</v>
      </c>
      <c r="U33" s="753">
        <f t="shared" si="13"/>
        <v>100</v>
      </c>
      <c r="V33" s="752" t="s">
        <v>25</v>
      </c>
      <c r="W33" s="753">
        <f t="shared" si="14"/>
        <v>100</v>
      </c>
      <c r="X33" s="1893"/>
      <c r="Y33" s="3068"/>
      <c r="Z33" s="1895">
        <f t="shared" si="15"/>
        <v>111</v>
      </c>
      <c r="AA33" s="1896">
        <f t="shared" si="3"/>
        <v>1</v>
      </c>
      <c r="AB33" s="1896">
        <f t="shared" si="4"/>
        <v>1</v>
      </c>
      <c r="AC33" s="1896">
        <f t="shared" si="5"/>
        <v>1</v>
      </c>
    </row>
    <row r="34" spans="1:29" ht="15.6"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68"/>
      <c r="Q34" s="1892">
        <f t="shared" si="11"/>
        <v>111</v>
      </c>
      <c r="R34" s="752" t="s">
        <v>25</v>
      </c>
      <c r="S34" s="753">
        <f t="shared" si="12"/>
        <v>100</v>
      </c>
      <c r="T34" s="752" t="s">
        <v>25</v>
      </c>
      <c r="U34" s="753">
        <f t="shared" si="13"/>
        <v>100</v>
      </c>
      <c r="V34" s="752" t="s">
        <v>25</v>
      </c>
      <c r="W34" s="753">
        <f t="shared" si="14"/>
        <v>100</v>
      </c>
      <c r="X34" s="1893"/>
      <c r="Y34" s="3068"/>
      <c r="Z34" s="1895">
        <f t="shared" si="15"/>
        <v>111</v>
      </c>
      <c r="AA34" s="1896">
        <f t="shared" si="3"/>
        <v>1</v>
      </c>
      <c r="AB34" s="1896">
        <f t="shared" si="4"/>
        <v>1</v>
      </c>
      <c r="AC34" s="1896">
        <f t="shared" si="5"/>
        <v>1</v>
      </c>
    </row>
    <row r="35" spans="1:29" ht="14.4">
      <c r="A35" s="460" t="s">
        <v>2373</v>
      </c>
      <c r="B35" s="461"/>
      <c r="C35" s="1496" t="s">
        <v>1</v>
      </c>
      <c r="D35" s="1497"/>
      <c r="E35" s="1498"/>
      <c r="F35" s="1499"/>
      <c r="G35" s="1500"/>
      <c r="H35" s="1501"/>
      <c r="I35" s="1498"/>
      <c r="J35" s="1501"/>
      <c r="K35" s="761"/>
      <c r="L35" s="1251"/>
      <c r="M35" s="1252"/>
      <c r="N35" s="1239"/>
      <c r="O35" s="1252"/>
      <c r="P35" s="3074" t="str">
        <f>A35</f>
        <v>成交单价（元/平方米）</v>
      </c>
      <c r="Q35" s="3074"/>
      <c r="R35" s="3075">
        <f>E35</f>
        <v>0</v>
      </c>
      <c r="S35" s="3075"/>
      <c r="T35" s="3075">
        <f>G35</f>
        <v>0</v>
      </c>
      <c r="U35" s="3075"/>
      <c r="V35" s="3075">
        <f>I35</f>
        <v>0</v>
      </c>
      <c r="W35" s="3075"/>
      <c r="X35" s="737"/>
      <c r="Y35" s="759"/>
      <c r="Z35" s="737"/>
      <c r="AA35" s="737"/>
      <c r="AB35" s="737"/>
      <c r="AC35" s="737"/>
    </row>
    <row r="36" spans="1:29" ht="15" thickBot="1">
      <c r="A36" s="467" t="s">
        <v>2456</v>
      </c>
      <c r="B36" s="468"/>
      <c r="C36" s="1502" t="e">
        <f>R37</f>
        <v>#DIV/0!</v>
      </c>
      <c r="D36" s="1503"/>
      <c r="E36" s="1504" t="e">
        <f>R36</f>
        <v>#DIV/0!</v>
      </c>
      <c r="F36" s="1504"/>
      <c r="G36" s="1502" t="e">
        <f>T36</f>
        <v>#DIV/0!</v>
      </c>
      <c r="H36" s="1503"/>
      <c r="I36" s="1504" t="e">
        <f>V36</f>
        <v>#DIV/0!</v>
      </c>
      <c r="J36" s="1503"/>
      <c r="K36" s="762"/>
      <c r="L36" s="1251"/>
      <c r="M36" s="1252"/>
      <c r="N36" s="1239"/>
      <c r="O36" s="1252"/>
      <c r="P36" s="3074" t="str">
        <f>A36</f>
        <v>比较价值（元/平方米）</v>
      </c>
      <c r="Q36" s="3074"/>
      <c r="R36" s="3075" t="e">
        <f>IF(E1="售价",ROUND(PRODUCT(R35,AA7:AA34),0),ROUND(PRODUCT(R35,AA7:AA34),1))</f>
        <v>#DIV/0!</v>
      </c>
      <c r="S36" s="3075"/>
      <c r="T36" s="3075" t="e">
        <f>IF(E1="售价",ROUND(PRODUCT(T35,AB7:AB34),0),ROUND(PRODUCT(T35,AB7:AB34),1))</f>
        <v>#DIV/0!</v>
      </c>
      <c r="U36" s="3075"/>
      <c r="V36" s="3075" t="e">
        <f>IF(E1="售价",ROUND(PRODUCT(V35,AC7:AC34),0),ROUND(PRODUCT(V35,AC7:AC34),1))</f>
        <v>#DIV/0!</v>
      </c>
      <c r="W36" s="3075"/>
      <c r="X36" s="737"/>
      <c r="Y36" s="737"/>
      <c r="Z36" s="737"/>
      <c r="AA36" s="737"/>
      <c r="AB36" s="737"/>
      <c r="AC36" s="737"/>
    </row>
    <row r="37" spans="1:29" ht="15" thickBot="1">
      <c r="A37" s="473" t="s">
        <v>2479</v>
      </c>
      <c r="B37" s="474"/>
      <c r="C37" s="1506" t="e">
        <f>R37</f>
        <v>#DIV/0!</v>
      </c>
      <c r="D37" s="1506"/>
      <c r="E37" s="1506"/>
      <c r="F37" s="1506"/>
      <c r="G37" s="1506"/>
      <c r="H37" s="1506"/>
      <c r="I37" s="1506"/>
      <c r="J37" s="1506"/>
      <c r="K37" s="763"/>
      <c r="L37" s="1251"/>
      <c r="M37" s="1252"/>
      <c r="N37" s="1252"/>
      <c r="O37" s="1252"/>
      <c r="P37" s="3080" t="str">
        <f>A37</f>
        <v>估价对象XX用房的比较价值（楼面单价，元/平方米）</v>
      </c>
      <c r="Q37" s="3081"/>
      <c r="R37" s="3082" t="e">
        <f>IF(E1="售价",ROUND(AVERAGE(R36:V36),0),ROUND(AVERAGE(R36:V36),1))</f>
        <v>#DIV/0!</v>
      </c>
      <c r="S37" s="3082"/>
      <c r="T37" s="3082"/>
      <c r="U37" s="3082"/>
      <c r="V37" s="3082"/>
      <c r="W37" s="3082"/>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2461</v>
      </c>
      <c r="B45" s="737"/>
      <c r="C45" s="742"/>
      <c r="D45" s="742"/>
      <c r="E45" s="742"/>
      <c r="F45" s="743"/>
      <c r="G45" s="743"/>
      <c r="H45" s="742"/>
      <c r="I45" s="742"/>
      <c r="J45" s="742"/>
      <c r="K45" s="744"/>
      <c r="L45" s="745"/>
      <c r="M45" s="742"/>
      <c r="N45" s="742"/>
      <c r="O45" s="742"/>
      <c r="P45" s="484"/>
      <c r="Q45" s="485"/>
    </row>
    <row r="46" spans="1:29" s="489" customFormat="1" ht="14.4">
      <c r="A46" s="486" t="s">
        <v>2343</v>
      </c>
      <c r="B46" s="487"/>
      <c r="C46" s="1672" t="str">
        <f>YEAR(C7)&amp;"-"&amp;MONTH(C7)</f>
        <v>2020-4</v>
      </c>
      <c r="D46" s="1673">
        <f>EDATE(C46,-1)</f>
        <v>43891</v>
      </c>
      <c r="E46" s="1673">
        <f t="shared" ref="E46:O46" si="16">EDATE(D46,-1)</f>
        <v>43862</v>
      </c>
      <c r="F46" s="1673">
        <f t="shared" si="16"/>
        <v>43831</v>
      </c>
      <c r="G46" s="1673">
        <f t="shared" si="16"/>
        <v>43800</v>
      </c>
      <c r="H46" s="1673">
        <f t="shared" si="16"/>
        <v>43770</v>
      </c>
      <c r="I46" s="1673">
        <f t="shared" si="16"/>
        <v>43739</v>
      </c>
      <c r="J46" s="1673">
        <f t="shared" si="16"/>
        <v>43709</v>
      </c>
      <c r="K46" s="1673">
        <f t="shared" si="16"/>
        <v>43678</v>
      </c>
      <c r="L46" s="1673">
        <f t="shared" si="16"/>
        <v>43647</v>
      </c>
      <c r="M46" s="1673">
        <f t="shared" si="16"/>
        <v>43617</v>
      </c>
      <c r="N46" s="1673">
        <f t="shared" si="16"/>
        <v>43586</v>
      </c>
      <c r="O46" s="1673">
        <f t="shared" si="16"/>
        <v>43556</v>
      </c>
      <c r="P46" s="488"/>
    </row>
    <row r="47" spans="1:29" s="35" customFormat="1">
      <c r="A47" s="490"/>
      <c r="B47" s="491"/>
      <c r="C47" s="1671">
        <v>100</v>
      </c>
      <c r="D47" s="493"/>
      <c r="E47" s="493"/>
      <c r="F47" s="493"/>
      <c r="G47" s="493"/>
      <c r="H47" s="493"/>
      <c r="I47" s="493"/>
      <c r="J47" s="493"/>
      <c r="K47" s="493"/>
      <c r="L47" s="493"/>
      <c r="M47" s="494"/>
      <c r="N47" s="493"/>
      <c r="O47" s="495"/>
      <c r="P47" s="485"/>
    </row>
    <row r="48" spans="1:29" s="35" customFormat="1" ht="15" thickBot="1">
      <c r="A48" s="496" t="s">
        <v>2381</v>
      </c>
      <c r="B48" s="497"/>
      <c r="C48" s="498"/>
      <c r="D48" s="499"/>
      <c r="E48" s="499"/>
      <c r="F48" s="499"/>
      <c r="G48" s="499"/>
      <c r="H48" s="499"/>
      <c r="I48" s="499"/>
      <c r="J48" s="499"/>
      <c r="K48" s="499"/>
      <c r="L48" s="499"/>
      <c r="M48" s="500"/>
      <c r="N48" s="499"/>
      <c r="O48" s="501"/>
      <c r="P48" s="485"/>
      <c r="Q48" s="485"/>
    </row>
    <row r="49" spans="1:17" s="35" customFormat="1" ht="14.4">
      <c r="A49" s="502" t="s">
        <v>2345</v>
      </c>
      <c r="B49" s="491"/>
      <c r="C49" s="503" t="s">
        <v>2346</v>
      </c>
      <c r="D49" s="504"/>
      <c r="E49" s="504"/>
      <c r="F49" s="504"/>
      <c r="G49" s="504"/>
      <c r="H49" s="504"/>
      <c r="I49" s="504"/>
      <c r="J49" s="504"/>
      <c r="K49" s="504"/>
      <c r="L49" s="505"/>
      <c r="M49" s="506"/>
      <c r="N49" s="1261"/>
      <c r="O49" s="1261"/>
      <c r="P49" s="507"/>
      <c r="Q49" s="485"/>
    </row>
    <row r="50" spans="1:17" s="35" customFormat="1" ht="14.4" thickBot="1">
      <c r="A50" s="502"/>
      <c r="B50" s="491"/>
      <c r="C50" s="623">
        <v>100</v>
      </c>
      <c r="D50" s="493"/>
      <c r="E50" s="493"/>
      <c r="F50" s="493"/>
      <c r="G50" s="493"/>
      <c r="H50" s="493"/>
      <c r="I50" s="493"/>
      <c r="J50" s="493"/>
      <c r="K50" s="493"/>
      <c r="L50" s="493"/>
      <c r="M50" s="495"/>
      <c r="N50" s="1261"/>
      <c r="O50" s="1261"/>
      <c r="P50" s="485"/>
      <c r="Q50" s="485"/>
    </row>
    <row r="51" spans="1:17" ht="14.4">
      <c r="A51" s="508" t="s">
        <v>2384</v>
      </c>
      <c r="B51" s="509" t="s">
        <v>2349</v>
      </c>
      <c r="C51" s="510">
        <f>C9</f>
        <v>0</v>
      </c>
      <c r="D51" s="511"/>
      <c r="E51" s="511"/>
      <c r="F51" s="511"/>
      <c r="G51" s="511"/>
      <c r="H51" s="511"/>
      <c r="I51" s="511"/>
      <c r="J51" s="511"/>
      <c r="K51" s="512"/>
      <c r="L51" s="513"/>
      <c r="M51" s="514"/>
      <c r="N51" s="1262"/>
      <c r="O51" s="1262"/>
      <c r="P51" s="22"/>
      <c r="Q51" s="485"/>
    </row>
    <row r="52" spans="1:17" ht="14.4" thickBot="1">
      <c r="A52" s="516"/>
      <c r="B52" s="517"/>
      <c r="C52" s="518">
        <v>100</v>
      </c>
      <c r="D52" s="518"/>
      <c r="E52" s="518"/>
      <c r="F52" s="518"/>
      <c r="G52" s="518"/>
      <c r="H52" s="518"/>
      <c r="I52" s="518"/>
      <c r="J52" s="518"/>
      <c r="K52" s="518"/>
      <c r="L52" s="518"/>
      <c r="M52" s="519"/>
      <c r="N52" s="1263"/>
      <c r="O52" s="1263"/>
      <c r="P52" s="22"/>
      <c r="Q52" s="485"/>
    </row>
    <row r="53" spans="1:17" ht="29.4" thickTop="1">
      <c r="A53" s="516"/>
      <c r="B53" s="521" t="s">
        <v>2352</v>
      </c>
      <c r="C53" s="522" t="s">
        <v>2385</v>
      </c>
      <c r="D53" s="522" t="s">
        <v>2386</v>
      </c>
      <c r="E53" s="522" t="s">
        <v>2387</v>
      </c>
      <c r="F53" s="522" t="s">
        <v>2388</v>
      </c>
      <c r="G53" s="522" t="s">
        <v>2389</v>
      </c>
      <c r="H53" s="522" t="s">
        <v>2390</v>
      </c>
      <c r="I53" s="522" t="s">
        <v>2391</v>
      </c>
      <c r="J53" s="522"/>
      <c r="K53" s="523"/>
      <c r="L53" s="524"/>
      <c r="M53" s="525"/>
      <c r="N53" s="1262"/>
      <c r="O53" s="1262"/>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4.4" thickTop="1">
      <c r="A55" s="516"/>
      <c r="B55" s="643">
        <f>B11</f>
        <v>111</v>
      </c>
      <c r="C55" s="532"/>
      <c r="D55" s="532"/>
      <c r="E55" s="532"/>
      <c r="F55" s="532"/>
      <c r="G55" s="532"/>
      <c r="H55" s="532"/>
      <c r="I55" s="532"/>
      <c r="J55" s="532"/>
      <c r="K55" s="533"/>
      <c r="L55" s="534"/>
      <c r="M55" s="535"/>
      <c r="N55" s="1262"/>
      <c r="O55" s="1262"/>
      <c r="P55" s="22"/>
      <c r="Q55" s="485"/>
    </row>
    <row r="56" spans="1:17" ht="14.4" thickBot="1">
      <c r="A56" s="516"/>
      <c r="B56" s="517"/>
      <c r="C56" s="544"/>
      <c r="D56" s="518"/>
      <c r="E56" s="518"/>
      <c r="F56" s="518"/>
      <c r="G56" s="518"/>
      <c r="H56" s="518"/>
      <c r="I56" s="518"/>
      <c r="J56" s="518"/>
      <c r="K56" s="518"/>
      <c r="L56" s="518"/>
      <c r="M56" s="519"/>
      <c r="N56" s="1263"/>
      <c r="O56" s="1263"/>
      <c r="P56" s="22"/>
      <c r="Q56" s="485"/>
    </row>
    <row r="57" spans="1:17" s="452" customFormat="1" ht="14.4" thickTop="1">
      <c r="A57" s="536"/>
      <c r="B57" s="521">
        <f>B12</f>
        <v>111</v>
      </c>
      <c r="C57" s="532"/>
      <c r="D57" s="532"/>
      <c r="E57" s="532"/>
      <c r="F57" s="532"/>
      <c r="G57" s="537"/>
      <c r="H57" s="538"/>
      <c r="I57" s="538"/>
      <c r="J57" s="538"/>
      <c r="K57" s="538"/>
      <c r="L57" s="539"/>
      <c r="M57" s="540"/>
      <c r="N57" s="1264"/>
      <c r="O57" s="1264"/>
      <c r="P57" s="542"/>
      <c r="Q57" s="543"/>
    </row>
    <row r="58" spans="1:17" s="452" customFormat="1" ht="14.4" thickBot="1">
      <c r="A58" s="536"/>
      <c r="B58" s="526"/>
      <c r="C58" s="544"/>
      <c r="D58" s="518"/>
      <c r="E58" s="518"/>
      <c r="F58" s="518"/>
      <c r="G58" s="518"/>
      <c r="H58" s="518"/>
      <c r="I58" s="518"/>
      <c r="J58" s="518"/>
      <c r="K58" s="518"/>
      <c r="L58" s="518"/>
      <c r="M58" s="519"/>
      <c r="N58" s="1263"/>
      <c r="O58" s="1263"/>
      <c r="P58" s="542"/>
      <c r="Q58" s="543"/>
    </row>
    <row r="59" spans="1:17" s="452" customFormat="1" ht="14.4" thickTop="1">
      <c r="A59" s="536"/>
      <c r="B59" s="521">
        <f>B13</f>
        <v>111</v>
      </c>
      <c r="C59" s="532"/>
      <c r="D59" s="532"/>
      <c r="E59" s="532"/>
      <c r="F59" s="532"/>
      <c r="G59" s="537"/>
      <c r="H59" s="538"/>
      <c r="I59" s="538"/>
      <c r="J59" s="538"/>
      <c r="K59" s="538"/>
      <c r="L59" s="539"/>
      <c r="M59" s="540"/>
      <c r="N59" s="1264"/>
      <c r="O59" s="1264"/>
      <c r="P59" s="451"/>
      <c r="Q59" s="545"/>
    </row>
    <row r="60" spans="1:17" s="452" customFormat="1" ht="14.4" thickBot="1">
      <c r="A60" s="536"/>
      <c r="B60" s="526"/>
      <c r="C60" s="544"/>
      <c r="D60" s="544"/>
      <c r="E60" s="544"/>
      <c r="F60" s="544"/>
      <c r="G60" s="544"/>
      <c r="H60" s="546"/>
      <c r="I60" s="546"/>
      <c r="J60" s="546"/>
      <c r="K60" s="546"/>
      <c r="L60" s="546"/>
      <c r="M60" s="547"/>
      <c r="N60" s="1264"/>
      <c r="O60" s="1264"/>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2"/>
      <c r="O61" s="1262"/>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 thickTop="1">
      <c r="A63" s="516"/>
      <c r="B63" s="521" t="s">
        <v>2399</v>
      </c>
      <c r="C63" s="562" t="s">
        <v>2393</v>
      </c>
      <c r="D63" s="562" t="s">
        <v>2394</v>
      </c>
      <c r="E63" s="562" t="s">
        <v>2395</v>
      </c>
      <c r="F63" s="562" t="s">
        <v>2396</v>
      </c>
      <c r="G63" s="562" t="s">
        <v>2397</v>
      </c>
      <c r="H63" s="522"/>
      <c r="I63" s="522"/>
      <c r="J63" s="522"/>
      <c r="K63" s="523"/>
      <c r="L63" s="524"/>
      <c r="M63" s="525"/>
      <c r="N63" s="1262"/>
      <c r="O63" s="1262"/>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 thickTop="1">
      <c r="A65" s="516"/>
      <c r="B65" s="529" t="s">
        <v>2471</v>
      </c>
      <c r="C65" s="522" t="s">
        <v>2400</v>
      </c>
      <c r="D65" s="522" t="s">
        <v>2401</v>
      </c>
      <c r="E65" s="522" t="s">
        <v>2402</v>
      </c>
      <c r="F65" s="522" t="s">
        <v>2403</v>
      </c>
      <c r="G65" s="522" t="s">
        <v>2404</v>
      </c>
      <c r="H65" s="522"/>
      <c r="I65" s="522"/>
      <c r="J65" s="522"/>
      <c r="K65" s="522"/>
      <c r="L65" s="522"/>
      <c r="M65" s="1461"/>
      <c r="N65" s="1263"/>
      <c r="O65" s="1263"/>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 thickTop="1">
      <c r="A67" s="516"/>
      <c r="B67" s="521" t="s">
        <v>2405</v>
      </c>
      <c r="C67" s="562" t="s">
        <v>2393</v>
      </c>
      <c r="D67" s="562" t="s">
        <v>2394</v>
      </c>
      <c r="E67" s="562" t="s">
        <v>2395</v>
      </c>
      <c r="F67" s="562" t="s">
        <v>2396</v>
      </c>
      <c r="G67" s="562" t="s">
        <v>2397</v>
      </c>
      <c r="H67" s="522"/>
      <c r="I67" s="522"/>
      <c r="J67" s="522"/>
      <c r="K67" s="523"/>
      <c r="L67" s="524"/>
      <c r="M67" s="525"/>
      <c r="N67" s="1262"/>
      <c r="O67" s="1262"/>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 thickTop="1">
      <c r="A69" s="516"/>
      <c r="B69" s="521" t="s">
        <v>2518</v>
      </c>
      <c r="C69" s="537"/>
      <c r="D69" s="537"/>
      <c r="E69" s="537"/>
      <c r="F69" s="537"/>
      <c r="G69" s="537"/>
      <c r="H69" s="567"/>
      <c r="I69" s="567"/>
      <c r="J69" s="567"/>
      <c r="K69" s="568"/>
      <c r="L69" s="569"/>
      <c r="M69" s="570"/>
      <c r="N69" s="1262"/>
      <c r="O69" s="1262"/>
      <c r="P69" s="22"/>
      <c r="Q69" s="485"/>
    </row>
    <row r="70" spans="1:17" ht="14.4"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4.4" thickTop="1">
      <c r="A71" s="563"/>
      <c r="B71" s="521">
        <f>B23</f>
        <v>111</v>
      </c>
      <c r="C71" s="532"/>
      <c r="D71" s="532"/>
      <c r="E71" s="532"/>
      <c r="F71" s="532"/>
      <c r="G71" s="537"/>
      <c r="H71" s="537"/>
      <c r="I71" s="537"/>
      <c r="J71" s="537"/>
      <c r="K71" s="537"/>
      <c r="L71" s="564"/>
      <c r="M71" s="565"/>
      <c r="N71" s="1261"/>
      <c r="O71" s="1261"/>
      <c r="P71" s="22"/>
      <c r="Q71" s="485"/>
    </row>
    <row r="72" spans="1:17" s="35" customFormat="1" ht="14.4" thickBot="1">
      <c r="A72" s="563"/>
      <c r="B72" s="526"/>
      <c r="C72" s="544"/>
      <c r="D72" s="518"/>
      <c r="E72" s="518"/>
      <c r="F72" s="518"/>
      <c r="G72" s="518"/>
      <c r="H72" s="518"/>
      <c r="I72" s="518"/>
      <c r="J72" s="518"/>
      <c r="K72" s="518"/>
      <c r="L72" s="518"/>
      <c r="M72" s="519"/>
      <c r="N72" s="1263"/>
      <c r="O72" s="1263"/>
      <c r="P72" s="22"/>
      <c r="Q72" s="485"/>
    </row>
    <row r="73" spans="1:17" s="35" customFormat="1" ht="14.4" thickTop="1">
      <c r="A73" s="563"/>
      <c r="B73" s="521">
        <f>B24</f>
        <v>111</v>
      </c>
      <c r="C73" s="532"/>
      <c r="D73" s="532"/>
      <c r="E73" s="532"/>
      <c r="F73" s="532"/>
      <c r="G73" s="537"/>
      <c r="H73" s="537"/>
      <c r="I73" s="537"/>
      <c r="J73" s="537"/>
      <c r="K73" s="537"/>
      <c r="L73" s="537"/>
      <c r="M73" s="565"/>
      <c r="N73" s="1261"/>
      <c r="O73" s="1261"/>
      <c r="P73" s="22"/>
      <c r="Q73" s="485"/>
    </row>
    <row r="74" spans="1:17" s="35" customFormat="1" ht="14.4" thickBot="1">
      <c r="A74" s="563"/>
      <c r="B74" s="526"/>
      <c r="C74" s="544"/>
      <c r="D74" s="518"/>
      <c r="E74" s="518"/>
      <c r="F74" s="518"/>
      <c r="G74" s="518"/>
      <c r="H74" s="518"/>
      <c r="I74" s="518"/>
      <c r="J74" s="518"/>
      <c r="K74" s="518"/>
      <c r="L74" s="518"/>
      <c r="M74" s="519"/>
      <c r="N74" s="1263"/>
      <c r="O74" s="1263"/>
      <c r="P74" s="22"/>
      <c r="Q74" s="485"/>
    </row>
    <row r="75" spans="1:17" s="452" customFormat="1" ht="14.4" thickTop="1">
      <c r="A75" s="536"/>
      <c r="B75" s="521">
        <f>B25</f>
        <v>111</v>
      </c>
      <c r="C75" s="532"/>
      <c r="D75" s="532"/>
      <c r="E75" s="532"/>
      <c r="F75" s="532"/>
      <c r="G75" s="537"/>
      <c r="H75" s="538"/>
      <c r="I75" s="538"/>
      <c r="J75" s="538"/>
      <c r="K75" s="538"/>
      <c r="L75" s="539"/>
      <c r="M75" s="540"/>
      <c r="N75" s="1264"/>
      <c r="O75" s="1264"/>
      <c r="P75" s="542"/>
      <c r="Q75" s="543"/>
    </row>
    <row r="76" spans="1:17" s="452" customFormat="1" ht="14.4" thickBot="1">
      <c r="A76" s="536"/>
      <c r="B76" s="526"/>
      <c r="C76" s="544"/>
      <c r="D76" s="544"/>
      <c r="E76" s="544"/>
      <c r="F76" s="544"/>
      <c r="G76" s="518"/>
      <c r="H76" s="518"/>
      <c r="I76" s="518"/>
      <c r="J76" s="518"/>
      <c r="K76" s="518"/>
      <c r="L76" s="518"/>
      <c r="M76" s="519"/>
      <c r="N76" s="1264"/>
      <c r="O76" s="1264"/>
      <c r="P76" s="542"/>
      <c r="Q76" s="543"/>
    </row>
    <row r="77" spans="1:17" ht="15" thickTop="1">
      <c r="A77" s="508" t="s">
        <v>2359</v>
      </c>
      <c r="B77" s="509" t="s">
        <v>2412</v>
      </c>
      <c r="C77" s="537"/>
      <c r="D77" s="537"/>
      <c r="E77" s="511"/>
      <c r="F77" s="511"/>
      <c r="G77" s="511"/>
      <c r="H77" s="511"/>
      <c r="I77" s="511"/>
      <c r="J77" s="511"/>
      <c r="K77" s="512"/>
      <c r="L77" s="513"/>
      <c r="M77" s="514"/>
      <c r="N77" s="1262"/>
      <c r="O77" s="1262"/>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2522</v>
      </c>
      <c r="C82" s="537"/>
      <c r="D82" s="537"/>
      <c r="E82" s="567"/>
      <c r="F82" s="567"/>
      <c r="G82" s="567"/>
      <c r="H82" s="567"/>
      <c r="I82" s="567"/>
      <c r="J82" s="567"/>
      <c r="K82" s="568"/>
      <c r="L82" s="569"/>
      <c r="M82" s="570"/>
      <c r="N82" s="1262"/>
      <c r="O82" s="1262"/>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2529</v>
      </c>
      <c r="C84" s="537"/>
      <c r="D84" s="537"/>
      <c r="E84" s="537"/>
      <c r="F84" s="537"/>
      <c r="G84" s="537"/>
      <c r="H84" s="537"/>
      <c r="I84" s="567"/>
      <c r="J84" s="567"/>
      <c r="K84" s="568"/>
      <c r="L84" s="569"/>
      <c r="M84" s="570"/>
      <c r="N84" s="1262"/>
      <c r="O84" s="1262"/>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4.4"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2531</v>
      </c>
      <c r="C89" s="537"/>
      <c r="D89" s="537"/>
      <c r="E89" s="537"/>
      <c r="F89" s="537"/>
      <c r="G89" s="537"/>
      <c r="H89" s="537"/>
      <c r="I89" s="537"/>
      <c r="J89" s="537"/>
      <c r="K89" s="537"/>
      <c r="L89" s="537"/>
      <c r="M89" s="565"/>
      <c r="N89" s="1264"/>
      <c r="O89" s="1264"/>
      <c r="P89" s="542"/>
      <c r="Q89" s="543"/>
    </row>
    <row r="90" spans="1:17" s="452" customFormat="1" ht="14.4" thickBot="1">
      <c r="A90" s="536"/>
      <c r="B90" s="526"/>
      <c r="C90" s="544"/>
      <c r="D90" s="518"/>
      <c r="E90" s="518"/>
      <c r="F90" s="518"/>
      <c r="G90" s="518"/>
      <c r="H90" s="518"/>
      <c r="I90" s="518"/>
      <c r="J90" s="518"/>
      <c r="K90" s="518"/>
      <c r="L90" s="518"/>
      <c r="M90" s="519"/>
      <c r="N90" s="1264"/>
      <c r="O90" s="1264"/>
      <c r="P90" s="542"/>
      <c r="Q90" s="543"/>
    </row>
    <row r="91" spans="1:17" ht="14.4" thickTop="1">
      <c r="A91" s="583"/>
      <c r="B91" s="521">
        <f>B32</f>
        <v>111</v>
      </c>
      <c r="C91" s="532"/>
      <c r="D91" s="532"/>
      <c r="E91" s="532"/>
      <c r="F91" s="532"/>
      <c r="G91" s="537"/>
      <c r="H91" s="538"/>
      <c r="I91" s="538"/>
      <c r="J91" s="538"/>
      <c r="K91" s="538"/>
      <c r="L91" s="539"/>
      <c r="M91" s="540"/>
      <c r="N91" s="1262"/>
      <c r="O91" s="1262"/>
      <c r="P91" s="22"/>
      <c r="Q91" s="485"/>
    </row>
    <row r="92" spans="1:17" ht="14.4" thickBot="1">
      <c r="A92" s="516"/>
      <c r="B92" s="526"/>
      <c r="C92" s="544"/>
      <c r="D92" s="518"/>
      <c r="E92" s="518"/>
      <c r="F92" s="518"/>
      <c r="G92" s="544"/>
      <c r="H92" s="546"/>
      <c r="I92" s="546"/>
      <c r="J92" s="546"/>
      <c r="K92" s="546"/>
      <c r="L92" s="546"/>
      <c r="M92" s="547"/>
      <c r="N92" s="1263"/>
      <c r="O92" s="1263"/>
      <c r="P92" s="22"/>
      <c r="Q92" s="485"/>
    </row>
    <row r="93" spans="1:17" ht="14.4" thickTop="1">
      <c r="A93" s="583"/>
      <c r="B93" s="521">
        <f>B33</f>
        <v>111</v>
      </c>
      <c r="C93" s="532"/>
      <c r="D93" s="532"/>
      <c r="E93" s="532"/>
      <c r="F93" s="532"/>
      <c r="G93" s="537"/>
      <c r="H93" s="538"/>
      <c r="I93" s="538"/>
      <c r="J93" s="538"/>
      <c r="K93" s="538"/>
      <c r="L93" s="539"/>
      <c r="M93" s="540"/>
      <c r="N93" s="1262"/>
      <c r="O93" s="1262"/>
      <c r="P93" s="22"/>
      <c r="Q93" s="485"/>
    </row>
    <row r="94" spans="1:17" ht="14.4" thickBot="1">
      <c r="A94" s="516"/>
      <c r="B94" s="526"/>
      <c r="C94" s="544"/>
      <c r="D94" s="518"/>
      <c r="E94" s="518"/>
      <c r="F94" s="518"/>
      <c r="G94" s="544"/>
      <c r="H94" s="546"/>
      <c r="I94" s="546"/>
      <c r="J94" s="546"/>
      <c r="K94" s="546"/>
      <c r="L94" s="546"/>
      <c r="M94" s="547"/>
      <c r="N94" s="1263"/>
      <c r="O94" s="1263"/>
      <c r="P94" s="22"/>
      <c r="Q94" s="485"/>
    </row>
    <row r="95" spans="1:17" ht="14.4" thickTop="1">
      <c r="A95" s="583"/>
      <c r="B95" s="620">
        <f>B34</f>
        <v>111</v>
      </c>
      <c r="C95" s="532"/>
      <c r="D95" s="532"/>
      <c r="E95" s="532"/>
      <c r="F95" s="532"/>
      <c r="G95" s="537"/>
      <c r="H95" s="538"/>
      <c r="I95" s="538"/>
      <c r="J95" s="538"/>
      <c r="K95" s="538"/>
      <c r="L95" s="539"/>
      <c r="M95" s="540"/>
      <c r="N95" s="1263"/>
      <c r="O95" s="1263"/>
      <c r="P95" s="621"/>
      <c r="Q95" s="622"/>
    </row>
    <row r="96" spans="1:17" ht="14.4" thickBot="1">
      <c r="A96" s="516"/>
      <c r="B96" s="526"/>
      <c r="C96" s="544"/>
      <c r="D96" s="544"/>
      <c r="E96" s="544"/>
      <c r="F96" s="544"/>
      <c r="G96" s="544"/>
      <c r="H96" s="546"/>
      <c r="I96" s="546"/>
      <c r="J96" s="546"/>
      <c r="K96" s="546"/>
      <c r="L96" s="546"/>
      <c r="M96" s="547"/>
      <c r="N96" s="1263"/>
      <c r="O96" s="1263"/>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2532</v>
      </c>
      <c r="B1" s="374"/>
      <c r="C1" s="375" t="s">
        <v>2533</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1999</v>
      </c>
      <c r="B2" s="654" t="e">
        <f>F66</f>
        <v>#DIV/0!</v>
      </c>
      <c r="C2" s="731" t="s">
        <v>2534</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80" t="s">
        <v>2330</v>
      </c>
      <c r="B4" s="381"/>
      <c r="C4" s="3038" t="s">
        <v>2331</v>
      </c>
      <c r="D4" s="3039"/>
      <c r="E4" s="3040" t="s">
        <v>2332</v>
      </c>
      <c r="F4" s="3041"/>
      <c r="G4" s="3038" t="s">
        <v>2333</v>
      </c>
      <c r="H4" s="3039"/>
      <c r="I4" s="3038" t="s">
        <v>2334</v>
      </c>
      <c r="J4" s="3039"/>
      <c r="K4" s="594"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36" t="s">
        <v>2333</v>
      </c>
      <c r="AC4" s="3035" t="s">
        <v>2334</v>
      </c>
    </row>
    <row r="5" spans="1:30">
      <c r="A5" s="383"/>
      <c r="B5" s="384"/>
      <c r="C5" s="3057" t="s">
        <v>2337</v>
      </c>
      <c r="D5" s="3058"/>
      <c r="E5" s="3055" t="s">
        <v>2338</v>
      </c>
      <c r="F5" s="3056"/>
      <c r="G5" s="3057" t="s">
        <v>2339</v>
      </c>
      <c r="H5" s="3058"/>
      <c r="I5" s="3057" t="s">
        <v>2340</v>
      </c>
      <c r="J5" s="3058"/>
      <c r="K5" s="594"/>
      <c r="L5" s="1238"/>
      <c r="M5" s="1239"/>
      <c r="N5" s="1239"/>
      <c r="O5" s="1239"/>
      <c r="P5" s="3044"/>
      <c r="Q5" s="3045"/>
      <c r="R5" s="3050"/>
      <c r="S5" s="3051"/>
      <c r="T5" s="3050"/>
      <c r="U5" s="3051"/>
      <c r="V5" s="3054"/>
      <c r="W5" s="3054"/>
      <c r="X5" s="1893"/>
      <c r="Y5" s="3050"/>
      <c r="Z5" s="3051"/>
      <c r="AA5" s="3036"/>
      <c r="AB5" s="3036"/>
      <c r="AC5" s="3036"/>
    </row>
    <row r="6" spans="1:30" ht="15" thickBot="1">
      <c r="A6" s="385"/>
      <c r="B6" s="386"/>
      <c r="C6" s="3059" t="s">
        <v>2341</v>
      </c>
      <c r="D6" s="3060"/>
      <c r="E6" s="3061" t="s">
        <v>2341</v>
      </c>
      <c r="F6" s="3062"/>
      <c r="G6" s="3059" t="s">
        <v>2341</v>
      </c>
      <c r="H6" s="3060"/>
      <c r="I6" s="3059" t="s">
        <v>2341</v>
      </c>
      <c r="J6" s="3060"/>
      <c r="K6" s="594" t="s">
        <v>2342</v>
      </c>
      <c r="L6" s="1238"/>
      <c r="M6" s="1239"/>
      <c r="N6" s="1239"/>
      <c r="O6" s="1239"/>
      <c r="P6" s="3046"/>
      <c r="Q6" s="3047"/>
      <c r="R6" s="3050"/>
      <c r="S6" s="3051"/>
      <c r="T6" s="3052"/>
      <c r="U6" s="3053"/>
      <c r="V6" s="3054"/>
      <c r="W6" s="3054"/>
      <c r="X6" s="1893"/>
      <c r="Y6" s="3052"/>
      <c r="Z6" s="3053"/>
      <c r="AA6" s="3037"/>
      <c r="AB6" s="3037"/>
      <c r="AC6" s="3037"/>
    </row>
    <row r="7" spans="1:30" s="35" customFormat="1" ht="15" thickBot="1">
      <c r="A7" s="387" t="s">
        <v>2343</v>
      </c>
      <c r="B7" s="388"/>
      <c r="C7" s="389">
        <f>'数据-取费表'!B2</f>
        <v>43924</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70" t="s">
        <v>2344</v>
      </c>
      <c r="Q7" s="3072"/>
      <c r="R7" s="748" t="s">
        <v>25</v>
      </c>
      <c r="S7" s="749">
        <f t="shared" ref="S7:S15" si="0">F7</f>
        <v>0</v>
      </c>
      <c r="T7" s="748" t="s">
        <v>25</v>
      </c>
      <c r="U7" s="749">
        <f t="shared" ref="U7:U15" si="1">H7</f>
        <v>0</v>
      </c>
      <c r="V7" s="748" t="s">
        <v>25</v>
      </c>
      <c r="W7" s="749">
        <f t="shared" ref="W7:W15" si="2">J7</f>
        <v>0</v>
      </c>
      <c r="X7" s="750"/>
      <c r="Y7" s="3070" t="s">
        <v>2344</v>
      </c>
      <c r="Z7" s="3071"/>
      <c r="AA7" s="751" t="e">
        <f>D7/F7</f>
        <v>#DIV/0!</v>
      </c>
      <c r="AB7" s="751" t="e">
        <f>D7/H7</f>
        <v>#DIV/0!</v>
      </c>
      <c r="AC7" s="751" t="e">
        <f>D7/J7</f>
        <v>#DIV/0!</v>
      </c>
    </row>
    <row r="8" spans="1:30" s="35" customFormat="1" ht="15" thickBot="1">
      <c r="A8" s="387" t="s">
        <v>2345</v>
      </c>
      <c r="B8" s="388"/>
      <c r="C8" s="394" t="s">
        <v>2536</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70" t="s">
        <v>2347</v>
      </c>
      <c r="Q8" s="3071"/>
      <c r="R8" s="748" t="s">
        <v>25</v>
      </c>
      <c r="S8" s="749">
        <f t="shared" si="0"/>
        <v>0</v>
      </c>
      <c r="T8" s="748" t="s">
        <v>25</v>
      </c>
      <c r="U8" s="749">
        <f t="shared" si="1"/>
        <v>0</v>
      </c>
      <c r="V8" s="748" t="s">
        <v>25</v>
      </c>
      <c r="W8" s="749">
        <f t="shared" si="2"/>
        <v>0</v>
      </c>
      <c r="X8" s="750"/>
      <c r="Y8" s="3070" t="s">
        <v>2347</v>
      </c>
      <c r="Z8" s="3071"/>
      <c r="AA8" s="751" t="e">
        <f t="shared" ref="AA8:AA45" si="3">D8/F8</f>
        <v>#DIV/0!</v>
      </c>
      <c r="AB8" s="751" t="e">
        <f t="shared" ref="AB8:AB45" si="4">D8/H8</f>
        <v>#DIV/0!</v>
      </c>
      <c r="AC8" s="751" t="e">
        <f t="shared" ref="AC8:AC45" si="5">D8/J8</f>
        <v>#DIV/0!</v>
      </c>
    </row>
    <row r="9" spans="1:30" s="35" customFormat="1" ht="14.4">
      <c r="A9" s="395" t="s">
        <v>2348</v>
      </c>
      <c r="B9" s="28" t="s">
        <v>2349</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74"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30" s="407" customFormat="1" ht="28.8">
      <c r="A10" s="401"/>
      <c r="B10" s="402" t="s">
        <v>2352</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74"/>
      <c r="Q10" s="1880" t="str">
        <f t="shared" si="6"/>
        <v>土地使用年限（年）</v>
      </c>
      <c r="R10" s="748" t="s">
        <v>25</v>
      </c>
      <c r="S10" s="749">
        <f t="shared" si="0"/>
        <v>108</v>
      </c>
      <c r="T10" s="748" t="s">
        <v>25</v>
      </c>
      <c r="U10" s="749">
        <f t="shared" si="1"/>
        <v>108</v>
      </c>
      <c r="V10" s="748" t="s">
        <v>25</v>
      </c>
      <c r="W10" s="749">
        <f t="shared" si="2"/>
        <v>108</v>
      </c>
      <c r="X10" s="750"/>
      <c r="Y10" s="2865"/>
      <c r="Z10" s="23" t="str">
        <f t="shared" si="7"/>
        <v>土地使用年限（年）</v>
      </c>
      <c r="AA10" s="751">
        <f t="shared" si="3"/>
        <v>0.92592592592592593</v>
      </c>
      <c r="AB10" s="751">
        <f t="shared" si="4"/>
        <v>0.92592592592592593</v>
      </c>
      <c r="AC10" s="751">
        <f t="shared" si="5"/>
        <v>0.92592592592592593</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4"/>
      <c r="Q11" s="1880"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30" s="35" customFormat="1" ht="15">
      <c r="A12" s="411"/>
      <c r="B12" s="2391" t="s">
        <v>2537</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4"/>
      <c r="Q12" s="1880" t="str">
        <f t="shared" si="6"/>
        <v>配建</v>
      </c>
      <c r="R12" s="748" t="s">
        <v>25</v>
      </c>
      <c r="S12" s="749">
        <f t="shared" si="0"/>
        <v>100</v>
      </c>
      <c r="T12" s="748" t="s">
        <v>25</v>
      </c>
      <c r="U12" s="749">
        <f t="shared" si="1"/>
        <v>100</v>
      </c>
      <c r="V12" s="748" t="s">
        <v>25</v>
      </c>
      <c r="W12" s="749">
        <f t="shared" si="2"/>
        <v>100</v>
      </c>
      <c r="X12" s="750"/>
      <c r="Y12" s="286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4"/>
      <c r="Q13" s="1880">
        <f t="shared" si="6"/>
        <v>111</v>
      </c>
      <c r="R13" s="748" t="s">
        <v>25</v>
      </c>
      <c r="S13" s="749">
        <f t="shared" si="0"/>
        <v>100</v>
      </c>
      <c r="T13" s="748" t="s">
        <v>25</v>
      </c>
      <c r="U13" s="749">
        <f t="shared" si="1"/>
        <v>100</v>
      </c>
      <c r="V13" s="748" t="s">
        <v>25</v>
      </c>
      <c r="W13" s="749">
        <f t="shared" si="2"/>
        <v>100</v>
      </c>
      <c r="X13" s="750"/>
      <c r="Y13" s="2865"/>
      <c r="Z13" s="23">
        <f t="shared" si="7"/>
        <v>111</v>
      </c>
      <c r="AA13" s="751">
        <f>D13/F13</f>
        <v>1</v>
      </c>
      <c r="AB13" s="751">
        <f>D13/H13</f>
        <v>1</v>
      </c>
      <c r="AC13" s="751">
        <f>D13/J13</f>
        <v>1</v>
      </c>
    </row>
    <row r="14" spans="1:30" ht="15.6"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4"/>
      <c r="Q14" s="1880">
        <f t="shared" si="6"/>
        <v>111</v>
      </c>
      <c r="R14" s="748" t="s">
        <v>25</v>
      </c>
      <c r="S14" s="749">
        <f t="shared" si="0"/>
        <v>100</v>
      </c>
      <c r="T14" s="748" t="s">
        <v>25</v>
      </c>
      <c r="U14" s="749">
        <f t="shared" si="1"/>
        <v>100</v>
      </c>
      <c r="V14" s="748" t="s">
        <v>25</v>
      </c>
      <c r="W14" s="749">
        <f t="shared" si="2"/>
        <v>100</v>
      </c>
      <c r="X14" s="750"/>
      <c r="Y14" s="2865"/>
      <c r="Z14" s="23">
        <f t="shared" si="7"/>
        <v>111</v>
      </c>
      <c r="AA14" s="751">
        <f>D14/F14</f>
        <v>1</v>
      </c>
      <c r="AB14" s="751">
        <f>D14/H14</f>
        <v>1</v>
      </c>
      <c r="AC14" s="751">
        <f>D14/J14</f>
        <v>1</v>
      </c>
    </row>
    <row r="15" spans="1:30" ht="96.6">
      <c r="A15" s="380" t="s">
        <v>2354</v>
      </c>
      <c r="B15" s="1481" t="s">
        <v>1730</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63" t="s">
        <v>2355</v>
      </c>
      <c r="Q15" s="1892" t="str">
        <f t="shared" si="6"/>
        <v>居住社区成熟度</v>
      </c>
      <c r="R15" s="752" t="s">
        <v>25</v>
      </c>
      <c r="S15" s="753">
        <f t="shared" si="0"/>
        <v>100</v>
      </c>
      <c r="T15" s="752" t="s">
        <v>25</v>
      </c>
      <c r="U15" s="753">
        <f t="shared" si="1"/>
        <v>100</v>
      </c>
      <c r="V15" s="752" t="s">
        <v>25</v>
      </c>
      <c r="W15" s="753">
        <f t="shared" si="2"/>
        <v>100</v>
      </c>
      <c r="X15" s="1893"/>
      <c r="Y15" s="3063" t="s">
        <v>2355</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6"/>
      <c r="J16" s="427"/>
      <c r="K16" s="655"/>
      <c r="L16" s="1248"/>
      <c r="M16" s="1239"/>
      <c r="N16" s="1239"/>
      <c r="O16" s="1247"/>
      <c r="P16" s="3064"/>
      <c r="Q16" s="1892"/>
      <c r="R16" s="752"/>
      <c r="S16" s="753"/>
      <c r="T16" s="752"/>
      <c r="U16" s="753"/>
      <c r="V16" s="752"/>
      <c r="W16" s="753"/>
      <c r="X16" s="1893"/>
      <c r="Y16" s="3064"/>
      <c r="Z16" s="1895"/>
      <c r="AA16" s="1896">
        <v>1</v>
      </c>
      <c r="AB16" s="1896">
        <v>1</v>
      </c>
      <c r="AC16" s="1896">
        <v>1</v>
      </c>
    </row>
    <row r="17" spans="1:29" ht="82.8">
      <c r="A17" s="383"/>
      <c r="B17" s="1483" t="s">
        <v>2440</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4"/>
      <c r="Q17" s="1892" t="str">
        <f>B17</f>
        <v>商业繁华度</v>
      </c>
      <c r="R17" s="752" t="s">
        <v>25</v>
      </c>
      <c r="S17" s="753">
        <f>F17</f>
        <v>100</v>
      </c>
      <c r="T17" s="752" t="s">
        <v>25</v>
      </c>
      <c r="U17" s="753">
        <f>H17</f>
        <v>100</v>
      </c>
      <c r="V17" s="752" t="s">
        <v>25</v>
      </c>
      <c r="W17" s="753">
        <f>J17</f>
        <v>100</v>
      </c>
      <c r="X17" s="1893"/>
      <c r="Y17" s="3064"/>
      <c r="Z17" s="1895" t="str">
        <f>Q17</f>
        <v>商业繁华度</v>
      </c>
      <c r="AA17" s="1896">
        <f t="shared" si="3"/>
        <v>1</v>
      </c>
      <c r="AB17" s="1896">
        <f t="shared" si="4"/>
        <v>1</v>
      </c>
      <c r="AC17" s="1896">
        <f t="shared" si="5"/>
        <v>1</v>
      </c>
    </row>
    <row r="18" spans="1:29" ht="15">
      <c r="A18" s="383"/>
      <c r="B18" s="1484"/>
      <c r="C18" s="2461"/>
      <c r="D18" s="430"/>
      <c r="E18" s="1462"/>
      <c r="F18" s="430"/>
      <c r="G18" s="1462"/>
      <c r="H18" s="427"/>
      <c r="I18" s="2399"/>
      <c r="J18" s="427"/>
      <c r="K18" s="655"/>
      <c r="L18" s="1248"/>
      <c r="M18" s="1239"/>
      <c r="N18" s="1239"/>
      <c r="O18" s="1247"/>
      <c r="P18" s="3064"/>
      <c r="Q18" s="1892"/>
      <c r="R18" s="752"/>
      <c r="S18" s="753"/>
      <c r="T18" s="752"/>
      <c r="U18" s="753"/>
      <c r="V18" s="752"/>
      <c r="W18" s="753"/>
      <c r="X18" s="1893"/>
      <c r="Y18" s="3064"/>
      <c r="Z18" s="1895"/>
      <c r="AA18" s="1896">
        <v>1</v>
      </c>
      <c r="AB18" s="1896">
        <v>1</v>
      </c>
      <c r="AC18" s="1896">
        <v>1</v>
      </c>
    </row>
    <row r="19" spans="1:29" ht="82.8">
      <c r="A19" s="383"/>
      <c r="B19" s="1483" t="s">
        <v>2469</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4"/>
      <c r="Q19" s="1892" t="str">
        <f>B19</f>
        <v>办公集聚程度</v>
      </c>
      <c r="R19" s="752" t="s">
        <v>25</v>
      </c>
      <c r="S19" s="753">
        <f>F19</f>
        <v>100</v>
      </c>
      <c r="T19" s="752" t="s">
        <v>25</v>
      </c>
      <c r="U19" s="753">
        <f>H19</f>
        <v>100</v>
      </c>
      <c r="V19" s="752" t="s">
        <v>25</v>
      </c>
      <c r="W19" s="753">
        <f>J19</f>
        <v>100</v>
      </c>
      <c r="X19" s="1893"/>
      <c r="Y19" s="3064"/>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6"/>
      <c r="J20" s="427"/>
      <c r="K20" s="655"/>
      <c r="L20" s="1248"/>
      <c r="M20" s="1239"/>
      <c r="N20" s="1239"/>
      <c r="O20" s="1247"/>
      <c r="P20" s="3064"/>
      <c r="Q20" s="1892"/>
      <c r="R20" s="752"/>
      <c r="S20" s="753"/>
      <c r="T20" s="752"/>
      <c r="U20" s="753"/>
      <c r="V20" s="752"/>
      <c r="W20" s="753"/>
      <c r="X20" s="1893"/>
      <c r="Y20" s="3064"/>
      <c r="Z20" s="1895"/>
      <c r="AA20" s="1896">
        <v>1</v>
      </c>
      <c r="AB20" s="1896">
        <v>1</v>
      </c>
      <c r="AC20" s="1896">
        <v>1</v>
      </c>
    </row>
    <row r="21" spans="1:29" ht="96.6">
      <c r="A21" s="383"/>
      <c r="B21" s="1483" t="s">
        <v>2498</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4"/>
      <c r="Q21" s="1892" t="str">
        <f>B21</f>
        <v>交通便捷度</v>
      </c>
      <c r="R21" s="752" t="s">
        <v>25</v>
      </c>
      <c r="S21" s="753">
        <f>F21</f>
        <v>100</v>
      </c>
      <c r="T21" s="752" t="s">
        <v>25</v>
      </c>
      <c r="U21" s="753">
        <f>H21</f>
        <v>100</v>
      </c>
      <c r="V21" s="752" t="s">
        <v>25</v>
      </c>
      <c r="W21" s="753">
        <f>J21</f>
        <v>100</v>
      </c>
      <c r="X21" s="1893"/>
      <c r="Y21" s="3064"/>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6"/>
      <c r="J22" s="427"/>
      <c r="K22" s="655"/>
      <c r="L22" s="1248"/>
      <c r="M22" s="1239"/>
      <c r="N22" s="1239"/>
      <c r="O22" s="1247"/>
      <c r="P22" s="3064"/>
      <c r="Q22" s="1892"/>
      <c r="R22" s="752"/>
      <c r="S22" s="753"/>
      <c r="T22" s="752"/>
      <c r="U22" s="753"/>
      <c r="V22" s="752"/>
      <c r="W22" s="753"/>
      <c r="X22" s="1893"/>
      <c r="Y22" s="3064"/>
      <c r="Z22" s="1895"/>
      <c r="AA22" s="1896">
        <v>1</v>
      </c>
      <c r="AB22" s="1896">
        <v>1</v>
      </c>
      <c r="AC22" s="1896">
        <v>1</v>
      </c>
    </row>
    <row r="23" spans="1:29" ht="28.8">
      <c r="A23" s="383"/>
      <c r="B23" s="1486" t="s">
        <v>2538</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4"/>
      <c r="Q23" s="1892" t="str">
        <f t="shared" ref="Q23:Q37" si="8">B23</f>
        <v>区域土地利用方向</v>
      </c>
      <c r="R23" s="752" t="s">
        <v>25</v>
      </c>
      <c r="S23" s="753">
        <f>F23</f>
        <v>100</v>
      </c>
      <c r="T23" s="752" t="s">
        <v>25</v>
      </c>
      <c r="U23" s="753">
        <f>H23</f>
        <v>100</v>
      </c>
      <c r="V23" s="752" t="s">
        <v>25</v>
      </c>
      <c r="W23" s="753">
        <f>J23</f>
        <v>100</v>
      </c>
      <c r="X23" s="1893"/>
      <c r="Y23" s="3064"/>
      <c r="Z23" s="1895" t="str">
        <f>Q23</f>
        <v>区域土地利用方向</v>
      </c>
      <c r="AA23" s="1896">
        <f t="shared" si="3"/>
        <v>1</v>
      </c>
      <c r="AB23" s="1896">
        <f t="shared" si="4"/>
        <v>1</v>
      </c>
      <c r="AC23" s="1896">
        <f t="shared" si="5"/>
        <v>1</v>
      </c>
    </row>
    <row r="24" spans="1:29" ht="15">
      <c r="A24" s="383"/>
      <c r="B24" s="1487"/>
      <c r="C24" s="618"/>
      <c r="D24" s="427"/>
      <c r="E24" s="428"/>
      <c r="F24" s="427"/>
      <c r="G24" s="2396"/>
      <c r="H24" s="427"/>
      <c r="I24" s="2396"/>
      <c r="J24" s="427"/>
      <c r="K24" s="803"/>
      <c r="L24" s="1248"/>
      <c r="M24" s="1239"/>
      <c r="N24" s="1239"/>
      <c r="O24" s="1247"/>
      <c r="P24" s="3064"/>
      <c r="Q24" s="1892"/>
      <c r="R24" s="752"/>
      <c r="S24" s="753"/>
      <c r="T24" s="752"/>
      <c r="U24" s="753"/>
      <c r="V24" s="752"/>
      <c r="W24" s="753"/>
      <c r="X24" s="1893"/>
      <c r="Y24" s="3064"/>
      <c r="Z24" s="1895"/>
      <c r="AA24" s="1896"/>
      <c r="AB24" s="1896"/>
      <c r="AC24" s="1896"/>
    </row>
    <row r="25" spans="1:29" ht="55.2">
      <c r="A25" s="383"/>
      <c r="B25" s="1485" t="s">
        <v>2539</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4"/>
      <c r="Q25" s="1892" t="str">
        <f t="shared" si="8"/>
        <v>自然及人文环境状况</v>
      </c>
      <c r="R25" s="752" t="s">
        <v>25</v>
      </c>
      <c r="S25" s="753">
        <f>F25</f>
        <v>100</v>
      </c>
      <c r="T25" s="752" t="s">
        <v>25</v>
      </c>
      <c r="U25" s="753">
        <f>H25</f>
        <v>100</v>
      </c>
      <c r="V25" s="752" t="s">
        <v>25</v>
      </c>
      <c r="W25" s="753">
        <f>J25</f>
        <v>100</v>
      </c>
      <c r="X25" s="1893"/>
      <c r="Y25" s="3064"/>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8"/>
      <c r="M26" s="1239"/>
      <c r="N26" s="1239"/>
      <c r="O26" s="1247"/>
      <c r="P26" s="3064"/>
      <c r="Q26" s="1892"/>
      <c r="R26" s="752"/>
      <c r="S26" s="753"/>
      <c r="T26" s="752"/>
      <c r="U26" s="753"/>
      <c r="V26" s="752"/>
      <c r="W26" s="753"/>
      <c r="X26" s="1893"/>
      <c r="Y26" s="3064"/>
      <c r="Z26" s="1895"/>
      <c r="AA26" s="1896">
        <v>1</v>
      </c>
      <c r="AB26" s="1896">
        <v>1</v>
      </c>
      <c r="AC26" s="1896">
        <v>1</v>
      </c>
    </row>
    <row r="27" spans="1:29" ht="41.4">
      <c r="A27" s="383"/>
      <c r="B27" s="1485" t="s">
        <v>2441</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8"/>
      <c r="M27" s="1239"/>
      <c r="N27" s="1239"/>
      <c r="O27" s="1247"/>
      <c r="P27" s="3064"/>
      <c r="Q27" s="1880" t="str">
        <f t="shared" ref="Q27" si="9">B27</f>
        <v>公共配套设施</v>
      </c>
      <c r="R27" s="748" t="s">
        <v>25</v>
      </c>
      <c r="S27" s="749">
        <f>F27</f>
        <v>100</v>
      </c>
      <c r="T27" s="748" t="s">
        <v>25</v>
      </c>
      <c r="U27" s="749">
        <f>H27</f>
        <v>100</v>
      </c>
      <c r="V27" s="748" t="s">
        <v>25</v>
      </c>
      <c r="W27" s="749">
        <f>J27</f>
        <v>100</v>
      </c>
      <c r="X27" s="1893"/>
      <c r="Y27" s="3064"/>
      <c r="Z27" s="23" t="str">
        <f>Q27</f>
        <v>公共配套设施</v>
      </c>
      <c r="AA27" s="1896">
        <f>D27/F27</f>
        <v>1</v>
      </c>
      <c r="AB27" s="1896">
        <f>D27/H27</f>
        <v>1</v>
      </c>
      <c r="AC27" s="1896">
        <f>D27/J27</f>
        <v>1</v>
      </c>
    </row>
    <row r="28" spans="1:29" ht="15">
      <c r="A28" s="383"/>
      <c r="B28" s="1484"/>
      <c r="C28" s="2479"/>
      <c r="D28" s="427"/>
      <c r="E28" s="2479"/>
      <c r="F28" s="427"/>
      <c r="G28" s="2479"/>
      <c r="H28" s="427"/>
      <c r="I28" s="2479"/>
      <c r="J28" s="427"/>
      <c r="K28" s="655"/>
      <c r="L28" s="1248"/>
      <c r="M28" s="1239"/>
      <c r="N28" s="1239"/>
      <c r="O28" s="1247"/>
      <c r="P28" s="3064"/>
      <c r="Q28" s="1892"/>
      <c r="R28" s="752"/>
      <c r="S28" s="753"/>
      <c r="T28" s="752"/>
      <c r="U28" s="753"/>
      <c r="V28" s="752"/>
      <c r="W28" s="753"/>
      <c r="X28" s="1893"/>
      <c r="Y28" s="3064"/>
      <c r="Z28" s="23"/>
      <c r="AA28" s="1896">
        <v>1</v>
      </c>
      <c r="AB28" s="1896">
        <v>1</v>
      </c>
      <c r="AC28" s="1896">
        <v>1</v>
      </c>
    </row>
    <row r="29" spans="1:29" s="35" customFormat="1" ht="41.4">
      <c r="A29" s="633"/>
      <c r="B29" s="1485" t="s">
        <v>2442</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40"/>
      <c r="M29" s="1241"/>
      <c r="N29" s="1241"/>
      <c r="O29" s="1242"/>
      <c r="P29" s="3064"/>
      <c r="Q29" s="1880" t="str">
        <f t="shared" si="8"/>
        <v>基础设施水平</v>
      </c>
      <c r="R29" s="748" t="s">
        <v>25</v>
      </c>
      <c r="S29" s="749">
        <f>F29</f>
        <v>100</v>
      </c>
      <c r="T29" s="748" t="s">
        <v>25</v>
      </c>
      <c r="U29" s="749">
        <f>H29</f>
        <v>100</v>
      </c>
      <c r="V29" s="748" t="s">
        <v>25</v>
      </c>
      <c r="W29" s="749">
        <f>J29</f>
        <v>100</v>
      </c>
      <c r="X29" s="750"/>
      <c r="Y29" s="3064"/>
      <c r="Z29" s="23" t="str">
        <f>Q29</f>
        <v>基础设施水平</v>
      </c>
      <c r="AA29" s="1896">
        <f>D29/F29</f>
        <v>1</v>
      </c>
      <c r="AB29" s="1896">
        <f>D29/H29</f>
        <v>1</v>
      </c>
      <c r="AC29" s="1896">
        <f>D29/J29</f>
        <v>1</v>
      </c>
    </row>
    <row r="30" spans="1:29" s="35" customFormat="1" ht="15">
      <c r="A30" s="633"/>
      <c r="B30" s="1484"/>
      <c r="C30" s="2479"/>
      <c r="D30" s="427"/>
      <c r="E30" s="2479"/>
      <c r="F30" s="427"/>
      <c r="G30" s="2479"/>
      <c r="H30" s="427"/>
      <c r="I30" s="2479"/>
      <c r="J30" s="427"/>
      <c r="K30" s="655"/>
      <c r="L30" s="1240"/>
      <c r="M30" s="1241"/>
      <c r="N30" s="1241"/>
      <c r="O30" s="1242"/>
      <c r="P30" s="3064"/>
      <c r="Q30" s="1880"/>
      <c r="R30" s="748"/>
      <c r="S30" s="749"/>
      <c r="T30" s="748"/>
      <c r="U30" s="749"/>
      <c r="V30" s="748"/>
      <c r="W30" s="749"/>
      <c r="X30" s="750"/>
      <c r="Y30" s="3064"/>
      <c r="Z30" s="23"/>
      <c r="AA30" s="1896">
        <v>1</v>
      </c>
      <c r="AB30" s="1896">
        <v>1</v>
      </c>
      <c r="AC30" s="1896">
        <v>1</v>
      </c>
    </row>
    <row r="31" spans="1:29" ht="15">
      <c r="A31" s="383"/>
      <c r="B31" s="1484" t="s">
        <v>2443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4"/>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64"/>
      <c r="Z31" s="1895" t="str">
        <f t="shared" ref="Z31:Z45" si="13">Q31</f>
        <v>临街状况</v>
      </c>
      <c r="AA31" s="1896">
        <f t="shared" si="3"/>
        <v>1</v>
      </c>
      <c r="AB31" s="1896">
        <f t="shared" si="4"/>
        <v>1</v>
      </c>
      <c r="AC31" s="1896">
        <f t="shared" si="5"/>
        <v>1</v>
      </c>
    </row>
    <row r="32" spans="1:29" ht="28.8">
      <c r="A32" s="383"/>
      <c r="B32" s="1485"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4"/>
      <c r="Q32" s="1892" t="str">
        <f t="shared" si="8"/>
        <v>毗邻道路的类型与等级</v>
      </c>
      <c r="R32" s="752" t="s">
        <v>25</v>
      </c>
      <c r="S32" s="753">
        <f t="shared" si="10"/>
        <v>100</v>
      </c>
      <c r="T32" s="752" t="s">
        <v>25</v>
      </c>
      <c r="U32" s="753">
        <f t="shared" si="11"/>
        <v>100</v>
      </c>
      <c r="V32" s="752" t="s">
        <v>25</v>
      </c>
      <c r="W32" s="753">
        <f t="shared" si="12"/>
        <v>100</v>
      </c>
      <c r="X32" s="1893"/>
      <c r="Y32" s="3064"/>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8"/>
      <c r="M33" s="1239"/>
      <c r="N33" s="1239"/>
      <c r="O33" s="1247"/>
      <c r="P33" s="3064"/>
      <c r="Q33" s="1892"/>
      <c r="R33" s="752"/>
      <c r="S33" s="753"/>
      <c r="T33" s="752"/>
      <c r="U33" s="753"/>
      <c r="V33" s="752"/>
      <c r="W33" s="753"/>
      <c r="X33" s="1893"/>
      <c r="Y33" s="3064"/>
      <c r="Z33" s="1895"/>
      <c r="AA33" s="1896">
        <v>1</v>
      </c>
      <c r="AB33" s="1896">
        <v>1</v>
      </c>
      <c r="AC33" s="1896">
        <v>1</v>
      </c>
    </row>
    <row r="34" spans="1:29" ht="15">
      <c r="A34" s="383"/>
      <c r="B34" s="1488"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4"/>
      <c r="Q34" s="1892" t="str">
        <f t="shared" si="8"/>
        <v>土地级别</v>
      </c>
      <c r="R34" s="752" t="s">
        <v>25</v>
      </c>
      <c r="S34" s="753">
        <f t="shared" si="10"/>
        <v>100</v>
      </c>
      <c r="T34" s="752" t="s">
        <v>25</v>
      </c>
      <c r="U34" s="753">
        <f t="shared" si="11"/>
        <v>100</v>
      </c>
      <c r="V34" s="752" t="s">
        <v>25</v>
      </c>
      <c r="W34" s="753">
        <f t="shared" si="12"/>
        <v>100</v>
      </c>
      <c r="X34" s="1893"/>
      <c r="Y34" s="3064"/>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4"/>
      <c r="Q35" s="1892">
        <f t="shared" si="8"/>
        <v>111</v>
      </c>
      <c r="R35" s="752" t="s">
        <v>25</v>
      </c>
      <c r="S35" s="753">
        <f t="shared" si="10"/>
        <v>100</v>
      </c>
      <c r="T35" s="752" t="s">
        <v>25</v>
      </c>
      <c r="U35" s="753">
        <f t="shared" si="11"/>
        <v>100</v>
      </c>
      <c r="V35" s="752" t="s">
        <v>25</v>
      </c>
      <c r="W35" s="753">
        <f t="shared" si="12"/>
        <v>100</v>
      </c>
      <c r="X35" s="1893"/>
      <c r="Y35" s="3064"/>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3" t="s">
        <v>2361</v>
      </c>
      <c r="Q36" s="1892">
        <f t="shared" si="8"/>
        <v>111</v>
      </c>
      <c r="R36" s="752" t="s">
        <v>25</v>
      </c>
      <c r="S36" s="753">
        <f t="shared" si="10"/>
        <v>100</v>
      </c>
      <c r="T36" s="752" t="s">
        <v>25</v>
      </c>
      <c r="U36" s="753">
        <f t="shared" si="11"/>
        <v>100</v>
      </c>
      <c r="V36" s="752" t="s">
        <v>25</v>
      </c>
      <c r="W36" s="753">
        <f t="shared" si="12"/>
        <v>100</v>
      </c>
      <c r="X36" s="1893"/>
      <c r="Y36" s="3068" t="s">
        <v>2361</v>
      </c>
      <c r="Z36" s="1895">
        <f t="shared" si="13"/>
        <v>111</v>
      </c>
      <c r="AA36" s="1896">
        <f t="shared" si="3"/>
        <v>1</v>
      </c>
      <c r="AB36" s="1896">
        <f t="shared" si="4"/>
        <v>1</v>
      </c>
      <c r="AC36" s="1896">
        <f t="shared" si="5"/>
        <v>1</v>
      </c>
    </row>
    <row r="37" spans="1:29" s="452" customFormat="1" ht="15.6"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8"/>
      <c r="Q37" s="1892">
        <f t="shared" si="8"/>
        <v>111</v>
      </c>
      <c r="R37" s="755" t="s">
        <v>25</v>
      </c>
      <c r="S37" s="756">
        <f t="shared" si="10"/>
        <v>100</v>
      </c>
      <c r="T37" s="755" t="s">
        <v>25</v>
      </c>
      <c r="U37" s="756">
        <f t="shared" si="11"/>
        <v>100</v>
      </c>
      <c r="V37" s="755" t="s">
        <v>25</v>
      </c>
      <c r="W37" s="756">
        <f t="shared" si="12"/>
        <v>100</v>
      </c>
      <c r="X37" s="757"/>
      <c r="Y37" s="3068"/>
      <c r="Z37" s="758">
        <f t="shared" si="13"/>
        <v>111</v>
      </c>
      <c r="AA37" s="1896">
        <f t="shared" si="3"/>
        <v>1</v>
      </c>
      <c r="AB37" s="1896">
        <f t="shared" si="4"/>
        <v>1</v>
      </c>
      <c r="AC37" s="1896">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8"/>
      <c r="Q38" s="1892" t="str">
        <f>B38</f>
        <v>宗地面积</v>
      </c>
      <c r="R38" s="752" t="s">
        <v>25</v>
      </c>
      <c r="S38" s="753" t="e">
        <f t="shared" si="10"/>
        <v>#N/A</v>
      </c>
      <c r="T38" s="752" t="s">
        <v>25</v>
      </c>
      <c r="U38" s="753" t="e">
        <f t="shared" si="11"/>
        <v>#N/A</v>
      </c>
      <c r="V38" s="752" t="s">
        <v>25</v>
      </c>
      <c r="W38" s="753" t="e">
        <f t="shared" si="12"/>
        <v>#N/A</v>
      </c>
      <c r="X38" s="1893"/>
      <c r="Y38" s="3068"/>
      <c r="Z38" s="1895" t="str">
        <f t="shared" si="13"/>
        <v>宗地面积</v>
      </c>
      <c r="AA38" s="1896" t="e">
        <f t="shared" si="3"/>
        <v>#N/A</v>
      </c>
      <c r="AB38" s="1896" t="e">
        <f t="shared" si="4"/>
        <v>#N/A</v>
      </c>
      <c r="AC38" s="1896" t="e">
        <f t="shared" si="5"/>
        <v>#N/A</v>
      </c>
    </row>
    <row r="39" spans="1:29" ht="15">
      <c r="A39" s="453"/>
      <c r="B39" s="402" t="s">
        <v>2542</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68"/>
      <c r="Q39" s="1892" t="str">
        <f t="shared" ref="Q39:Q45" si="14">B39</f>
        <v>宗地形状</v>
      </c>
      <c r="R39" s="752" t="s">
        <v>25</v>
      </c>
      <c r="S39" s="753">
        <f t="shared" si="10"/>
        <v>100</v>
      </c>
      <c r="T39" s="752" t="s">
        <v>25</v>
      </c>
      <c r="U39" s="753">
        <f t="shared" si="11"/>
        <v>100</v>
      </c>
      <c r="V39" s="752" t="s">
        <v>25</v>
      </c>
      <c r="W39" s="753">
        <f t="shared" si="12"/>
        <v>100</v>
      </c>
      <c r="X39" s="1893"/>
      <c r="Y39" s="3068"/>
      <c r="Z39" s="1895" t="str">
        <f t="shared" si="13"/>
        <v>宗地形状</v>
      </c>
      <c r="AA39" s="1896">
        <f t="shared" si="3"/>
        <v>1</v>
      </c>
      <c r="AB39" s="1896">
        <f t="shared" si="4"/>
        <v>1</v>
      </c>
      <c r="AC39" s="1896">
        <f t="shared" si="5"/>
        <v>1</v>
      </c>
    </row>
    <row r="40" spans="1:29" ht="15">
      <c r="A40" s="453"/>
      <c r="B40" s="402" t="s">
        <v>2543</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68"/>
      <c r="Q40" s="1892" t="str">
        <f t="shared" si="14"/>
        <v>临街宽度及深度</v>
      </c>
      <c r="R40" s="752" t="s">
        <v>25</v>
      </c>
      <c r="S40" s="753">
        <f t="shared" si="10"/>
        <v>100</v>
      </c>
      <c r="T40" s="752" t="s">
        <v>25</v>
      </c>
      <c r="U40" s="753">
        <f t="shared" si="11"/>
        <v>100</v>
      </c>
      <c r="V40" s="752" t="s">
        <v>25</v>
      </c>
      <c r="W40" s="753">
        <f t="shared" si="12"/>
        <v>100</v>
      </c>
      <c r="X40" s="1893"/>
      <c r="Y40" s="3068"/>
      <c r="Z40" s="1895" t="str">
        <f t="shared" si="13"/>
        <v>临街宽度及深度</v>
      </c>
      <c r="AA40" s="1896">
        <f t="shared" si="3"/>
        <v>1</v>
      </c>
      <c r="AB40" s="1896">
        <f t="shared" si="4"/>
        <v>1</v>
      </c>
      <c r="AC40" s="1896">
        <f t="shared" si="5"/>
        <v>1</v>
      </c>
    </row>
    <row r="41" spans="1:29" s="35" customFormat="1" ht="15">
      <c r="A41" s="454"/>
      <c r="B41" s="402" t="s">
        <v>2544</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68"/>
      <c r="Q41" s="1892" t="str">
        <f t="shared" si="14"/>
        <v>宗地开发程度</v>
      </c>
      <c r="R41" s="748" t="s">
        <v>25</v>
      </c>
      <c r="S41" s="749">
        <f t="shared" si="10"/>
        <v>100</v>
      </c>
      <c r="T41" s="748" t="s">
        <v>25</v>
      </c>
      <c r="U41" s="749">
        <f t="shared" si="11"/>
        <v>100</v>
      </c>
      <c r="V41" s="748" t="s">
        <v>25</v>
      </c>
      <c r="W41" s="749">
        <f t="shared" si="12"/>
        <v>100</v>
      </c>
      <c r="X41" s="750"/>
      <c r="Y41" s="3068"/>
      <c r="Z41" s="23" t="str">
        <f t="shared" si="13"/>
        <v>宗地开发程度</v>
      </c>
      <c r="AA41" s="751">
        <f t="shared" si="3"/>
        <v>1</v>
      </c>
      <c r="AB41" s="751">
        <f t="shared" si="4"/>
        <v>1</v>
      </c>
      <c r="AC41" s="751">
        <f t="shared" si="5"/>
        <v>1</v>
      </c>
    </row>
    <row r="42" spans="1:29" ht="15">
      <c r="A42" s="453"/>
      <c r="B42" s="402" t="s">
        <v>2545</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68" t="s">
        <v>2361</v>
      </c>
      <c r="Q42" s="1892" t="str">
        <f t="shared" si="14"/>
        <v>工程地质条件</v>
      </c>
      <c r="R42" s="752" t="s">
        <v>25</v>
      </c>
      <c r="S42" s="753">
        <f t="shared" si="10"/>
        <v>100</v>
      </c>
      <c r="T42" s="752" t="s">
        <v>25</v>
      </c>
      <c r="U42" s="753">
        <f t="shared" si="11"/>
        <v>100</v>
      </c>
      <c r="V42" s="752" t="s">
        <v>25</v>
      </c>
      <c r="W42" s="753">
        <f t="shared" si="12"/>
        <v>100</v>
      </c>
      <c r="X42" s="1893"/>
      <c r="Y42" s="3068" t="s">
        <v>2361</v>
      </c>
      <c r="Z42" s="1895" t="str">
        <f t="shared" si="13"/>
        <v>工程地质条件</v>
      </c>
      <c r="AA42" s="1896">
        <f t="shared" si="3"/>
        <v>1</v>
      </c>
      <c r="AB42" s="1896">
        <f t="shared" si="4"/>
        <v>1</v>
      </c>
      <c r="AC42" s="1896">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8"/>
      <c r="Q43" s="1892">
        <f t="shared" si="14"/>
        <v>111</v>
      </c>
      <c r="R43" s="752" t="s">
        <v>25</v>
      </c>
      <c r="S43" s="753">
        <f t="shared" si="10"/>
        <v>100</v>
      </c>
      <c r="T43" s="752" t="s">
        <v>25</v>
      </c>
      <c r="U43" s="753">
        <f t="shared" si="11"/>
        <v>100</v>
      </c>
      <c r="V43" s="752" t="s">
        <v>25</v>
      </c>
      <c r="W43" s="753">
        <f t="shared" si="12"/>
        <v>100</v>
      </c>
      <c r="X43" s="1893"/>
      <c r="Y43" s="3068"/>
      <c r="Z43" s="1895">
        <f t="shared" si="13"/>
        <v>111</v>
      </c>
      <c r="AA43" s="1896">
        <f t="shared" si="3"/>
        <v>1</v>
      </c>
      <c r="AB43" s="1896">
        <f t="shared" si="4"/>
        <v>1</v>
      </c>
      <c r="AC43" s="1896">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8"/>
      <c r="Q44" s="1892">
        <f t="shared" si="14"/>
        <v>111</v>
      </c>
      <c r="R44" s="752" t="s">
        <v>25</v>
      </c>
      <c r="S44" s="753">
        <f t="shared" si="10"/>
        <v>100</v>
      </c>
      <c r="T44" s="752" t="s">
        <v>25</v>
      </c>
      <c r="U44" s="753">
        <f t="shared" si="11"/>
        <v>100</v>
      </c>
      <c r="V44" s="752" t="s">
        <v>25</v>
      </c>
      <c r="W44" s="753">
        <f t="shared" si="12"/>
        <v>100</v>
      </c>
      <c r="X44" s="1893"/>
      <c r="Y44" s="3068"/>
      <c r="Z44" s="1895">
        <f t="shared" si="13"/>
        <v>111</v>
      </c>
      <c r="AA44" s="1896">
        <f t="shared" si="3"/>
        <v>1</v>
      </c>
      <c r="AB44" s="1896">
        <f t="shared" si="4"/>
        <v>1</v>
      </c>
      <c r="AC44" s="1896">
        <f t="shared" si="5"/>
        <v>1</v>
      </c>
    </row>
    <row r="45" spans="1:29" s="452" customFormat="1" ht="15.6"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8"/>
      <c r="Q45" s="1892">
        <f t="shared" si="14"/>
        <v>111</v>
      </c>
      <c r="R45" s="755" t="s">
        <v>25</v>
      </c>
      <c r="S45" s="756">
        <f t="shared" si="10"/>
        <v>100</v>
      </c>
      <c r="T45" s="755" t="s">
        <v>25</v>
      </c>
      <c r="U45" s="756">
        <f t="shared" si="11"/>
        <v>100</v>
      </c>
      <c r="V45" s="755" t="s">
        <v>25</v>
      </c>
      <c r="W45" s="756">
        <f t="shared" si="12"/>
        <v>100</v>
      </c>
      <c r="X45" s="757"/>
      <c r="Y45" s="3068"/>
      <c r="Z45" s="758">
        <f t="shared" si="13"/>
        <v>111</v>
      </c>
      <c r="AA45" s="1896">
        <f t="shared" si="3"/>
        <v>1</v>
      </c>
      <c r="AB45" s="1896">
        <f t="shared" si="4"/>
        <v>1</v>
      </c>
      <c r="AC45" s="1896">
        <f t="shared" si="5"/>
        <v>1</v>
      </c>
    </row>
    <row r="46" spans="1:29" ht="14.4">
      <c r="A46" s="460" t="s">
        <v>2509</v>
      </c>
      <c r="B46" s="2484" t="s">
        <v>2546</v>
      </c>
      <c r="C46" s="665" t="s">
        <v>1</v>
      </c>
      <c r="D46" s="462"/>
      <c r="E46" s="463"/>
      <c r="F46" s="464"/>
      <c r="G46" s="465"/>
      <c r="H46" s="466"/>
      <c r="I46" s="463"/>
      <c r="J46" s="466"/>
      <c r="K46" s="761"/>
      <c r="L46" s="1251"/>
      <c r="M46" s="1252"/>
      <c r="N46" s="1239"/>
      <c r="O46" s="1252"/>
      <c r="P46" s="3074" t="str">
        <f>A46</f>
        <v>成交单价</v>
      </c>
      <c r="Q46" s="3074"/>
      <c r="R46" s="3054">
        <f>E46</f>
        <v>0</v>
      </c>
      <c r="S46" s="3054"/>
      <c r="T46" s="3054">
        <f>G46</f>
        <v>0</v>
      </c>
      <c r="U46" s="3054"/>
      <c r="V46" s="3054">
        <f>I46</f>
        <v>0</v>
      </c>
      <c r="W46" s="3054"/>
      <c r="X46" s="737"/>
      <c r="Y46" s="759"/>
      <c r="Z46" s="737"/>
      <c r="AA46" s="737"/>
      <c r="AB46" s="737"/>
      <c r="AC46" s="737"/>
    </row>
    <row r="47" spans="1:29" ht="15" thickBot="1">
      <c r="A47" s="467" t="s">
        <v>2456</v>
      </c>
      <c r="B47" s="666"/>
      <c r="C47" s="471" t="e">
        <f>R48</f>
        <v>#DIV/0!</v>
      </c>
      <c r="D47" s="470"/>
      <c r="E47" s="471" t="e">
        <f>R47</f>
        <v>#DIV/0!</v>
      </c>
      <c r="F47" s="472"/>
      <c r="G47" s="469" t="e">
        <f>T47</f>
        <v>#DIV/0!</v>
      </c>
      <c r="H47" s="470"/>
      <c r="I47" s="471" t="e">
        <f>V47</f>
        <v>#DIV/0!</v>
      </c>
      <c r="J47" s="470"/>
      <c r="K47" s="762"/>
      <c r="L47" s="1251"/>
      <c r="M47" s="1252"/>
      <c r="N47" s="1252"/>
      <c r="O47" s="1252"/>
      <c r="P47" s="3074" t="str">
        <f>A47</f>
        <v>比较价值（元/平方米）</v>
      </c>
      <c r="Q47" s="3074"/>
      <c r="R47" s="3094" t="e">
        <f>ROUND(PRODUCT(R46,AA7:AA45),0)</f>
        <v>#DIV/0!</v>
      </c>
      <c r="S47" s="3094"/>
      <c r="T47" s="3094" t="e">
        <f>ROUND(PRODUCT(T46,AB7:AB45),0)</f>
        <v>#DIV/0!</v>
      </c>
      <c r="U47" s="3094"/>
      <c r="V47" s="3094" t="e">
        <f>ROUND(PRODUCT(V46,AC7:AC45),0)</f>
        <v>#DIV/0!</v>
      </c>
      <c r="W47" s="3094"/>
      <c r="X47" s="737"/>
      <c r="Y47" s="737"/>
      <c r="Z47" s="737"/>
      <c r="AA47" s="737"/>
      <c r="AB47" s="737"/>
      <c r="AC47" s="737"/>
    </row>
    <row r="48" spans="1:29" ht="15" thickBot="1">
      <c r="A48" s="473" t="s">
        <v>2479</v>
      </c>
      <c r="B48" s="474"/>
      <c r="C48" s="475" t="e">
        <f>R48</f>
        <v>#DIV/0!</v>
      </c>
      <c r="D48" s="475"/>
      <c r="E48" s="475"/>
      <c r="F48" s="475"/>
      <c r="G48" s="475"/>
      <c r="H48" s="475"/>
      <c r="I48" s="475"/>
      <c r="J48" s="475"/>
      <c r="K48" s="763"/>
      <c r="L48" s="1251"/>
      <c r="M48" s="1252"/>
      <c r="N48" s="1252"/>
      <c r="O48" s="1252"/>
      <c r="P48" s="3080" t="str">
        <f>A48</f>
        <v>估价对象XX用房的比较价值（楼面单价，元/平方米）</v>
      </c>
      <c r="Q48" s="3081"/>
      <c r="R48" s="3095" t="e">
        <f>ROUND(AVERAGE(R47:V47),0)</f>
        <v>#DIV/0!</v>
      </c>
      <c r="S48" s="3095"/>
      <c r="T48" s="3095"/>
      <c r="U48" s="3095"/>
      <c r="V48" s="3095"/>
      <c r="W48" s="3095"/>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4.4" thickBot="1">
      <c r="A54" s="1254"/>
      <c r="B54" s="1255"/>
      <c r="C54" s="740"/>
      <c r="D54" s="739"/>
      <c r="E54" s="739"/>
      <c r="F54" s="739"/>
      <c r="G54" s="739"/>
      <c r="H54" s="739"/>
      <c r="I54" s="739"/>
      <c r="J54" s="739"/>
      <c r="K54" s="1258"/>
      <c r="L54" s="1259"/>
      <c r="M54" s="1254"/>
      <c r="N54" s="1254"/>
      <c r="O54" s="1254"/>
    </row>
    <row r="55" spans="1:15" ht="28.8">
      <c r="A55" s="667" t="s">
        <v>2547</v>
      </c>
      <c r="B55" s="668" t="s">
        <v>2548</v>
      </c>
      <c r="C55" s="2485" t="s">
        <v>2549</v>
      </c>
      <c r="D55" s="2486" t="s">
        <v>2550</v>
      </c>
      <c r="E55" s="669" t="s">
        <v>2551</v>
      </c>
      <c r="F55" s="670" t="s">
        <v>2552</v>
      </c>
      <c r="G55" s="62" t="s">
        <v>2553</v>
      </c>
      <c r="H55" s="62" t="str">
        <f>项目基本情况!G8</f>
        <v>XX</v>
      </c>
      <c r="I55" s="2487" t="s">
        <v>2554</v>
      </c>
      <c r="J55" s="738"/>
      <c r="K55" s="1253"/>
      <c r="L55" s="1253"/>
      <c r="M55" s="1252"/>
      <c r="N55" s="1252"/>
      <c r="O55" s="1252"/>
    </row>
    <row r="56" spans="1:15" s="675" customFormat="1">
      <c r="A56" s="671" t="s">
        <v>2555</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2556</v>
      </c>
      <c r="B57" s="178" t="e">
        <f>ROUND($C$48*C57*D57,0)</f>
        <v>#DIV/0!</v>
      </c>
      <c r="C57" s="117">
        <f>IF($C$55="北京市系数",G57,H57)</f>
        <v>0.7</v>
      </c>
      <c r="D57" s="1287">
        <v>0.25</v>
      </c>
      <c r="E57" s="677">
        <v>0</v>
      </c>
      <c r="F57" s="674" t="e">
        <f t="shared" si="15"/>
        <v>#DIV/0!</v>
      </c>
      <c r="G57" s="967">
        <f>SUMIF(修正!$A$45:$A$56,项目基本情况!$F$9,修正!B45:B56)</f>
        <v>0.7</v>
      </c>
      <c r="H57" s="968"/>
      <c r="I57" s="1252"/>
      <c r="J57" s="1257"/>
      <c r="K57" s="1253"/>
      <c r="L57" s="1253"/>
      <c r="M57" s="1252"/>
      <c r="N57" s="1252"/>
      <c r="O57" s="966"/>
    </row>
    <row r="58" spans="1:15" s="675" customFormat="1">
      <c r="A58" s="676" t="s">
        <v>2557</v>
      </c>
      <c r="B58" s="178" t="e">
        <f t="shared" ref="B58:B65" si="16">ROUND($C$48*C58*D58,0)</f>
        <v>#DIV/0!</v>
      </c>
      <c r="C58" s="117">
        <f t="shared" ref="C58:C65" si="17">IF($C$55="北京市系数",G58,H58)</f>
        <v>0.4</v>
      </c>
      <c r="D58" s="1287">
        <v>0.25</v>
      </c>
      <c r="E58" s="677">
        <v>0</v>
      </c>
      <c r="F58" s="674" t="e">
        <f t="shared" si="15"/>
        <v>#DIV/0!</v>
      </c>
      <c r="G58" s="967">
        <f>SUMIF(修正!$A$45:$A$56,项目基本情况!$F$9,修正!C45:C56)</f>
        <v>0.4</v>
      </c>
      <c r="H58" s="968"/>
      <c r="I58" s="1254"/>
      <c r="J58" s="1254"/>
      <c r="K58" s="1258"/>
      <c r="L58" s="1259"/>
      <c r="M58" s="1254"/>
      <c r="N58" s="1254"/>
      <c r="O58" s="966"/>
    </row>
    <row r="59" spans="1:15" s="675" customFormat="1">
      <c r="A59" s="676" t="s">
        <v>2558</v>
      </c>
      <c r="B59" s="178" t="e">
        <f t="shared" si="16"/>
        <v>#DIV/0!</v>
      </c>
      <c r="C59" s="117">
        <f t="shared" si="17"/>
        <v>0.28000000000000003</v>
      </c>
      <c r="D59" s="1287">
        <v>0.25</v>
      </c>
      <c r="E59" s="677">
        <v>0</v>
      </c>
      <c r="F59" s="674" t="e">
        <f t="shared" si="15"/>
        <v>#DIV/0!</v>
      </c>
      <c r="G59" s="967">
        <f>SUMIF(修正!$A$45:$A$56,项目基本情况!$F$9,修正!D45:D56)</f>
        <v>0.28000000000000003</v>
      </c>
      <c r="H59" s="968"/>
      <c r="I59" s="1252"/>
      <c r="J59" s="1257"/>
      <c r="K59" s="1253"/>
      <c r="L59" s="1253"/>
      <c r="M59" s="1252"/>
      <c r="N59" s="1252"/>
      <c r="O59" s="966"/>
    </row>
    <row r="60" spans="1:15" s="675" customFormat="1">
      <c r="A60" s="676" t="s">
        <v>2559</v>
      </c>
      <c r="B60" s="178" t="e">
        <f t="shared" si="16"/>
        <v>#DIV/0!</v>
      </c>
      <c r="C60" s="117">
        <f t="shared" si="17"/>
        <v>0.25</v>
      </c>
      <c r="D60" s="1287">
        <v>0.25</v>
      </c>
      <c r="E60" s="677">
        <v>0</v>
      </c>
      <c r="F60" s="674" t="e">
        <f t="shared" si="15"/>
        <v>#DIV/0!</v>
      </c>
      <c r="G60" s="967">
        <f>SUMIF(修正!$A$45:$A$56,项目基本情况!$F$9,修正!E45:E56)</f>
        <v>0.25</v>
      </c>
      <c r="H60" s="968"/>
      <c r="I60" s="1254"/>
      <c r="J60" s="1254"/>
      <c r="K60" s="1258"/>
      <c r="L60" s="1259"/>
      <c r="M60" s="1254"/>
      <c r="N60" s="1254"/>
      <c r="O60" s="966"/>
    </row>
    <row r="61" spans="1:15" s="675" customFormat="1">
      <c r="A61" s="676" t="s">
        <v>2560</v>
      </c>
      <c r="B61" s="178" t="e">
        <f t="shared" si="16"/>
        <v>#DIV/0!</v>
      </c>
      <c r="C61" s="117">
        <f t="shared" si="17"/>
        <v>0.25</v>
      </c>
      <c r="D61" s="1287">
        <v>0.25</v>
      </c>
      <c r="E61" s="677">
        <v>0</v>
      </c>
      <c r="F61" s="674" t="e">
        <f t="shared" si="15"/>
        <v>#DIV/0!</v>
      </c>
      <c r="G61" s="967">
        <f>SUMIF(修正!A45:A56,项目基本情况!F9,修正!F45:F56)</f>
        <v>0.25</v>
      </c>
      <c r="H61" s="968"/>
      <c r="I61" s="1252"/>
      <c r="J61" s="1257"/>
      <c r="K61" s="1253"/>
      <c r="L61" s="1253"/>
      <c r="M61" s="1252"/>
      <c r="N61" s="1252"/>
      <c r="O61" s="966"/>
    </row>
    <row r="62" spans="1:15" s="675" customFormat="1">
      <c r="A62" s="676" t="s">
        <v>2561</v>
      </c>
      <c r="B62" s="178" t="e">
        <f t="shared" si="16"/>
        <v>#DIV/0!</v>
      </c>
      <c r="C62" s="117">
        <f t="shared" si="17"/>
        <v>0.25</v>
      </c>
      <c r="D62" s="1287">
        <v>0.25</v>
      </c>
      <c r="E62" s="677">
        <v>0</v>
      </c>
      <c r="F62" s="674" t="e">
        <f t="shared" si="15"/>
        <v>#DIV/0!</v>
      </c>
      <c r="G62" s="967">
        <f>SUMIF(修正!A45:A56,项目基本情况!F9,修正!G45:G56)</f>
        <v>0.25</v>
      </c>
      <c r="H62" s="968"/>
      <c r="I62" s="1254"/>
      <c r="J62" s="1254"/>
      <c r="K62" s="1258"/>
      <c r="L62" s="1259"/>
      <c r="M62" s="1254"/>
      <c r="N62" s="1254"/>
      <c r="O62" s="966"/>
    </row>
    <row r="63" spans="1:15" s="675" customFormat="1">
      <c r="A63" s="676" t="s">
        <v>2562</v>
      </c>
      <c r="B63" s="178" t="e">
        <f t="shared" si="16"/>
        <v>#DIV/0!</v>
      </c>
      <c r="C63" s="117">
        <f>IF($C$55="北京市系数",G63,H63)</f>
        <v>0.2</v>
      </c>
      <c r="D63" s="1287">
        <v>0.25</v>
      </c>
      <c r="E63" s="677">
        <v>0</v>
      </c>
      <c r="F63" s="674" t="e">
        <f t="shared" si="15"/>
        <v>#DIV/0!</v>
      </c>
      <c r="G63" s="967">
        <f>SUMIF(修正!A45:A56,项目基本情况!F9,修正!H45:H56)</f>
        <v>0.2</v>
      </c>
      <c r="H63" s="968"/>
      <c r="I63" s="1252"/>
      <c r="J63" s="1257"/>
      <c r="K63" s="1253"/>
      <c r="L63" s="1253"/>
      <c r="M63" s="1252"/>
      <c r="N63" s="1252"/>
      <c r="O63" s="966"/>
    </row>
    <row r="64" spans="1:15" s="675" customFormat="1">
      <c r="A64" s="676" t="s">
        <v>2563</v>
      </c>
      <c r="B64" s="178" t="e">
        <f t="shared" si="16"/>
        <v>#DIV/0!</v>
      </c>
      <c r="C64" s="117">
        <f t="shared" si="17"/>
        <v>0.2</v>
      </c>
      <c r="D64" s="1287">
        <v>0.25</v>
      </c>
      <c r="E64" s="677">
        <v>0</v>
      </c>
      <c r="F64" s="674" t="e">
        <f t="shared" si="15"/>
        <v>#DIV/0!</v>
      </c>
      <c r="G64" s="967">
        <f>G63</f>
        <v>0.2</v>
      </c>
      <c r="H64" s="968"/>
      <c r="I64" s="1254"/>
      <c r="J64" s="1254"/>
      <c r="K64" s="1258"/>
      <c r="L64" s="1259"/>
      <c r="M64" s="1254"/>
      <c r="N64" s="1254"/>
      <c r="O64" s="966"/>
    </row>
    <row r="65" spans="1:17" s="675" customFormat="1">
      <c r="A65" s="676" t="s">
        <v>2564</v>
      </c>
      <c r="B65" s="178" t="e">
        <f t="shared" si="16"/>
        <v>#DIV/0!</v>
      </c>
      <c r="C65" s="117">
        <f t="shared" si="17"/>
        <v>0.2</v>
      </c>
      <c r="D65" s="1287">
        <v>0.25</v>
      </c>
      <c r="E65" s="677">
        <v>0</v>
      </c>
      <c r="F65" s="674" t="e">
        <f t="shared" si="15"/>
        <v>#DIV/0!</v>
      </c>
      <c r="G65" s="967">
        <f>G63</f>
        <v>0.2</v>
      </c>
      <c r="H65" s="968"/>
      <c r="I65" s="1252"/>
      <c r="J65" s="1257"/>
      <c r="K65" s="1253"/>
      <c r="L65" s="1253"/>
      <c r="M65" s="1252"/>
      <c r="N65" s="1252"/>
      <c r="O65" s="966"/>
    </row>
    <row r="66" spans="1:17" s="675" customFormat="1" thickBot="1">
      <c r="A66" s="679" t="s">
        <v>2565</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6" customFormat="1">
      <c r="A68" s="737"/>
      <c r="B68" s="1664"/>
      <c r="C68" s="1664" t="str">
        <f>YEAR(C7)&amp;"-"&amp;MONTH(C7)&amp;"-1"</f>
        <v>2020-4-1</v>
      </c>
      <c r="D68" s="1664">
        <f>EDATE(C68,-3)</f>
        <v>43831</v>
      </c>
      <c r="E68" s="1664">
        <f t="shared" ref="E68:O68" si="18">EDATE(D68,-3)</f>
        <v>43739</v>
      </c>
      <c r="F68" s="1664">
        <f t="shared" si="18"/>
        <v>43647</v>
      </c>
      <c r="G68" s="1664">
        <f t="shared" si="18"/>
        <v>43556</v>
      </c>
      <c r="H68" s="1664">
        <f t="shared" si="18"/>
        <v>43466</v>
      </c>
      <c r="I68" s="1664">
        <f t="shared" si="18"/>
        <v>43374</v>
      </c>
      <c r="J68" s="1664">
        <f t="shared" si="18"/>
        <v>43282</v>
      </c>
      <c r="K68" s="1664">
        <f t="shared" si="18"/>
        <v>43191</v>
      </c>
      <c r="L68" s="1664">
        <f t="shared" si="18"/>
        <v>43101</v>
      </c>
      <c r="M68" s="1664">
        <f t="shared" si="18"/>
        <v>43009</v>
      </c>
      <c r="N68" s="1664">
        <f t="shared" si="18"/>
        <v>42917</v>
      </c>
      <c r="O68" s="1664">
        <f t="shared" si="18"/>
        <v>42826</v>
      </c>
    </row>
    <row r="69" spans="1:17" ht="22.2" thickBot="1">
      <c r="A69" s="741" t="s">
        <v>2461</v>
      </c>
      <c r="B69" s="737"/>
      <c r="C69" s="742"/>
      <c r="D69" s="742"/>
      <c r="E69" s="742"/>
      <c r="F69" s="743"/>
      <c r="G69" s="743"/>
      <c r="H69" s="742"/>
      <c r="I69" s="1268"/>
      <c r="J69" s="1268"/>
      <c r="K69" s="1266"/>
      <c r="L69" s="1267"/>
      <c r="M69" s="1268"/>
      <c r="N69" s="1268"/>
      <c r="O69" s="1268"/>
      <c r="P69" s="484"/>
      <c r="Q69" s="485"/>
    </row>
    <row r="70" spans="1:17" s="1668" customFormat="1" ht="14.4">
      <c r="A70" s="2488" t="s">
        <v>2566</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9"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 thickBot="1">
      <c r="A72" s="496" t="s">
        <v>2381</v>
      </c>
      <c r="B72" s="497"/>
      <c r="C72" s="498"/>
      <c r="D72" s="499"/>
      <c r="E72" s="499"/>
      <c r="F72" s="499"/>
      <c r="G72" s="499"/>
      <c r="H72" s="499"/>
      <c r="I72" s="499"/>
      <c r="J72" s="499"/>
      <c r="K72" s="499"/>
      <c r="L72" s="499"/>
      <c r="M72" s="500"/>
      <c r="N72" s="499"/>
      <c r="O72" s="1670"/>
      <c r="P72" s="485"/>
      <c r="Q72" s="485"/>
    </row>
    <row r="73" spans="1:17" s="35" customFormat="1" ht="14.4">
      <c r="A73" s="502" t="s">
        <v>2345</v>
      </c>
      <c r="B73" s="491"/>
      <c r="C73" s="503" t="s">
        <v>2346</v>
      </c>
      <c r="D73" s="504"/>
      <c r="E73" s="504"/>
      <c r="F73" s="504"/>
      <c r="G73" s="504"/>
      <c r="H73" s="504"/>
      <c r="I73" s="504"/>
      <c r="J73" s="504"/>
      <c r="K73" s="504"/>
      <c r="L73" s="505"/>
      <c r="M73" s="506"/>
      <c r="N73" s="1261"/>
      <c r="O73" s="1261"/>
      <c r="P73" s="507"/>
      <c r="Q73" s="485"/>
    </row>
    <row r="74" spans="1:17" s="35" customFormat="1" ht="14.4" thickBot="1">
      <c r="A74" s="502"/>
      <c r="B74" s="491"/>
      <c r="C74" s="623">
        <v>100</v>
      </c>
      <c r="D74" s="493"/>
      <c r="E74" s="493"/>
      <c r="F74" s="493"/>
      <c r="G74" s="493"/>
      <c r="H74" s="493"/>
      <c r="I74" s="493"/>
      <c r="J74" s="493"/>
      <c r="K74" s="493"/>
      <c r="L74" s="493"/>
      <c r="M74" s="495"/>
      <c r="N74" s="1261"/>
      <c r="O74" s="1261"/>
      <c r="P74" s="485"/>
      <c r="Q74" s="485"/>
    </row>
    <row r="75" spans="1:17" ht="14.4">
      <c r="A75" s="508" t="s">
        <v>2384</v>
      </c>
      <c r="B75" s="509" t="s">
        <v>2349</v>
      </c>
      <c r="C75" s="511"/>
      <c r="D75" s="511"/>
      <c r="E75" s="511"/>
      <c r="F75" s="511"/>
      <c r="G75" s="511"/>
      <c r="H75" s="511"/>
      <c r="I75" s="511"/>
      <c r="J75" s="511"/>
      <c r="K75" s="512"/>
      <c r="L75" s="513"/>
      <c r="M75" s="514"/>
      <c r="N75" s="1262"/>
      <c r="O75" s="1262"/>
      <c r="P75" s="22"/>
      <c r="Q75" s="485"/>
    </row>
    <row r="76" spans="1:17" ht="14.4" thickBot="1">
      <c r="A76" s="516"/>
      <c r="B76" s="517"/>
      <c r="C76" s="518"/>
      <c r="D76" s="518"/>
      <c r="E76" s="518"/>
      <c r="F76" s="518"/>
      <c r="G76" s="518"/>
      <c r="H76" s="518"/>
      <c r="I76" s="518"/>
      <c r="J76" s="518"/>
      <c r="K76" s="518"/>
      <c r="L76" s="518"/>
      <c r="M76" s="519"/>
      <c r="N76" s="1263"/>
      <c r="O76" s="1263"/>
      <c r="P76" s="22"/>
      <c r="Q76" s="485"/>
    </row>
    <row r="77" spans="1:17" ht="29.4" thickTop="1">
      <c r="A77" s="516"/>
      <c r="B77" s="521" t="s">
        <v>2352</v>
      </c>
      <c r="C77" s="522"/>
      <c r="D77" s="522"/>
      <c r="E77" s="522"/>
      <c r="F77" s="522"/>
      <c r="G77" s="522"/>
      <c r="H77" s="522"/>
      <c r="I77" s="522"/>
      <c r="J77" s="522"/>
      <c r="K77" s="523"/>
      <c r="L77" s="524"/>
      <c r="M77" s="525"/>
      <c r="N77" s="1262"/>
      <c r="O77" s="1262"/>
      <c r="P77" s="22"/>
      <c r="Q77" s="485"/>
    </row>
    <row r="78" spans="1:17" ht="14.4" thickBot="1">
      <c r="A78" s="516"/>
      <c r="B78" s="526"/>
      <c r="C78" s="527"/>
      <c r="D78" s="527"/>
      <c r="E78" s="527"/>
      <c r="F78" s="527"/>
      <c r="G78" s="527"/>
      <c r="H78" s="527"/>
      <c r="I78" s="527"/>
      <c r="J78" s="527"/>
      <c r="K78" s="527"/>
      <c r="L78" s="527"/>
      <c r="M78" s="528"/>
      <c r="N78" s="1263"/>
      <c r="O78" s="1263"/>
      <c r="P78" s="22"/>
      <c r="Q78" s="485"/>
    </row>
    <row r="79" spans="1:17" ht="1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c r="A80" s="516"/>
      <c r="B80" s="531"/>
      <c r="C80" s="532"/>
      <c r="D80" s="532"/>
      <c r="E80" s="532"/>
      <c r="F80" s="532"/>
      <c r="G80" s="532"/>
      <c r="H80" s="532"/>
      <c r="I80" s="532"/>
      <c r="J80" s="532"/>
      <c r="K80" s="533"/>
      <c r="L80" s="534"/>
      <c r="M80" s="535"/>
      <c r="N80" s="1262"/>
      <c r="O80" s="1262"/>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4.4"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4.4" thickBot="1">
      <c r="A83" s="536"/>
      <c r="B83" s="526"/>
      <c r="C83" s="544"/>
      <c r="D83" s="518"/>
      <c r="E83" s="518"/>
      <c r="F83" s="518"/>
      <c r="G83" s="518"/>
      <c r="H83" s="518"/>
      <c r="I83" s="518"/>
      <c r="J83" s="518"/>
      <c r="K83" s="518"/>
      <c r="L83" s="518"/>
      <c r="M83" s="519"/>
      <c r="N83" s="1263"/>
      <c r="O83" s="1263"/>
      <c r="P83" s="542"/>
      <c r="Q83" s="543"/>
    </row>
    <row r="84" spans="1:17" s="452" customFormat="1" ht="14.4" thickTop="1">
      <c r="A84" s="536"/>
      <c r="B84" s="521">
        <f>B13</f>
        <v>111</v>
      </c>
      <c r="C84" s="537"/>
      <c r="D84" s="537"/>
      <c r="E84" s="537"/>
      <c r="F84" s="537"/>
      <c r="G84" s="537"/>
      <c r="H84" s="538"/>
      <c r="I84" s="538"/>
      <c r="J84" s="538"/>
      <c r="K84" s="538"/>
      <c r="L84" s="539"/>
      <c r="M84" s="540"/>
      <c r="N84" s="1264"/>
      <c r="O84" s="1264"/>
      <c r="P84" s="451"/>
      <c r="Q84" s="545"/>
    </row>
    <row r="85" spans="1:17" s="452" customFormat="1" ht="14.4" thickBot="1">
      <c r="A85" s="536"/>
      <c r="B85" s="526"/>
      <c r="C85" s="544"/>
      <c r="D85" s="544"/>
      <c r="E85" s="544"/>
      <c r="F85" s="544"/>
      <c r="G85" s="544"/>
      <c r="H85" s="546"/>
      <c r="I85" s="546"/>
      <c r="J85" s="546"/>
      <c r="K85" s="546"/>
      <c r="L85" s="546"/>
      <c r="M85" s="547"/>
      <c r="N85" s="1264"/>
      <c r="O85" s="1264"/>
      <c r="P85" s="542"/>
      <c r="Q85" s="543"/>
    </row>
    <row r="86" spans="1:17" s="452" customFormat="1" ht="14.4" thickTop="1">
      <c r="A86" s="536"/>
      <c r="B86" s="529">
        <f>B14</f>
        <v>111</v>
      </c>
      <c r="C86" s="504"/>
      <c r="D86" s="504"/>
      <c r="E86" s="504"/>
      <c r="F86" s="504"/>
      <c r="G86" s="504"/>
      <c r="H86" s="548"/>
      <c r="I86" s="548"/>
      <c r="J86" s="548"/>
      <c r="K86" s="548"/>
      <c r="L86" s="549"/>
      <c r="M86" s="550"/>
      <c r="N86" s="1264"/>
      <c r="O86" s="1264"/>
      <c r="P86" s="551"/>
      <c r="Q86" s="543"/>
    </row>
    <row r="87" spans="1:17" s="452" customFormat="1" ht="14.4" thickBot="1">
      <c r="A87" s="552"/>
      <c r="B87" s="553"/>
      <c r="C87" s="554"/>
      <c r="D87" s="554"/>
      <c r="E87" s="554"/>
      <c r="F87" s="554"/>
      <c r="G87" s="554"/>
      <c r="H87" s="555"/>
      <c r="I87" s="555"/>
      <c r="J87" s="555"/>
      <c r="K87" s="555"/>
      <c r="L87" s="555"/>
      <c r="M87" s="556"/>
      <c r="N87" s="1264"/>
      <c r="O87" s="1264"/>
      <c r="P87" s="542"/>
      <c r="Q87" s="543"/>
    </row>
    <row r="88" spans="1:17" ht="14.4">
      <c r="A88" s="508" t="s">
        <v>2354</v>
      </c>
      <c r="B88" s="509" t="s">
        <v>2392</v>
      </c>
      <c r="C88" s="557" t="s">
        <v>2393</v>
      </c>
      <c r="D88" s="557" t="s">
        <v>2394</v>
      </c>
      <c r="E88" s="557" t="s">
        <v>2395</v>
      </c>
      <c r="F88" s="557" t="s">
        <v>2396</v>
      </c>
      <c r="G88" s="557" t="s">
        <v>2397</v>
      </c>
      <c r="H88" s="510"/>
      <c r="I88" s="510"/>
      <c r="J88" s="510"/>
      <c r="K88" s="558"/>
      <c r="L88" s="559"/>
      <c r="M88" s="560"/>
      <c r="N88" s="1262"/>
      <c r="O88" s="1262"/>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 thickTop="1">
      <c r="A90" s="516"/>
      <c r="B90" s="521" t="s">
        <v>2568</v>
      </c>
      <c r="C90" s="562" t="s">
        <v>2393</v>
      </c>
      <c r="D90" s="562" t="s">
        <v>2394</v>
      </c>
      <c r="E90" s="562" t="s">
        <v>2395</v>
      </c>
      <c r="F90" s="562" t="s">
        <v>2396</v>
      </c>
      <c r="G90" s="562" t="s">
        <v>2397</v>
      </c>
      <c r="H90" s="522"/>
      <c r="I90" s="522"/>
      <c r="J90" s="522"/>
      <c r="K90" s="523"/>
      <c r="L90" s="524"/>
      <c r="M90" s="525"/>
      <c r="N90" s="1262"/>
      <c r="O90" s="1262"/>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 thickTop="1">
      <c r="A92" s="516"/>
      <c r="B92" s="521" t="s">
        <v>2480</v>
      </c>
      <c r="C92" s="562" t="s">
        <v>2393</v>
      </c>
      <c r="D92" s="562" t="s">
        <v>2394</v>
      </c>
      <c r="E92" s="562" t="s">
        <v>2395</v>
      </c>
      <c r="F92" s="562" t="s">
        <v>2396</v>
      </c>
      <c r="G92" s="562" t="s">
        <v>2397</v>
      </c>
      <c r="H92" s="522"/>
      <c r="I92" s="522"/>
      <c r="J92" s="522"/>
      <c r="K92" s="523"/>
      <c r="L92" s="524"/>
      <c r="M92" s="525"/>
      <c r="N92" s="1262"/>
      <c r="O92" s="1262"/>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 thickTop="1">
      <c r="A94" s="516"/>
      <c r="B94" s="521" t="s">
        <v>2398</v>
      </c>
      <c r="C94" s="562" t="s">
        <v>2393</v>
      </c>
      <c r="D94" s="562" t="s">
        <v>2394</v>
      </c>
      <c r="E94" s="562" t="s">
        <v>2395</v>
      </c>
      <c r="F94" s="562" t="s">
        <v>2396</v>
      </c>
      <c r="G94" s="562" t="s">
        <v>2397</v>
      </c>
      <c r="H94" s="522"/>
      <c r="I94" s="522"/>
      <c r="J94" s="522"/>
      <c r="K94" s="523"/>
      <c r="L94" s="524"/>
      <c r="M94" s="525"/>
      <c r="N94" s="1262"/>
      <c r="O94" s="1262"/>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29.4" thickTop="1">
      <c r="A96" s="563"/>
      <c r="B96" s="521" t="s">
        <v>2569</v>
      </c>
      <c r="C96" s="562" t="s">
        <v>2393</v>
      </c>
      <c r="D96" s="562" t="s">
        <v>2394</v>
      </c>
      <c r="E96" s="562" t="s">
        <v>2395</v>
      </c>
      <c r="F96" s="562" t="s">
        <v>2396</v>
      </c>
      <c r="G96" s="562" t="s">
        <v>2397</v>
      </c>
      <c r="H96" s="562"/>
      <c r="I96" s="562"/>
      <c r="J96" s="562"/>
      <c r="K96" s="562"/>
      <c r="L96" s="682"/>
      <c r="M96" s="606"/>
      <c r="N96" s="1261"/>
      <c r="O96" s="1261"/>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9.4" thickTop="1">
      <c r="A98" s="563"/>
      <c r="B98" s="521" t="s">
        <v>2570</v>
      </c>
      <c r="C98" s="557" t="s">
        <v>2393</v>
      </c>
      <c r="D98" s="557" t="s">
        <v>2394</v>
      </c>
      <c r="E98" s="557" t="s">
        <v>2395</v>
      </c>
      <c r="F98" s="557" t="s">
        <v>2396</v>
      </c>
      <c r="G98" s="557" t="s">
        <v>2397</v>
      </c>
      <c r="H98" s="562"/>
      <c r="I98" s="562"/>
      <c r="J98" s="562"/>
      <c r="K98" s="562"/>
      <c r="L98" s="562"/>
      <c r="M98" s="606"/>
      <c r="N98" s="1261"/>
      <c r="O98" s="1261"/>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 thickTop="1">
      <c r="A100" s="563"/>
      <c r="B100" s="529" t="s">
        <v>2441</v>
      </c>
      <c r="C100" s="557" t="s">
        <v>2393</v>
      </c>
      <c r="D100" s="557" t="s">
        <v>2394</v>
      </c>
      <c r="E100" s="557" t="s">
        <v>2395</v>
      </c>
      <c r="F100" s="557" t="s">
        <v>2396</v>
      </c>
      <c r="G100" s="557" t="s">
        <v>2397</v>
      </c>
      <c r="H100" s="522"/>
      <c r="I100" s="522"/>
      <c r="J100" s="522"/>
      <c r="K100" s="522"/>
      <c r="L100" s="522"/>
      <c r="M100" s="1461"/>
      <c r="N100" s="1263"/>
      <c r="O100" s="1263"/>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 thickTop="1">
      <c r="A102" s="536"/>
      <c r="B102" s="521" t="s">
        <v>2442</v>
      </c>
      <c r="C102" s="522" t="s">
        <v>2400</v>
      </c>
      <c r="D102" s="522" t="s">
        <v>2401</v>
      </c>
      <c r="E102" s="522" t="s">
        <v>2402</v>
      </c>
      <c r="F102" s="522" t="s">
        <v>2403</v>
      </c>
      <c r="G102" s="522" t="s">
        <v>2404</v>
      </c>
      <c r="H102" s="584"/>
      <c r="I102" s="584"/>
      <c r="J102" s="584"/>
      <c r="K102" s="584"/>
      <c r="L102" s="585"/>
      <c r="M102" s="586"/>
      <c r="N102" s="1264"/>
      <c r="O102" s="1264"/>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 thickTop="1">
      <c r="A104" s="516"/>
      <c r="B104" s="521" t="str">
        <f>B31</f>
        <v>临街状况</v>
      </c>
      <c r="C104" s="522" t="s">
        <v>2571</v>
      </c>
      <c r="D104" s="522" t="s">
        <v>2572</v>
      </c>
      <c r="E104" s="522" t="s">
        <v>2573</v>
      </c>
      <c r="F104" s="522" t="s">
        <v>2574</v>
      </c>
      <c r="G104" s="522"/>
      <c r="H104" s="522"/>
      <c r="I104" s="522"/>
      <c r="J104" s="522"/>
      <c r="K104" s="523"/>
      <c r="L104" s="524"/>
      <c r="M104" s="525"/>
      <c r="N104" s="1262"/>
      <c r="O104" s="1262"/>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9.4" thickTop="1">
      <c r="A106" s="516"/>
      <c r="B106" s="521" t="s">
        <v>2473</v>
      </c>
      <c r="C106" s="537"/>
      <c r="D106" s="537"/>
      <c r="E106" s="537"/>
      <c r="F106" s="537"/>
      <c r="G106" s="537"/>
      <c r="H106" s="567"/>
      <c r="I106" s="567"/>
      <c r="J106" s="567"/>
      <c r="K106" s="568"/>
      <c r="L106" s="569"/>
      <c r="M106" s="570"/>
      <c r="N106" s="1262"/>
      <c r="O106" s="1262"/>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 thickTop="1">
      <c r="A108" s="516"/>
      <c r="B108" s="521" t="s">
        <v>2540</v>
      </c>
      <c r="C108" s="567"/>
      <c r="D108" s="567"/>
      <c r="E108" s="567"/>
      <c r="F108" s="567"/>
      <c r="G108" s="567"/>
      <c r="H108" s="567"/>
      <c r="I108" s="567"/>
      <c r="J108" s="567"/>
      <c r="K108" s="568"/>
      <c r="L108" s="569"/>
      <c r="M108" s="570"/>
      <c r="N108" s="1262"/>
      <c r="O108" s="1262"/>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4.4" thickTop="1">
      <c r="A110" s="516"/>
      <c r="B110" s="529">
        <f>B35</f>
        <v>111</v>
      </c>
      <c r="C110" s="537"/>
      <c r="D110" s="537"/>
      <c r="E110" s="537"/>
      <c r="F110" s="537"/>
      <c r="G110" s="571"/>
      <c r="H110" s="571"/>
      <c r="I110" s="571"/>
      <c r="J110" s="571"/>
      <c r="K110" s="572"/>
      <c r="L110" s="573"/>
      <c r="M110" s="574"/>
      <c r="N110" s="1262"/>
      <c r="O110" s="1262"/>
      <c r="P110" s="22"/>
      <c r="Q110" s="485"/>
    </row>
    <row r="111" spans="1:17" ht="14.4" thickBot="1">
      <c r="A111" s="516"/>
      <c r="B111" s="553"/>
      <c r="C111" s="544"/>
      <c r="D111" s="544"/>
      <c r="E111" s="544"/>
      <c r="F111" s="544"/>
      <c r="G111" s="575"/>
      <c r="H111" s="575"/>
      <c r="I111" s="575"/>
      <c r="J111" s="575"/>
      <c r="K111" s="575"/>
      <c r="L111" s="575"/>
      <c r="M111" s="576"/>
      <c r="N111" s="1263"/>
      <c r="O111" s="1263"/>
      <c r="P111" s="22"/>
      <c r="Q111" s="485"/>
    </row>
    <row r="112" spans="1:17" ht="14.4" thickTop="1">
      <c r="A112" s="658"/>
      <c r="B112" s="521">
        <f>B36</f>
        <v>111</v>
      </c>
      <c r="C112" s="504"/>
      <c r="D112" s="504"/>
      <c r="E112" s="504"/>
      <c r="F112" s="504"/>
      <c r="G112" s="567"/>
      <c r="H112" s="567"/>
      <c r="I112" s="567"/>
      <c r="J112" s="567"/>
      <c r="K112" s="568"/>
      <c r="L112" s="569"/>
      <c r="M112" s="570"/>
      <c r="N112" s="1262"/>
      <c r="O112" s="1262"/>
      <c r="P112" s="22"/>
      <c r="Q112" s="485"/>
    </row>
    <row r="113" spans="1:17" ht="14.4" thickBot="1">
      <c r="A113" s="516"/>
      <c r="B113" s="526"/>
      <c r="C113" s="554"/>
      <c r="D113" s="554"/>
      <c r="E113" s="554"/>
      <c r="F113" s="554"/>
      <c r="G113" s="518"/>
      <c r="H113" s="518"/>
      <c r="I113" s="518"/>
      <c r="J113" s="518"/>
      <c r="K113" s="518"/>
      <c r="L113" s="518"/>
      <c r="M113" s="519"/>
      <c r="N113" s="1263"/>
      <c r="O113" s="1263"/>
      <c r="P113" s="22"/>
      <c r="Q113" s="485"/>
    </row>
    <row r="114" spans="1:17" s="452" customFormat="1" ht="14.4"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4.4" thickBot="1">
      <c r="A115" s="536"/>
      <c r="B115" s="529"/>
      <c r="C115" s="493"/>
      <c r="D115" s="660"/>
      <c r="E115" s="660"/>
      <c r="F115" s="660"/>
      <c r="G115" s="660"/>
      <c r="H115" s="660"/>
      <c r="I115" s="660"/>
      <c r="J115" s="660"/>
      <c r="K115" s="660"/>
      <c r="L115" s="660"/>
      <c r="M115" s="683"/>
      <c r="N115" s="1263"/>
      <c r="O115" s="1263"/>
      <c r="P115" s="542"/>
      <c r="Q115" s="543"/>
    </row>
    <row r="116" spans="1:17" ht="14.4">
      <c r="A116" s="508" t="s">
        <v>2359</v>
      </c>
      <c r="B116" s="509" t="s">
        <v>2575</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c r="A117" s="516"/>
      <c r="B117" s="529"/>
      <c r="C117" s="579"/>
      <c r="D117" s="579"/>
      <c r="E117" s="579"/>
      <c r="F117" s="579"/>
      <c r="G117" s="579"/>
      <c r="H117" s="579"/>
      <c r="I117" s="579"/>
      <c r="J117" s="580"/>
      <c r="K117" s="580"/>
      <c r="L117" s="581"/>
      <c r="M117" s="582"/>
      <c r="N117" s="1262"/>
      <c r="O117" s="1262"/>
      <c r="P117" s="22"/>
      <c r="Q117" s="485"/>
    </row>
    <row r="118" spans="1:17" ht="14.4"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2576</v>
      </c>
      <c r="C119" s="567"/>
      <c r="D119" s="567"/>
      <c r="E119" s="567"/>
      <c r="F119" s="567"/>
      <c r="G119" s="567"/>
      <c r="H119" s="567"/>
      <c r="I119" s="567"/>
      <c r="J119" s="567"/>
      <c r="K119" s="568"/>
      <c r="L119" s="569"/>
      <c r="M119" s="570"/>
      <c r="N119" s="1262"/>
      <c r="O119" s="1262"/>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2577</v>
      </c>
      <c r="C121" s="537"/>
      <c r="D121" s="537"/>
      <c r="E121" s="537"/>
      <c r="F121" s="567"/>
      <c r="G121" s="567"/>
      <c r="H121" s="567"/>
      <c r="I121" s="567"/>
      <c r="J121" s="567"/>
      <c r="K121" s="568"/>
      <c r="L121" s="569"/>
      <c r="M121" s="570"/>
      <c r="N121" s="1262"/>
      <c r="O121" s="1262"/>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2578</v>
      </c>
      <c r="C123" s="537"/>
      <c r="D123" s="537"/>
      <c r="E123" s="537"/>
      <c r="F123" s="537"/>
      <c r="G123" s="537"/>
      <c r="H123" s="567"/>
      <c r="I123" s="567"/>
      <c r="J123" s="567"/>
      <c r="K123" s="568"/>
      <c r="L123" s="569"/>
      <c r="M123" s="570"/>
      <c r="N123" s="1264"/>
      <c r="O123" s="1264"/>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2579</v>
      </c>
      <c r="C125" s="537"/>
      <c r="D125" s="537"/>
      <c r="E125" s="567"/>
      <c r="F125" s="567"/>
      <c r="G125" s="567"/>
      <c r="H125" s="567"/>
      <c r="I125" s="567"/>
      <c r="J125" s="567"/>
      <c r="K125" s="568"/>
      <c r="L125" s="569"/>
      <c r="M125" s="570"/>
      <c r="N125" s="1262"/>
      <c r="O125" s="1262"/>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4.4" thickTop="1">
      <c r="A127" s="583"/>
      <c r="B127" s="521">
        <f>B43</f>
        <v>111</v>
      </c>
      <c r="C127" s="537"/>
      <c r="D127" s="537"/>
      <c r="E127" s="537"/>
      <c r="F127" s="537"/>
      <c r="G127" s="537"/>
      <c r="H127" s="567"/>
      <c r="I127" s="567"/>
      <c r="J127" s="567"/>
      <c r="K127" s="568"/>
      <c r="L127" s="569"/>
      <c r="M127" s="570"/>
      <c r="N127" s="1262"/>
      <c r="O127" s="1262"/>
      <c r="P127" s="22"/>
      <c r="Q127" s="485"/>
    </row>
    <row r="128" spans="1:17" ht="14.4" thickBot="1">
      <c r="A128" s="516"/>
      <c r="B128" s="526"/>
      <c r="C128" s="544"/>
      <c r="D128" s="544"/>
      <c r="E128" s="544"/>
      <c r="F128" s="544"/>
      <c r="G128" s="518"/>
      <c r="H128" s="518"/>
      <c r="I128" s="518"/>
      <c r="J128" s="518"/>
      <c r="K128" s="518"/>
      <c r="L128" s="518"/>
      <c r="M128" s="519"/>
      <c r="N128" s="1263"/>
      <c r="O128" s="1263"/>
      <c r="P128" s="22"/>
      <c r="Q128" s="485"/>
    </row>
    <row r="129" spans="1:17" ht="14.4" thickTop="1">
      <c r="A129" s="583"/>
      <c r="B129" s="521">
        <f>B44</f>
        <v>111</v>
      </c>
      <c r="C129" s="504"/>
      <c r="D129" s="504"/>
      <c r="E129" s="504"/>
      <c r="F129" s="504"/>
      <c r="G129" s="567"/>
      <c r="H129" s="567"/>
      <c r="I129" s="567"/>
      <c r="J129" s="567"/>
      <c r="K129" s="568"/>
      <c r="L129" s="569"/>
      <c r="M129" s="570"/>
      <c r="N129" s="1262"/>
      <c r="O129" s="1262"/>
      <c r="P129" s="22"/>
      <c r="Q129" s="485"/>
    </row>
    <row r="130" spans="1:17" ht="14.4" thickBot="1">
      <c r="A130" s="516"/>
      <c r="B130" s="526"/>
      <c r="C130" s="554"/>
      <c r="D130" s="554"/>
      <c r="E130" s="554"/>
      <c r="F130" s="554"/>
      <c r="G130" s="518"/>
      <c r="H130" s="518"/>
      <c r="I130" s="518"/>
      <c r="J130" s="518"/>
      <c r="K130" s="518"/>
      <c r="L130" s="518"/>
      <c r="M130" s="519"/>
      <c r="N130" s="1263"/>
      <c r="O130" s="1263"/>
      <c r="P130" s="22"/>
      <c r="Q130" s="485"/>
    </row>
    <row r="131" spans="1:17" s="452" customFormat="1" ht="14.4"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4.4"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2532</v>
      </c>
      <c r="B1" s="374"/>
      <c r="C1" s="375" t="s">
        <v>2580</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1999</v>
      </c>
      <c r="B2" s="654" t="e">
        <f>F61</f>
        <v>#DIV/0!</v>
      </c>
      <c r="C2" s="731" t="s">
        <v>2534</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38" t="s">
        <v>2331</v>
      </c>
      <c r="D4" s="3039"/>
      <c r="E4" s="3040" t="s">
        <v>2332</v>
      </c>
      <c r="F4" s="3041"/>
      <c r="G4" s="3038" t="s">
        <v>2333</v>
      </c>
      <c r="H4" s="3039"/>
      <c r="I4" s="3038" t="s">
        <v>2334</v>
      </c>
      <c r="J4" s="3039"/>
      <c r="K4" s="594" t="s">
        <v>2335</v>
      </c>
      <c r="L4" s="1238"/>
      <c r="M4" s="1239"/>
      <c r="N4" s="1239"/>
      <c r="O4" s="1239"/>
      <c r="P4" s="3042" t="s">
        <v>2336</v>
      </c>
      <c r="Q4" s="3043"/>
      <c r="R4" s="3048" t="s">
        <v>2332</v>
      </c>
      <c r="S4" s="3049"/>
      <c r="T4" s="3048" t="s">
        <v>2333</v>
      </c>
      <c r="U4" s="3049"/>
      <c r="V4" s="3054" t="s">
        <v>2334</v>
      </c>
      <c r="W4" s="3054"/>
      <c r="X4" s="1893"/>
      <c r="Y4" s="3048" t="s">
        <v>2336</v>
      </c>
      <c r="Z4" s="3049"/>
      <c r="AA4" s="3035" t="s">
        <v>2332</v>
      </c>
      <c r="AB4" s="3036" t="s">
        <v>2333</v>
      </c>
      <c r="AC4" s="3035" t="s">
        <v>2334</v>
      </c>
    </row>
    <row r="5" spans="1:29">
      <c r="A5" s="383"/>
      <c r="B5" s="384"/>
      <c r="C5" s="3057" t="s">
        <v>2337</v>
      </c>
      <c r="D5" s="3058"/>
      <c r="E5" s="3055" t="s">
        <v>2338</v>
      </c>
      <c r="F5" s="3056"/>
      <c r="G5" s="3057" t="s">
        <v>2339</v>
      </c>
      <c r="H5" s="3058"/>
      <c r="I5" s="3057" t="s">
        <v>2340</v>
      </c>
      <c r="J5" s="3058"/>
      <c r="K5" s="594"/>
      <c r="L5" s="1238"/>
      <c r="M5" s="1239"/>
      <c r="N5" s="1239"/>
      <c r="O5" s="1239"/>
      <c r="P5" s="3044"/>
      <c r="Q5" s="3045"/>
      <c r="R5" s="3050"/>
      <c r="S5" s="3051"/>
      <c r="T5" s="3050"/>
      <c r="U5" s="3051"/>
      <c r="V5" s="3054"/>
      <c r="W5" s="3054"/>
      <c r="X5" s="1893"/>
      <c r="Y5" s="3050"/>
      <c r="Z5" s="3051"/>
      <c r="AA5" s="3036"/>
      <c r="AB5" s="3036"/>
      <c r="AC5" s="3036"/>
    </row>
    <row r="6" spans="1:29" ht="15" thickBot="1">
      <c r="A6" s="385"/>
      <c r="B6" s="386"/>
      <c r="C6" s="3059" t="s">
        <v>2341</v>
      </c>
      <c r="D6" s="3060"/>
      <c r="E6" s="3061" t="s">
        <v>2341</v>
      </c>
      <c r="F6" s="3062"/>
      <c r="G6" s="3059" t="s">
        <v>2341</v>
      </c>
      <c r="H6" s="3060"/>
      <c r="I6" s="3059" t="s">
        <v>2341</v>
      </c>
      <c r="J6" s="3060"/>
      <c r="K6" s="594" t="s">
        <v>2342</v>
      </c>
      <c r="L6" s="1238"/>
      <c r="M6" s="1239"/>
      <c r="N6" s="1239"/>
      <c r="O6" s="1239"/>
      <c r="P6" s="3046"/>
      <c r="Q6" s="3047"/>
      <c r="R6" s="3050"/>
      <c r="S6" s="3051"/>
      <c r="T6" s="3052"/>
      <c r="U6" s="3053"/>
      <c r="V6" s="3054"/>
      <c r="W6" s="3054"/>
      <c r="X6" s="1893"/>
      <c r="Y6" s="3052"/>
      <c r="Z6" s="3053"/>
      <c r="AA6" s="3037"/>
      <c r="AB6" s="3037"/>
      <c r="AC6" s="3037"/>
    </row>
    <row r="7" spans="1:29" s="35" customFormat="1" ht="15" thickBot="1">
      <c r="A7" s="387" t="s">
        <v>2343</v>
      </c>
      <c r="B7" s="388"/>
      <c r="C7" s="389">
        <f>'数据-取费表'!B2</f>
        <v>43924</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70" t="s">
        <v>2344</v>
      </c>
      <c r="Q7" s="3072"/>
      <c r="R7" s="748" t="s">
        <v>25</v>
      </c>
      <c r="S7" s="749">
        <f t="shared" ref="S7:S15" si="0">F7</f>
        <v>0</v>
      </c>
      <c r="T7" s="748" t="s">
        <v>25</v>
      </c>
      <c r="U7" s="749">
        <f t="shared" ref="U7:U15" si="1">H7</f>
        <v>0</v>
      </c>
      <c r="V7" s="748" t="s">
        <v>25</v>
      </c>
      <c r="W7" s="749">
        <f t="shared" ref="W7:W15" si="2">J7</f>
        <v>0</v>
      </c>
      <c r="X7" s="750"/>
      <c r="Y7" s="3070" t="s">
        <v>2344</v>
      </c>
      <c r="Z7" s="3071"/>
      <c r="AA7" s="751" t="e">
        <f>D7/F7</f>
        <v>#DIV/0!</v>
      </c>
      <c r="AB7" s="751" t="e">
        <f>D7/H7</f>
        <v>#DIV/0!</v>
      </c>
      <c r="AC7" s="751" t="e">
        <f>D7/J7</f>
        <v>#DIV/0!</v>
      </c>
    </row>
    <row r="8" spans="1:29" s="35" customFormat="1" ht="1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70" t="s">
        <v>2347</v>
      </c>
      <c r="Q8" s="3071"/>
      <c r="R8" s="748" t="s">
        <v>25</v>
      </c>
      <c r="S8" s="749">
        <f t="shared" si="0"/>
        <v>0</v>
      </c>
      <c r="T8" s="748" t="s">
        <v>25</v>
      </c>
      <c r="U8" s="749">
        <f t="shared" si="1"/>
        <v>0</v>
      </c>
      <c r="V8" s="748" t="s">
        <v>25</v>
      </c>
      <c r="W8" s="749">
        <f t="shared" si="2"/>
        <v>0</v>
      </c>
      <c r="X8" s="750"/>
      <c r="Y8" s="3070" t="s">
        <v>2347</v>
      </c>
      <c r="Z8" s="3071"/>
      <c r="AA8" s="751" t="e">
        <f t="shared" ref="AA8:AA40" si="3">D8/F8</f>
        <v>#DIV/0!</v>
      </c>
      <c r="AB8" s="751" t="e">
        <f t="shared" ref="AB8:AB40" si="4">D8/H8</f>
        <v>#DIV/0!</v>
      </c>
      <c r="AC8" s="751" t="e">
        <f t="shared" ref="AC8:AC40" si="5">D8/J8</f>
        <v>#DIV/0!</v>
      </c>
    </row>
    <row r="9" spans="1:29" s="35" customFormat="1" ht="14.4">
      <c r="A9" s="395" t="s">
        <v>2348</v>
      </c>
      <c r="B9" s="28" t="s">
        <v>2349</v>
      </c>
      <c r="C9" s="2476" t="s">
        <v>2581</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74" t="s">
        <v>2350</v>
      </c>
      <c r="Q9" s="1880" t="str">
        <f t="shared" ref="Q9:Q15" si="6">B9</f>
        <v>用途</v>
      </c>
      <c r="R9" s="748" t="s">
        <v>25</v>
      </c>
      <c r="S9" s="749">
        <f t="shared" si="0"/>
        <v>100</v>
      </c>
      <c r="T9" s="748" t="s">
        <v>25</v>
      </c>
      <c r="U9" s="749">
        <f t="shared" si="1"/>
        <v>100</v>
      </c>
      <c r="V9" s="748" t="s">
        <v>25</v>
      </c>
      <c r="W9" s="749">
        <f t="shared" si="2"/>
        <v>100</v>
      </c>
      <c r="X9" s="750"/>
      <c r="Y9" s="2865" t="s">
        <v>2351</v>
      </c>
      <c r="Z9" s="23" t="str">
        <f t="shared" ref="Z9:Z15" si="7">Q9</f>
        <v>用途</v>
      </c>
      <c r="AA9" s="751">
        <f t="shared" si="3"/>
        <v>1</v>
      </c>
      <c r="AB9" s="751">
        <f t="shared" si="4"/>
        <v>1</v>
      </c>
      <c r="AC9" s="751">
        <f t="shared" si="5"/>
        <v>1</v>
      </c>
    </row>
    <row r="10" spans="1:29" s="407" customFormat="1" ht="28.8">
      <c r="A10" s="401"/>
      <c r="B10" s="402" t="s">
        <v>2352</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74"/>
      <c r="Q10" s="1880" t="str">
        <f t="shared" si="6"/>
        <v>土地使用年限（年）</v>
      </c>
      <c r="R10" s="748" t="s">
        <v>25</v>
      </c>
      <c r="S10" s="749">
        <f t="shared" si="0"/>
        <v>108</v>
      </c>
      <c r="T10" s="748" t="s">
        <v>25</v>
      </c>
      <c r="U10" s="749">
        <f t="shared" si="1"/>
        <v>108</v>
      </c>
      <c r="V10" s="748" t="s">
        <v>25</v>
      </c>
      <c r="W10" s="749">
        <f t="shared" si="2"/>
        <v>108</v>
      </c>
      <c r="X10" s="750"/>
      <c r="Y10" s="2865"/>
      <c r="Z10" s="23" t="str">
        <f t="shared" si="7"/>
        <v>土地使用年限（年）</v>
      </c>
      <c r="AA10" s="751">
        <f t="shared" si="3"/>
        <v>0.92592592592592593</v>
      </c>
      <c r="AB10" s="751">
        <f t="shared" si="4"/>
        <v>0.92592592592592593</v>
      </c>
      <c r="AC10" s="751">
        <f t="shared" si="5"/>
        <v>0.92592592592592593</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4"/>
      <c r="Q11" s="1880" t="str">
        <f t="shared" si="6"/>
        <v>容积率</v>
      </c>
      <c r="R11" s="748" t="s">
        <v>25</v>
      </c>
      <c r="S11" s="749" t="e">
        <f t="shared" si="0"/>
        <v>#N/A</v>
      </c>
      <c r="T11" s="748" t="s">
        <v>25</v>
      </c>
      <c r="U11" s="749" t="e">
        <f t="shared" si="1"/>
        <v>#N/A</v>
      </c>
      <c r="V11" s="748" t="s">
        <v>25</v>
      </c>
      <c r="W11" s="749" t="e">
        <f t="shared" si="2"/>
        <v>#N/A</v>
      </c>
      <c r="X11" s="750"/>
      <c r="Y11" s="286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4"/>
      <c r="Q12" s="1880">
        <f t="shared" si="6"/>
        <v>111</v>
      </c>
      <c r="R12" s="748" t="s">
        <v>25</v>
      </c>
      <c r="S12" s="749">
        <f t="shared" si="0"/>
        <v>100</v>
      </c>
      <c r="T12" s="748" t="s">
        <v>25</v>
      </c>
      <c r="U12" s="749">
        <f t="shared" si="1"/>
        <v>100</v>
      </c>
      <c r="V12" s="748" t="s">
        <v>25</v>
      </c>
      <c r="W12" s="749">
        <f t="shared" si="2"/>
        <v>100</v>
      </c>
      <c r="X12" s="750"/>
      <c r="Y12" s="286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4"/>
      <c r="Q13" s="1880">
        <f t="shared" si="6"/>
        <v>111</v>
      </c>
      <c r="R13" s="748" t="s">
        <v>25</v>
      </c>
      <c r="S13" s="749">
        <f t="shared" si="0"/>
        <v>100</v>
      </c>
      <c r="T13" s="748" t="s">
        <v>25</v>
      </c>
      <c r="U13" s="749">
        <f t="shared" si="1"/>
        <v>100</v>
      </c>
      <c r="V13" s="748" t="s">
        <v>25</v>
      </c>
      <c r="W13" s="749">
        <f t="shared" si="2"/>
        <v>100</v>
      </c>
      <c r="X13" s="750"/>
      <c r="Y13" s="2865"/>
      <c r="Z13" s="23">
        <f t="shared" si="7"/>
        <v>111</v>
      </c>
      <c r="AA13" s="751">
        <f t="shared" si="3"/>
        <v>1</v>
      </c>
      <c r="AB13" s="751">
        <f t="shared" si="4"/>
        <v>1</v>
      </c>
      <c r="AC13" s="751">
        <f t="shared" si="5"/>
        <v>1</v>
      </c>
    </row>
    <row r="14" spans="1:29" ht="15.6"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4"/>
      <c r="Q14" s="1880">
        <f t="shared" si="6"/>
        <v>111</v>
      </c>
      <c r="R14" s="748" t="s">
        <v>25</v>
      </c>
      <c r="S14" s="749">
        <f t="shared" si="0"/>
        <v>100</v>
      </c>
      <c r="T14" s="748" t="s">
        <v>25</v>
      </c>
      <c r="U14" s="749">
        <f t="shared" si="1"/>
        <v>100</v>
      </c>
      <c r="V14" s="748" t="s">
        <v>25</v>
      </c>
      <c r="W14" s="749">
        <f t="shared" si="2"/>
        <v>100</v>
      </c>
      <c r="X14" s="750"/>
      <c r="Y14" s="2865"/>
      <c r="Z14" s="23">
        <f t="shared" si="7"/>
        <v>111</v>
      </c>
      <c r="AA14" s="751">
        <f t="shared" si="3"/>
        <v>1</v>
      </c>
      <c r="AB14" s="751">
        <f t="shared" si="4"/>
        <v>1</v>
      </c>
      <c r="AC14" s="751">
        <f t="shared" si="5"/>
        <v>1</v>
      </c>
    </row>
    <row r="15" spans="1:29" ht="69">
      <c r="A15" s="419" t="s">
        <v>2354</v>
      </c>
      <c r="B15" s="613" t="s">
        <v>2582</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63" t="s">
        <v>2355</v>
      </c>
      <c r="Q15" s="1892" t="str">
        <f t="shared" si="6"/>
        <v>产业集聚程度</v>
      </c>
      <c r="R15" s="752" t="s">
        <v>25</v>
      </c>
      <c r="S15" s="753">
        <f t="shared" si="0"/>
        <v>100</v>
      </c>
      <c r="T15" s="752" t="s">
        <v>25</v>
      </c>
      <c r="U15" s="753">
        <f t="shared" si="1"/>
        <v>100</v>
      </c>
      <c r="V15" s="752" t="s">
        <v>25</v>
      </c>
      <c r="W15" s="753">
        <f t="shared" si="2"/>
        <v>100</v>
      </c>
      <c r="X15" s="1893"/>
      <c r="Y15" s="3063" t="s">
        <v>2355</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8"/>
      <c r="M16" s="1239"/>
      <c r="N16" s="1239"/>
      <c r="O16" s="1247"/>
      <c r="P16" s="3064"/>
      <c r="Q16" s="1892"/>
      <c r="R16" s="752"/>
      <c r="S16" s="753"/>
      <c r="T16" s="752"/>
      <c r="U16" s="753"/>
      <c r="V16" s="752"/>
      <c r="W16" s="753"/>
      <c r="X16" s="1893"/>
      <c r="Y16" s="3064"/>
      <c r="Z16" s="1895"/>
      <c r="AA16" s="1896">
        <v>1</v>
      </c>
      <c r="AB16" s="1896">
        <v>1</v>
      </c>
      <c r="AC16" s="1896">
        <v>1</v>
      </c>
    </row>
    <row r="17" spans="1:29" ht="96.6">
      <c r="A17" s="408"/>
      <c r="B17" s="615" t="s">
        <v>2498</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4"/>
      <c r="Q17" s="1892" t="str">
        <f>B17</f>
        <v>交通便捷度</v>
      </c>
      <c r="R17" s="752" t="s">
        <v>25</v>
      </c>
      <c r="S17" s="753">
        <f>F17</f>
        <v>100</v>
      </c>
      <c r="T17" s="752" t="s">
        <v>25</v>
      </c>
      <c r="U17" s="753">
        <f>H17</f>
        <v>100</v>
      </c>
      <c r="V17" s="752" t="s">
        <v>25</v>
      </c>
      <c r="W17" s="753">
        <f>J17</f>
        <v>100</v>
      </c>
      <c r="X17" s="1893"/>
      <c r="Y17" s="3064"/>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6"/>
      <c r="J18" s="427"/>
      <c r="K18" s="655"/>
      <c r="L18" s="1248"/>
      <c r="M18" s="1239"/>
      <c r="N18" s="1239"/>
      <c r="O18" s="1247"/>
      <c r="P18" s="3064"/>
      <c r="Q18" s="1892"/>
      <c r="R18" s="752"/>
      <c r="S18" s="753"/>
      <c r="T18" s="752"/>
      <c r="U18" s="753"/>
      <c r="V18" s="752"/>
      <c r="W18" s="753"/>
      <c r="X18" s="1893"/>
      <c r="Y18" s="3064"/>
      <c r="Z18" s="1895"/>
      <c r="AA18" s="1896">
        <v>1</v>
      </c>
      <c r="AB18" s="1896">
        <v>1</v>
      </c>
      <c r="AC18" s="1896">
        <v>1</v>
      </c>
    </row>
    <row r="19" spans="1:29" ht="28.8">
      <c r="A19" s="408"/>
      <c r="B19" s="615" t="s">
        <v>2538</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4"/>
      <c r="Q19" s="1892" t="str">
        <f t="shared" ref="Q19:Q33" si="8">B19</f>
        <v>区域土地利用方向</v>
      </c>
      <c r="R19" s="752" t="s">
        <v>25</v>
      </c>
      <c r="S19" s="753">
        <f>F19</f>
        <v>100</v>
      </c>
      <c r="T19" s="752" t="s">
        <v>25</v>
      </c>
      <c r="U19" s="753">
        <f>H19</f>
        <v>100</v>
      </c>
      <c r="V19" s="752" t="s">
        <v>25</v>
      </c>
      <c r="W19" s="753">
        <f>J19</f>
        <v>100</v>
      </c>
      <c r="X19" s="1893"/>
      <c r="Y19" s="3064"/>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8"/>
      <c r="M20" s="1239"/>
      <c r="N20" s="1239"/>
      <c r="O20" s="1247"/>
      <c r="P20" s="3064"/>
      <c r="Q20" s="1892"/>
      <c r="R20" s="752"/>
      <c r="S20" s="753"/>
      <c r="T20" s="752"/>
      <c r="U20" s="753"/>
      <c r="V20" s="752"/>
      <c r="W20" s="753"/>
      <c r="X20" s="1893"/>
      <c r="Y20" s="3064"/>
      <c r="Z20" s="1895"/>
      <c r="AA20" s="1896"/>
      <c r="AB20" s="1896"/>
      <c r="AC20" s="1896"/>
    </row>
    <row r="21" spans="1:29" ht="82.8">
      <c r="A21" s="383"/>
      <c r="B21" s="615" t="s">
        <v>2583</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4"/>
      <c r="Q21" s="1892" t="str">
        <f t="shared" si="8"/>
        <v>环境状况</v>
      </c>
      <c r="R21" s="752" t="s">
        <v>25</v>
      </c>
      <c r="S21" s="753">
        <f>F21</f>
        <v>100</v>
      </c>
      <c r="T21" s="752" t="s">
        <v>25</v>
      </c>
      <c r="U21" s="753">
        <f>H21</f>
        <v>100</v>
      </c>
      <c r="V21" s="752" t="s">
        <v>25</v>
      </c>
      <c r="W21" s="753">
        <f>J21</f>
        <v>100</v>
      </c>
      <c r="X21" s="1893"/>
      <c r="Y21" s="3064"/>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8"/>
      <c r="M22" s="1239"/>
      <c r="N22" s="1239"/>
      <c r="O22" s="1247"/>
      <c r="P22" s="3064"/>
      <c r="Q22" s="1892"/>
      <c r="R22" s="752"/>
      <c r="S22" s="753"/>
      <c r="T22" s="752"/>
      <c r="U22" s="753"/>
      <c r="V22" s="752"/>
      <c r="W22" s="753"/>
      <c r="X22" s="1893"/>
      <c r="Y22" s="3064"/>
      <c r="Z22" s="1895"/>
      <c r="AA22" s="1896">
        <v>1</v>
      </c>
      <c r="AB22" s="1896">
        <v>1</v>
      </c>
      <c r="AC22" s="1896">
        <v>1</v>
      </c>
    </row>
    <row r="23" spans="1:29" s="35" customFormat="1" ht="41.4">
      <c r="A23" s="633"/>
      <c r="B23" s="615" t="s">
        <v>2441</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4"/>
      <c r="Q23" s="1880" t="str">
        <f t="shared" si="8"/>
        <v>公共配套设施</v>
      </c>
      <c r="R23" s="748" t="s">
        <v>25</v>
      </c>
      <c r="S23" s="749">
        <f>F23</f>
        <v>100</v>
      </c>
      <c r="T23" s="748" t="s">
        <v>25</v>
      </c>
      <c r="U23" s="749">
        <f>H23</f>
        <v>100</v>
      </c>
      <c r="V23" s="748" t="s">
        <v>25</v>
      </c>
      <c r="W23" s="749">
        <f>J23</f>
        <v>100</v>
      </c>
      <c r="X23" s="750"/>
      <c r="Y23" s="3064"/>
      <c r="Z23" s="23" t="str">
        <f>Q23</f>
        <v>公共配套设施</v>
      </c>
      <c r="AA23" s="1896">
        <f>D23/F23</f>
        <v>1</v>
      </c>
      <c r="AB23" s="1896">
        <f>D23/H23</f>
        <v>1</v>
      </c>
      <c r="AC23" s="1896">
        <f>D23/J23</f>
        <v>1</v>
      </c>
    </row>
    <row r="24" spans="1:29" s="35" customFormat="1" ht="15">
      <c r="A24" s="633"/>
      <c r="B24" s="616"/>
      <c r="C24" s="2490"/>
      <c r="D24" s="427"/>
      <c r="E24" s="1466"/>
      <c r="F24" s="427"/>
      <c r="G24" s="1466"/>
      <c r="H24" s="427"/>
      <c r="I24" s="426"/>
      <c r="J24" s="427"/>
      <c r="K24" s="655"/>
      <c r="L24" s="1240"/>
      <c r="M24" s="1241"/>
      <c r="N24" s="1241"/>
      <c r="O24" s="1242"/>
      <c r="P24" s="3064"/>
      <c r="Q24" s="1880"/>
      <c r="R24" s="748"/>
      <c r="S24" s="749"/>
      <c r="T24" s="748"/>
      <c r="U24" s="749"/>
      <c r="V24" s="748"/>
      <c r="W24" s="749"/>
      <c r="X24" s="750"/>
      <c r="Y24" s="3064"/>
      <c r="Z24" s="23"/>
      <c r="AA24" s="751">
        <v>1</v>
      </c>
      <c r="AB24" s="751">
        <v>1</v>
      </c>
      <c r="AC24" s="751">
        <v>1</v>
      </c>
    </row>
    <row r="25" spans="1:29" s="35" customFormat="1" ht="41.4">
      <c r="A25" s="633"/>
      <c r="B25" s="617" t="s">
        <v>2442</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4"/>
      <c r="Q25" s="1880" t="str">
        <f t="shared" ref="Q25" si="9">B25</f>
        <v>基础设施水平</v>
      </c>
      <c r="R25" s="748" t="s">
        <v>25</v>
      </c>
      <c r="S25" s="749">
        <f>F25</f>
        <v>100</v>
      </c>
      <c r="T25" s="748" t="s">
        <v>25</v>
      </c>
      <c r="U25" s="749">
        <f>H25</f>
        <v>100</v>
      </c>
      <c r="V25" s="748" t="s">
        <v>25</v>
      </c>
      <c r="W25" s="749">
        <f>J25</f>
        <v>100</v>
      </c>
      <c r="X25" s="750"/>
      <c r="Y25" s="3064"/>
      <c r="Z25" s="23" t="str">
        <f>Q25</f>
        <v>基础设施水平</v>
      </c>
      <c r="AA25" s="1896">
        <f>D25/F25</f>
        <v>1</v>
      </c>
      <c r="AB25" s="1896">
        <f>D25/H25</f>
        <v>1</v>
      </c>
      <c r="AC25" s="1896">
        <f>D25/J25</f>
        <v>1</v>
      </c>
    </row>
    <row r="26" spans="1:29" s="35" customFormat="1" ht="15">
      <c r="A26" s="633"/>
      <c r="B26" s="616"/>
      <c r="C26" s="2490"/>
      <c r="D26" s="427"/>
      <c r="E26" s="2479"/>
      <c r="F26" s="427"/>
      <c r="G26" s="2479"/>
      <c r="H26" s="427"/>
      <c r="I26" s="2479"/>
      <c r="J26" s="427"/>
      <c r="K26" s="655"/>
      <c r="L26" s="1240"/>
      <c r="M26" s="1241"/>
      <c r="N26" s="1241"/>
      <c r="O26" s="1242"/>
      <c r="P26" s="3064"/>
      <c r="Q26" s="1880"/>
      <c r="R26" s="748"/>
      <c r="S26" s="749"/>
      <c r="T26" s="748"/>
      <c r="U26" s="749"/>
      <c r="V26" s="748"/>
      <c r="W26" s="749"/>
      <c r="X26" s="750"/>
      <c r="Y26" s="3064"/>
      <c r="Z26" s="23"/>
      <c r="AA26" s="751">
        <v>1</v>
      </c>
      <c r="AB26" s="751">
        <v>1</v>
      </c>
      <c r="AC26" s="751">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4"/>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64"/>
      <c r="Z27" s="1895" t="str">
        <f t="shared" ref="Z27:Z40" si="13">Q27</f>
        <v>临街状况</v>
      </c>
      <c r="AA27" s="1896">
        <f t="shared" si="3"/>
        <v>1</v>
      </c>
      <c r="AB27" s="1896">
        <f t="shared" si="4"/>
        <v>1</v>
      </c>
      <c r="AC27" s="1896">
        <f t="shared" si="5"/>
        <v>1</v>
      </c>
    </row>
    <row r="28" spans="1:29" ht="28.8">
      <c r="A28" s="408"/>
      <c r="B28" s="617" t="s">
        <v>2473</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4"/>
      <c r="Q28" s="1892" t="str">
        <f t="shared" si="8"/>
        <v>毗邻道路的类型与等级</v>
      </c>
      <c r="R28" s="752" t="s">
        <v>25</v>
      </c>
      <c r="S28" s="753">
        <f t="shared" si="10"/>
        <v>100</v>
      </c>
      <c r="T28" s="752" t="s">
        <v>25</v>
      </c>
      <c r="U28" s="753">
        <f t="shared" si="11"/>
        <v>100</v>
      </c>
      <c r="V28" s="752" t="s">
        <v>25</v>
      </c>
      <c r="W28" s="753">
        <f t="shared" si="12"/>
        <v>100</v>
      </c>
      <c r="X28" s="1893"/>
      <c r="Y28" s="3064"/>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8"/>
      <c r="M29" s="1239"/>
      <c r="N29" s="1239"/>
      <c r="O29" s="1247"/>
      <c r="P29" s="3064"/>
      <c r="Q29" s="1892"/>
      <c r="R29" s="752"/>
      <c r="S29" s="753"/>
      <c r="T29" s="752"/>
      <c r="U29" s="753"/>
      <c r="V29" s="752"/>
      <c r="W29" s="753"/>
      <c r="X29" s="1893"/>
      <c r="Y29" s="3064"/>
      <c r="Z29" s="1895"/>
      <c r="AA29" s="1896">
        <v>1</v>
      </c>
      <c r="AB29" s="1896">
        <v>1</v>
      </c>
      <c r="AC29" s="1896">
        <v>1</v>
      </c>
    </row>
    <row r="30" spans="1:29" ht="15">
      <c r="A30" s="408"/>
      <c r="B30" s="637" t="s">
        <v>2540</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4"/>
      <c r="Q30" s="1892" t="str">
        <f t="shared" si="8"/>
        <v>土地级别</v>
      </c>
      <c r="R30" s="752" t="s">
        <v>25</v>
      </c>
      <c r="S30" s="753">
        <f t="shared" si="10"/>
        <v>100</v>
      </c>
      <c r="T30" s="752" t="s">
        <v>25</v>
      </c>
      <c r="U30" s="753">
        <f t="shared" si="11"/>
        <v>100</v>
      </c>
      <c r="V30" s="752" t="s">
        <v>25</v>
      </c>
      <c r="W30" s="753">
        <f t="shared" si="12"/>
        <v>100</v>
      </c>
      <c r="X30" s="1893"/>
      <c r="Y30" s="3064"/>
      <c r="Z30" s="1895" t="str">
        <f t="shared" si="13"/>
        <v>土地级别</v>
      </c>
      <c r="AA30" s="1896">
        <f t="shared" si="3"/>
        <v>1</v>
      </c>
      <c r="AB30" s="1896">
        <f t="shared" si="4"/>
        <v>1</v>
      </c>
      <c r="AC30" s="1896">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4"/>
      <c r="Q31" s="1892">
        <f t="shared" si="8"/>
        <v>111</v>
      </c>
      <c r="R31" s="752" t="s">
        <v>25</v>
      </c>
      <c r="S31" s="753">
        <f t="shared" si="10"/>
        <v>100</v>
      </c>
      <c r="T31" s="752" t="s">
        <v>25</v>
      </c>
      <c r="U31" s="753">
        <f t="shared" si="11"/>
        <v>100</v>
      </c>
      <c r="V31" s="752" t="s">
        <v>25</v>
      </c>
      <c r="W31" s="753">
        <f t="shared" si="12"/>
        <v>100</v>
      </c>
      <c r="X31" s="1893"/>
      <c r="Y31" s="3064"/>
      <c r="Z31" s="1895">
        <f t="shared" si="13"/>
        <v>111</v>
      </c>
      <c r="AA31" s="1896">
        <f t="shared" si="3"/>
        <v>1</v>
      </c>
      <c r="AB31" s="1896">
        <f t="shared" si="4"/>
        <v>1</v>
      </c>
      <c r="AC31" s="1896">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3" t="s">
        <v>2361</v>
      </c>
      <c r="Q32" s="1892">
        <f t="shared" si="8"/>
        <v>111</v>
      </c>
      <c r="R32" s="752" t="s">
        <v>25</v>
      </c>
      <c r="S32" s="753">
        <f t="shared" si="10"/>
        <v>100</v>
      </c>
      <c r="T32" s="752" t="s">
        <v>25</v>
      </c>
      <c r="U32" s="753">
        <f t="shared" si="11"/>
        <v>100</v>
      </c>
      <c r="V32" s="752" t="s">
        <v>25</v>
      </c>
      <c r="W32" s="753">
        <f t="shared" si="12"/>
        <v>100</v>
      </c>
      <c r="X32" s="1893"/>
      <c r="Y32" s="3068" t="s">
        <v>2361</v>
      </c>
      <c r="Z32" s="1895">
        <f t="shared" si="13"/>
        <v>111</v>
      </c>
      <c r="AA32" s="1896">
        <f t="shared" si="3"/>
        <v>1</v>
      </c>
      <c r="AB32" s="1896">
        <f t="shared" si="4"/>
        <v>1</v>
      </c>
      <c r="AC32" s="1896">
        <f t="shared" si="5"/>
        <v>1</v>
      </c>
    </row>
    <row r="33" spans="1:29" s="452" customFormat="1" ht="15.6"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8"/>
      <c r="Q33" s="1892">
        <f t="shared" si="8"/>
        <v>111</v>
      </c>
      <c r="R33" s="755" t="s">
        <v>25</v>
      </c>
      <c r="S33" s="756">
        <f t="shared" si="10"/>
        <v>100</v>
      </c>
      <c r="T33" s="755" t="s">
        <v>25</v>
      </c>
      <c r="U33" s="756">
        <f t="shared" si="11"/>
        <v>100</v>
      </c>
      <c r="V33" s="755" t="s">
        <v>25</v>
      </c>
      <c r="W33" s="756">
        <f t="shared" si="12"/>
        <v>100</v>
      </c>
      <c r="X33" s="757"/>
      <c r="Y33" s="3068"/>
      <c r="Z33" s="758">
        <f t="shared" si="13"/>
        <v>111</v>
      </c>
      <c r="AA33" s="1896">
        <f t="shared" si="3"/>
        <v>1</v>
      </c>
      <c r="AB33" s="1896">
        <f t="shared" si="4"/>
        <v>1</v>
      </c>
      <c r="AC33" s="1896">
        <f t="shared" si="5"/>
        <v>1</v>
      </c>
    </row>
    <row r="34" spans="1:29" ht="30">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8"/>
      <c r="Q34" s="1892" t="str">
        <f>B34</f>
        <v>宗地面积</v>
      </c>
      <c r="R34" s="752" t="s">
        <v>25</v>
      </c>
      <c r="S34" s="753" t="e">
        <f t="shared" si="10"/>
        <v>#N/A</v>
      </c>
      <c r="T34" s="752" t="s">
        <v>25</v>
      </c>
      <c r="U34" s="753" t="e">
        <f t="shared" si="11"/>
        <v>#N/A</v>
      </c>
      <c r="V34" s="752" t="s">
        <v>25</v>
      </c>
      <c r="W34" s="753" t="e">
        <f t="shared" si="12"/>
        <v>#N/A</v>
      </c>
      <c r="X34" s="1893"/>
      <c r="Y34" s="3068"/>
      <c r="Z34" s="1895" t="str">
        <f t="shared" si="13"/>
        <v>宗地面积</v>
      </c>
      <c r="AA34" s="1896" t="e">
        <f t="shared" si="3"/>
        <v>#N/A</v>
      </c>
      <c r="AB34" s="1896" t="e">
        <f t="shared" si="4"/>
        <v>#N/A</v>
      </c>
      <c r="AC34" s="1896" t="e">
        <f t="shared" si="5"/>
        <v>#N/A</v>
      </c>
    </row>
    <row r="35" spans="1:29" ht="15">
      <c r="A35" s="453"/>
      <c r="B35" s="402" t="s">
        <v>2542</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68"/>
      <c r="Q35" s="1892" t="str">
        <f t="shared" ref="Q35:Q40" si="14">B35</f>
        <v>宗地形状</v>
      </c>
      <c r="R35" s="752" t="s">
        <v>25</v>
      </c>
      <c r="S35" s="753">
        <f t="shared" si="10"/>
        <v>100</v>
      </c>
      <c r="T35" s="752" t="s">
        <v>25</v>
      </c>
      <c r="U35" s="753">
        <f t="shared" si="11"/>
        <v>100</v>
      </c>
      <c r="V35" s="752" t="s">
        <v>25</v>
      </c>
      <c r="W35" s="753">
        <f t="shared" si="12"/>
        <v>100</v>
      </c>
      <c r="X35" s="1893"/>
      <c r="Y35" s="3068"/>
      <c r="Z35" s="1895" t="str">
        <f t="shared" si="13"/>
        <v>宗地形状</v>
      </c>
      <c r="AA35" s="1896">
        <f t="shared" si="3"/>
        <v>1</v>
      </c>
      <c r="AB35" s="1896">
        <f t="shared" si="4"/>
        <v>1</v>
      </c>
      <c r="AC35" s="1896">
        <f t="shared" si="5"/>
        <v>1</v>
      </c>
    </row>
    <row r="36" spans="1:29" s="35" customFormat="1" ht="15">
      <c r="A36" s="454"/>
      <c r="B36" s="402" t="s">
        <v>2544</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68"/>
      <c r="Q36" s="1892" t="str">
        <f t="shared" si="14"/>
        <v>宗地开发程度</v>
      </c>
      <c r="R36" s="748" t="s">
        <v>25</v>
      </c>
      <c r="S36" s="749">
        <f t="shared" si="10"/>
        <v>100</v>
      </c>
      <c r="T36" s="748" t="s">
        <v>25</v>
      </c>
      <c r="U36" s="749">
        <f t="shared" si="11"/>
        <v>100</v>
      </c>
      <c r="V36" s="748" t="s">
        <v>25</v>
      </c>
      <c r="W36" s="749">
        <f t="shared" si="12"/>
        <v>100</v>
      </c>
      <c r="X36" s="750"/>
      <c r="Y36" s="3068"/>
      <c r="Z36" s="23" t="str">
        <f t="shared" si="13"/>
        <v>宗地开发程度</v>
      </c>
      <c r="AA36" s="751">
        <f t="shared" si="3"/>
        <v>1</v>
      </c>
      <c r="AB36" s="751">
        <f t="shared" si="4"/>
        <v>1</v>
      </c>
      <c r="AC36" s="751">
        <f t="shared" si="5"/>
        <v>1</v>
      </c>
    </row>
    <row r="37" spans="1:29" ht="15">
      <c r="A37" s="453"/>
      <c r="B37" s="402" t="s">
        <v>2545</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68" t="s">
        <v>2361</v>
      </c>
      <c r="Q37" s="1892" t="str">
        <f t="shared" si="14"/>
        <v>工程地质条件</v>
      </c>
      <c r="R37" s="752" t="s">
        <v>25</v>
      </c>
      <c r="S37" s="753">
        <f t="shared" si="10"/>
        <v>100</v>
      </c>
      <c r="T37" s="752" t="s">
        <v>25</v>
      </c>
      <c r="U37" s="753">
        <f t="shared" si="11"/>
        <v>100</v>
      </c>
      <c r="V37" s="752" t="s">
        <v>25</v>
      </c>
      <c r="W37" s="753">
        <f t="shared" si="12"/>
        <v>100</v>
      </c>
      <c r="X37" s="1893"/>
      <c r="Y37" s="3068" t="s">
        <v>2361</v>
      </c>
      <c r="Z37" s="1895" t="str">
        <f t="shared" si="13"/>
        <v>工程地质条件</v>
      </c>
      <c r="AA37" s="1896">
        <f t="shared" si="3"/>
        <v>1</v>
      </c>
      <c r="AB37" s="1896">
        <f t="shared" si="4"/>
        <v>1</v>
      </c>
      <c r="AC37" s="1896">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8"/>
      <c r="Q38" s="1892">
        <f t="shared" si="14"/>
        <v>111</v>
      </c>
      <c r="R38" s="752" t="s">
        <v>25</v>
      </c>
      <c r="S38" s="753">
        <f t="shared" si="10"/>
        <v>100</v>
      </c>
      <c r="T38" s="752" t="s">
        <v>25</v>
      </c>
      <c r="U38" s="753">
        <f t="shared" si="11"/>
        <v>100</v>
      </c>
      <c r="V38" s="752" t="s">
        <v>25</v>
      </c>
      <c r="W38" s="753">
        <f t="shared" si="12"/>
        <v>100</v>
      </c>
      <c r="X38" s="1893"/>
      <c r="Y38" s="3068"/>
      <c r="Z38" s="1895">
        <f t="shared" si="13"/>
        <v>111</v>
      </c>
      <c r="AA38" s="1896">
        <f t="shared" si="3"/>
        <v>1</v>
      </c>
      <c r="AB38" s="1896">
        <f t="shared" si="4"/>
        <v>1</v>
      </c>
      <c r="AC38" s="1896">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8"/>
      <c r="Q39" s="1892">
        <f t="shared" si="14"/>
        <v>111</v>
      </c>
      <c r="R39" s="752" t="s">
        <v>25</v>
      </c>
      <c r="S39" s="753">
        <f t="shared" si="10"/>
        <v>100</v>
      </c>
      <c r="T39" s="752" t="s">
        <v>25</v>
      </c>
      <c r="U39" s="753">
        <f t="shared" si="11"/>
        <v>100</v>
      </c>
      <c r="V39" s="752" t="s">
        <v>25</v>
      </c>
      <c r="W39" s="753">
        <f t="shared" si="12"/>
        <v>100</v>
      </c>
      <c r="X39" s="1893"/>
      <c r="Y39" s="3068"/>
      <c r="Z39" s="1895">
        <f t="shared" si="13"/>
        <v>111</v>
      </c>
      <c r="AA39" s="1896">
        <f t="shared" si="3"/>
        <v>1</v>
      </c>
      <c r="AB39" s="1896">
        <f t="shared" si="4"/>
        <v>1</v>
      </c>
      <c r="AC39" s="1896">
        <f t="shared" si="5"/>
        <v>1</v>
      </c>
    </row>
    <row r="40" spans="1:29" s="452" customFormat="1" ht="15.6"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8"/>
      <c r="Q40" s="1892">
        <f t="shared" si="14"/>
        <v>111</v>
      </c>
      <c r="R40" s="755" t="s">
        <v>25</v>
      </c>
      <c r="S40" s="756">
        <f t="shared" si="10"/>
        <v>100</v>
      </c>
      <c r="T40" s="755" t="s">
        <v>25</v>
      </c>
      <c r="U40" s="756">
        <f t="shared" si="11"/>
        <v>100</v>
      </c>
      <c r="V40" s="755" t="s">
        <v>25</v>
      </c>
      <c r="W40" s="756">
        <f t="shared" si="12"/>
        <v>100</v>
      </c>
      <c r="X40" s="757"/>
      <c r="Y40" s="3068"/>
      <c r="Z40" s="758">
        <f t="shared" si="13"/>
        <v>111</v>
      </c>
      <c r="AA40" s="1896">
        <f t="shared" si="3"/>
        <v>1</v>
      </c>
      <c r="AB40" s="1896">
        <f t="shared" si="4"/>
        <v>1</v>
      </c>
      <c r="AC40" s="1896">
        <f t="shared" si="5"/>
        <v>1</v>
      </c>
    </row>
    <row r="41" spans="1:29" ht="14.4">
      <c r="A41" s="460" t="s">
        <v>2509</v>
      </c>
      <c r="B41" s="2484" t="s">
        <v>2584</v>
      </c>
      <c r="C41" s="665" t="s">
        <v>1</v>
      </c>
      <c r="D41" s="462"/>
      <c r="E41" s="463"/>
      <c r="F41" s="464"/>
      <c r="G41" s="465"/>
      <c r="H41" s="466"/>
      <c r="I41" s="463"/>
      <c r="J41" s="466"/>
      <c r="K41" s="761"/>
      <c r="L41" s="1251"/>
      <c r="M41" s="1239"/>
      <c r="N41" s="1239"/>
      <c r="O41" s="1252"/>
      <c r="P41" s="3074" t="str">
        <f>A41</f>
        <v>成交单价</v>
      </c>
      <c r="Q41" s="3074"/>
      <c r="R41" s="3054">
        <f>E41</f>
        <v>0</v>
      </c>
      <c r="S41" s="3054"/>
      <c r="T41" s="3054">
        <f>G41</f>
        <v>0</v>
      </c>
      <c r="U41" s="3054"/>
      <c r="V41" s="3054">
        <f>I41</f>
        <v>0</v>
      </c>
      <c r="W41" s="3054"/>
      <c r="X41" s="737"/>
      <c r="Y41" s="759"/>
      <c r="Z41" s="737"/>
      <c r="AA41" s="737"/>
      <c r="AB41" s="737"/>
      <c r="AC41" s="737"/>
    </row>
    <row r="42" spans="1:29" ht="15" thickBot="1">
      <c r="A42" s="467" t="s">
        <v>2456</v>
      </c>
      <c r="B42" s="666"/>
      <c r="C42" s="471" t="e">
        <f>R43</f>
        <v>#DIV/0!</v>
      </c>
      <c r="D42" s="470"/>
      <c r="E42" s="471" t="e">
        <f>R42</f>
        <v>#DIV/0!</v>
      </c>
      <c r="F42" s="472"/>
      <c r="G42" s="469" t="e">
        <f>T42</f>
        <v>#DIV/0!</v>
      </c>
      <c r="H42" s="470"/>
      <c r="I42" s="471" t="e">
        <f>V42</f>
        <v>#DIV/0!</v>
      </c>
      <c r="J42" s="470"/>
      <c r="K42" s="762"/>
      <c r="L42" s="1251"/>
      <c r="M42" s="1239"/>
      <c r="N42" s="1239"/>
      <c r="O42" s="1252"/>
      <c r="P42" s="3074" t="str">
        <f>A42</f>
        <v>比较价值（元/平方米）</v>
      </c>
      <c r="Q42" s="3074"/>
      <c r="R42" s="3094" t="e">
        <f>ROUND(PRODUCT(R41,AA7:AA40),0)</f>
        <v>#DIV/0!</v>
      </c>
      <c r="S42" s="3094"/>
      <c r="T42" s="3094" t="e">
        <f>ROUND(PRODUCT(T41,AB7:AB40),0)</f>
        <v>#DIV/0!</v>
      </c>
      <c r="U42" s="3094"/>
      <c r="V42" s="3094" t="e">
        <f>ROUND(PRODUCT(V41,AC7:AC40),0)</f>
        <v>#DIV/0!</v>
      </c>
      <c r="W42" s="3094"/>
      <c r="X42" s="737"/>
      <c r="Y42" s="737"/>
      <c r="Z42" s="737"/>
      <c r="AA42" s="737"/>
      <c r="AB42" s="737"/>
      <c r="AC42" s="737"/>
    </row>
    <row r="43" spans="1:29" ht="15" thickBot="1">
      <c r="A43" s="473" t="s">
        <v>2479</v>
      </c>
      <c r="B43" s="474"/>
      <c r="C43" s="475" t="e">
        <f>R43</f>
        <v>#DIV/0!</v>
      </c>
      <c r="D43" s="475"/>
      <c r="E43" s="475"/>
      <c r="F43" s="475"/>
      <c r="G43" s="475"/>
      <c r="H43" s="475"/>
      <c r="I43" s="475"/>
      <c r="J43" s="475"/>
      <c r="K43" s="763"/>
      <c r="L43" s="1251"/>
      <c r="M43" s="1239"/>
      <c r="N43" s="1239"/>
      <c r="O43" s="1252"/>
      <c r="P43" s="3080" t="str">
        <f>A43</f>
        <v>估价对象XX用房的比较价值（楼面单价，元/平方米）</v>
      </c>
      <c r="Q43" s="3081"/>
      <c r="R43" s="3095" t="e">
        <f>ROUND(AVERAGE(R42:V42),0)</f>
        <v>#DIV/0!</v>
      </c>
      <c r="S43" s="3095"/>
      <c r="T43" s="3095"/>
      <c r="U43" s="3095"/>
      <c r="V43" s="3095"/>
      <c r="W43" s="3095"/>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4.4" thickBot="1">
      <c r="A49" s="1254"/>
      <c r="B49" s="1255"/>
      <c r="C49" s="1260"/>
      <c r="D49" s="1254"/>
      <c r="E49" s="1254"/>
      <c r="F49" s="1254"/>
      <c r="G49" s="1254"/>
      <c r="H49" s="1254"/>
      <c r="I49" s="1254"/>
      <c r="J49" s="1254"/>
      <c r="K49" s="1258"/>
      <c r="L49" s="1259"/>
      <c r="M49" s="1254"/>
      <c r="N49" s="1254"/>
      <c r="O49" s="1254"/>
    </row>
    <row r="50" spans="1:17" ht="28.8">
      <c r="A50" s="667" t="s">
        <v>2547</v>
      </c>
      <c r="B50" s="668" t="s">
        <v>2548</v>
      </c>
      <c r="C50" s="2485" t="s">
        <v>2549</v>
      </c>
      <c r="D50" s="2486" t="s">
        <v>2550</v>
      </c>
      <c r="E50" s="669" t="s">
        <v>2551</v>
      </c>
      <c r="F50" s="670" t="s">
        <v>2552</v>
      </c>
      <c r="G50" s="1895" t="s">
        <v>2585</v>
      </c>
      <c r="H50" s="1895" t="str">
        <f>项目基本情况!G8</f>
        <v>XX</v>
      </c>
      <c r="I50" s="1843" t="s">
        <v>2554</v>
      </c>
      <c r="J50" s="1257"/>
      <c r="K50" s="1253"/>
      <c r="L50" s="1253"/>
      <c r="M50" s="1252"/>
      <c r="N50" s="1252"/>
      <c r="O50" s="1252"/>
    </row>
    <row r="51" spans="1:17" s="675" customFormat="1">
      <c r="A51" s="671" t="s">
        <v>2555</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2556</v>
      </c>
      <c r="B52" s="178" t="e">
        <f>ROUND($C$43*C52*D52,0)</f>
        <v>#DIV/0!</v>
      </c>
      <c r="C52" s="117">
        <f>IF($C$50="北京市系数",G52,H52)</f>
        <v>0.7</v>
      </c>
      <c r="D52" s="1287">
        <v>0.25</v>
      </c>
      <c r="E52" s="677">
        <v>0</v>
      </c>
      <c r="F52" s="674" t="e">
        <f t="shared" si="15"/>
        <v>#DIV/0!</v>
      </c>
      <c r="G52" s="967">
        <f>SUMIF(修正!$A$45:$A$56,项目基本情况!$F$9,修正!B45:B56)</f>
        <v>0.7</v>
      </c>
      <c r="H52" s="968"/>
      <c r="I52" s="1252"/>
      <c r="J52" s="1257"/>
      <c r="K52" s="1253"/>
      <c r="L52" s="1253"/>
      <c r="M52" s="1252"/>
      <c r="N52" s="1252"/>
      <c r="O52" s="1252"/>
    </row>
    <row r="53" spans="1:17" s="675" customFormat="1">
      <c r="A53" s="676" t="s">
        <v>2557</v>
      </c>
      <c r="B53" s="178" t="e">
        <f t="shared" ref="B53:B60" si="16">ROUND($C$43*C53*D53,0)</f>
        <v>#DIV/0!</v>
      </c>
      <c r="C53" s="117">
        <f t="shared" ref="C53:C60" si="17">IF($C$50="北京市系数",G53,H53)</f>
        <v>0.4</v>
      </c>
      <c r="D53" s="1287">
        <v>0.25</v>
      </c>
      <c r="E53" s="677">
        <v>0</v>
      </c>
      <c r="F53" s="674" t="e">
        <f t="shared" si="15"/>
        <v>#DIV/0!</v>
      </c>
      <c r="G53" s="967">
        <f>SUMIF(修正!$A$45:$A$56,项目基本情况!$F$9,修正!C45:C56)</f>
        <v>0.4</v>
      </c>
      <c r="H53" s="968"/>
      <c r="I53" s="1254"/>
      <c r="J53" s="1257"/>
      <c r="K53" s="1253"/>
      <c r="L53" s="1253"/>
      <c r="M53" s="1252"/>
      <c r="N53" s="1252"/>
      <c r="O53" s="1252"/>
    </row>
    <row r="54" spans="1:17" s="675" customFormat="1">
      <c r="A54" s="676" t="s">
        <v>2558</v>
      </c>
      <c r="B54" s="178" t="e">
        <f t="shared" si="16"/>
        <v>#DIV/0!</v>
      </c>
      <c r="C54" s="117">
        <f t="shared" si="17"/>
        <v>0.28000000000000003</v>
      </c>
      <c r="D54" s="1287">
        <v>0.25</v>
      </c>
      <c r="E54" s="677">
        <v>0</v>
      </c>
      <c r="F54" s="674" t="e">
        <f t="shared" si="15"/>
        <v>#DIV/0!</v>
      </c>
      <c r="G54" s="967">
        <f>SUMIF(修正!$A$45:$A$56,项目基本情况!$F$9,修正!D45:D56)</f>
        <v>0.28000000000000003</v>
      </c>
      <c r="H54" s="968"/>
      <c r="I54" s="1252"/>
      <c r="J54" s="1257"/>
      <c r="K54" s="1253"/>
      <c r="L54" s="1253"/>
      <c r="M54" s="1252"/>
      <c r="N54" s="1252"/>
      <c r="O54" s="1252"/>
    </row>
    <row r="55" spans="1:17" s="675" customFormat="1">
      <c r="A55" s="676" t="s">
        <v>2559</v>
      </c>
      <c r="B55" s="178" t="e">
        <f t="shared" si="16"/>
        <v>#DIV/0!</v>
      </c>
      <c r="C55" s="117">
        <f t="shared" si="17"/>
        <v>0.25</v>
      </c>
      <c r="D55" s="1287">
        <v>0.25</v>
      </c>
      <c r="E55" s="677">
        <v>0</v>
      </c>
      <c r="F55" s="674" t="e">
        <f t="shared" si="15"/>
        <v>#DIV/0!</v>
      </c>
      <c r="G55" s="967">
        <f>SUMIF(修正!$A$45:$A$56,项目基本情况!$F$9,修正!E45:E56)</f>
        <v>0.25</v>
      </c>
      <c r="H55" s="968"/>
      <c r="I55" s="1254"/>
      <c r="J55" s="1257"/>
      <c r="K55" s="1253"/>
      <c r="L55" s="1253"/>
      <c r="M55" s="1252"/>
      <c r="N55" s="1252"/>
      <c r="O55" s="1252"/>
    </row>
    <row r="56" spans="1:17" s="675" customFormat="1">
      <c r="A56" s="676" t="s">
        <v>2560</v>
      </c>
      <c r="B56" s="178" t="e">
        <f t="shared" si="16"/>
        <v>#DIV/0!</v>
      </c>
      <c r="C56" s="117">
        <f t="shared" si="17"/>
        <v>0.2</v>
      </c>
      <c r="D56" s="1287">
        <v>0.25</v>
      </c>
      <c r="E56" s="677">
        <v>0</v>
      </c>
      <c r="F56" s="674" t="e">
        <f t="shared" si="15"/>
        <v>#DIV/0!</v>
      </c>
      <c r="G56" s="967">
        <f>SUMIF(修正!A40:A51,项目基本情况!F9,修正!F45:F56)</f>
        <v>0.2</v>
      </c>
      <c r="H56" s="968"/>
      <c r="I56" s="1252"/>
      <c r="J56" s="1257"/>
      <c r="K56" s="1253"/>
      <c r="L56" s="1253"/>
      <c r="M56" s="1252"/>
      <c r="N56" s="1252"/>
      <c r="O56" s="1252"/>
    </row>
    <row r="57" spans="1:17" s="675" customFormat="1">
      <c r="A57" s="676" t="s">
        <v>2561</v>
      </c>
      <c r="B57" s="178" t="e">
        <f t="shared" si="16"/>
        <v>#DIV/0!</v>
      </c>
      <c r="C57" s="117">
        <f t="shared" si="17"/>
        <v>0.2</v>
      </c>
      <c r="D57" s="1287">
        <v>0.25</v>
      </c>
      <c r="E57" s="677">
        <v>0</v>
      </c>
      <c r="F57" s="674" t="e">
        <f t="shared" si="15"/>
        <v>#DIV/0!</v>
      </c>
      <c r="G57" s="967">
        <f>SUMIF(修正!A40:A51,项目基本情况!F9,修正!G45:G56)</f>
        <v>0.2</v>
      </c>
      <c r="H57" s="968"/>
      <c r="I57" s="1254"/>
      <c r="J57" s="1257"/>
      <c r="K57" s="1253"/>
      <c r="L57" s="1253"/>
      <c r="M57" s="1252"/>
      <c r="N57" s="1252"/>
      <c r="O57" s="1252"/>
    </row>
    <row r="58" spans="1:17" s="675" customFormat="1">
      <c r="A58" s="676" t="s">
        <v>2562</v>
      </c>
      <c r="B58" s="178" t="e">
        <f t="shared" si="16"/>
        <v>#DIV/0!</v>
      </c>
      <c r="C58" s="117">
        <f t="shared" si="17"/>
        <v>0.15</v>
      </c>
      <c r="D58" s="1287">
        <v>0.25</v>
      </c>
      <c r="E58" s="677">
        <v>0</v>
      </c>
      <c r="F58" s="674" t="e">
        <f t="shared" si="15"/>
        <v>#DIV/0!</v>
      </c>
      <c r="G58" s="967">
        <f>SUMIF(修正!A40:A51,项目基本情况!F9,修正!H45:H56)</f>
        <v>0.15</v>
      </c>
      <c r="H58" s="968"/>
      <c r="I58" s="1252"/>
      <c r="J58" s="1257"/>
      <c r="K58" s="1253"/>
      <c r="L58" s="1253"/>
      <c r="M58" s="1252"/>
      <c r="N58" s="1252"/>
      <c r="O58" s="1252"/>
    </row>
    <row r="59" spans="1:17" s="675" customFormat="1">
      <c r="A59" s="676" t="s">
        <v>2563</v>
      </c>
      <c r="B59" s="178" t="e">
        <f t="shared" si="16"/>
        <v>#DIV/0!</v>
      </c>
      <c r="C59" s="117">
        <f t="shared" si="17"/>
        <v>0.15</v>
      </c>
      <c r="D59" s="1287">
        <v>0.25</v>
      </c>
      <c r="E59" s="677">
        <v>0</v>
      </c>
      <c r="F59" s="674" t="e">
        <f t="shared" si="15"/>
        <v>#DIV/0!</v>
      </c>
      <c r="G59" s="967">
        <f>G58</f>
        <v>0.15</v>
      </c>
      <c r="H59" s="968"/>
      <c r="I59" s="1254"/>
      <c r="J59" s="1257"/>
      <c r="K59" s="1253"/>
      <c r="L59" s="1253"/>
      <c r="M59" s="1252"/>
      <c r="N59" s="1252"/>
      <c r="O59" s="1252"/>
    </row>
    <row r="60" spans="1:17" s="675" customFormat="1">
      <c r="A60" s="676" t="s">
        <v>2564</v>
      </c>
      <c r="B60" s="178" t="e">
        <f t="shared" si="16"/>
        <v>#DIV/0!</v>
      </c>
      <c r="C60" s="117">
        <f t="shared" si="17"/>
        <v>0.15</v>
      </c>
      <c r="D60" s="1287">
        <v>0.25</v>
      </c>
      <c r="E60" s="677">
        <v>0</v>
      </c>
      <c r="F60" s="674" t="e">
        <f t="shared" si="15"/>
        <v>#DIV/0!</v>
      </c>
      <c r="G60" s="967">
        <f>G58</f>
        <v>0.15</v>
      </c>
      <c r="H60" s="968"/>
      <c r="I60" s="1252"/>
      <c r="J60" s="1257"/>
      <c r="K60" s="1253"/>
      <c r="L60" s="1253"/>
      <c r="M60" s="1252"/>
      <c r="N60" s="1252"/>
      <c r="O60" s="1252"/>
    </row>
    <row r="61" spans="1:17" s="675" customFormat="1" ht="14.4" thickBot="1">
      <c r="A61" s="679" t="s">
        <v>2565</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4" t="str">
        <f>YEAR(C7)&amp;"-"&amp;MONTH(C7)&amp;"-1"</f>
        <v>2020-4-1</v>
      </c>
      <c r="D63" s="1664">
        <f>EDATE(C63,-3)</f>
        <v>43831</v>
      </c>
      <c r="E63" s="1664">
        <f t="shared" ref="E63:O63" si="18">EDATE(D63,-3)</f>
        <v>43739</v>
      </c>
      <c r="F63" s="1664">
        <f t="shared" si="18"/>
        <v>43647</v>
      </c>
      <c r="G63" s="1664">
        <f t="shared" si="18"/>
        <v>43556</v>
      </c>
      <c r="H63" s="1664">
        <f t="shared" si="18"/>
        <v>43466</v>
      </c>
      <c r="I63" s="1664">
        <f t="shared" si="18"/>
        <v>43374</v>
      </c>
      <c r="J63" s="1664">
        <f t="shared" si="18"/>
        <v>43282</v>
      </c>
      <c r="K63" s="1664">
        <f t="shared" si="18"/>
        <v>43191</v>
      </c>
      <c r="L63" s="1664">
        <f t="shared" si="18"/>
        <v>43101</v>
      </c>
      <c r="M63" s="1664">
        <f t="shared" si="18"/>
        <v>43009</v>
      </c>
      <c r="N63" s="1664">
        <f t="shared" si="18"/>
        <v>42917</v>
      </c>
      <c r="O63" s="1664">
        <f t="shared" si="18"/>
        <v>42826</v>
      </c>
    </row>
    <row r="64" spans="1:17" ht="22.2" thickBot="1">
      <c r="A64" s="741" t="s">
        <v>2461</v>
      </c>
      <c r="B64" s="737"/>
      <c r="C64" s="742"/>
      <c r="D64" s="742"/>
      <c r="E64" s="742"/>
      <c r="F64" s="743"/>
      <c r="G64" s="743"/>
      <c r="H64" s="742"/>
      <c r="I64" s="1268"/>
      <c r="J64" s="1268"/>
      <c r="K64" s="1266"/>
      <c r="L64" s="1267"/>
      <c r="M64" s="1268"/>
      <c r="N64" s="1268"/>
      <c r="O64" s="1268"/>
      <c r="P64" s="484"/>
      <c r="Q64" s="485"/>
    </row>
    <row r="65" spans="1:17" s="489" customFormat="1" ht="14.4">
      <c r="A65" s="2488" t="s">
        <v>2566</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4" t="s">
        <v>2586</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 thickBot="1">
      <c r="A67" s="496" t="s">
        <v>2381</v>
      </c>
      <c r="B67" s="497"/>
      <c r="C67" s="498"/>
      <c r="D67" s="499"/>
      <c r="E67" s="499"/>
      <c r="F67" s="499"/>
      <c r="G67" s="499"/>
      <c r="H67" s="499"/>
      <c r="I67" s="499"/>
      <c r="J67" s="499"/>
      <c r="K67" s="499"/>
      <c r="L67" s="499"/>
      <c r="M67" s="500"/>
      <c r="N67" s="499"/>
      <c r="O67" s="1670"/>
      <c r="P67" s="485"/>
      <c r="Q67" s="485"/>
    </row>
    <row r="68" spans="1:17" s="35" customFormat="1" ht="14.4">
      <c r="A68" s="502" t="s">
        <v>2345</v>
      </c>
      <c r="B68" s="491"/>
      <c r="C68" s="503" t="s">
        <v>2346</v>
      </c>
      <c r="D68" s="504"/>
      <c r="E68" s="504"/>
      <c r="F68" s="504"/>
      <c r="G68" s="504"/>
      <c r="H68" s="504"/>
      <c r="I68" s="504"/>
      <c r="J68" s="504"/>
      <c r="K68" s="504"/>
      <c r="L68" s="505"/>
      <c r="M68" s="506"/>
      <c r="N68" s="1261"/>
      <c r="O68" s="1261"/>
      <c r="P68" s="507"/>
      <c r="Q68" s="485"/>
    </row>
    <row r="69" spans="1:17" s="35" customFormat="1" ht="14.4" thickBot="1">
      <c r="A69" s="502"/>
      <c r="B69" s="491"/>
      <c r="C69" s="623">
        <v>100</v>
      </c>
      <c r="D69" s="493"/>
      <c r="E69" s="493"/>
      <c r="F69" s="493"/>
      <c r="G69" s="493"/>
      <c r="H69" s="493"/>
      <c r="I69" s="493"/>
      <c r="J69" s="493"/>
      <c r="K69" s="493"/>
      <c r="L69" s="493"/>
      <c r="M69" s="495"/>
      <c r="N69" s="1261"/>
      <c r="O69" s="1261"/>
      <c r="P69" s="485"/>
      <c r="Q69" s="485"/>
    </row>
    <row r="70" spans="1:17" ht="14.4">
      <c r="A70" s="508" t="s">
        <v>2384</v>
      </c>
      <c r="B70" s="509" t="s">
        <v>2349</v>
      </c>
      <c r="C70" s="511"/>
      <c r="D70" s="511"/>
      <c r="E70" s="511"/>
      <c r="F70" s="511"/>
      <c r="G70" s="511"/>
      <c r="H70" s="511"/>
      <c r="I70" s="511"/>
      <c r="J70" s="511"/>
      <c r="K70" s="512"/>
      <c r="L70" s="513"/>
      <c r="M70" s="514"/>
      <c r="N70" s="1262"/>
      <c r="O70" s="1262"/>
      <c r="P70" s="22"/>
      <c r="Q70" s="485"/>
    </row>
    <row r="71" spans="1:17" ht="14.4" thickBot="1">
      <c r="A71" s="516"/>
      <c r="B71" s="517"/>
      <c r="C71" s="518"/>
      <c r="D71" s="518"/>
      <c r="E71" s="518"/>
      <c r="F71" s="518"/>
      <c r="G71" s="518"/>
      <c r="H71" s="518"/>
      <c r="I71" s="518"/>
      <c r="J71" s="518"/>
      <c r="K71" s="518"/>
      <c r="L71" s="518"/>
      <c r="M71" s="519"/>
      <c r="N71" s="1263"/>
      <c r="O71" s="1263"/>
      <c r="P71" s="22"/>
      <c r="Q71" s="485"/>
    </row>
    <row r="72" spans="1:17" ht="29.4" thickTop="1">
      <c r="A72" s="516"/>
      <c r="B72" s="521" t="s">
        <v>2352</v>
      </c>
      <c r="C72" s="522"/>
      <c r="D72" s="522"/>
      <c r="E72" s="522"/>
      <c r="F72" s="522"/>
      <c r="G72" s="522"/>
      <c r="H72" s="522"/>
      <c r="I72" s="522"/>
      <c r="J72" s="522"/>
      <c r="K72" s="523"/>
      <c r="L72" s="524"/>
      <c r="M72" s="525"/>
      <c r="N72" s="1262"/>
      <c r="O72" s="1262"/>
      <c r="P72" s="22"/>
      <c r="Q72" s="485"/>
    </row>
    <row r="73" spans="1:17" ht="14.4" thickBot="1">
      <c r="A73" s="516"/>
      <c r="B73" s="526"/>
      <c r="C73" s="527"/>
      <c r="D73" s="527"/>
      <c r="E73" s="527"/>
      <c r="F73" s="527"/>
      <c r="G73" s="527"/>
      <c r="H73" s="527"/>
      <c r="I73" s="527"/>
      <c r="J73" s="527"/>
      <c r="K73" s="527"/>
      <c r="L73" s="527"/>
      <c r="M73" s="528"/>
      <c r="N73" s="1263"/>
      <c r="O73" s="1263"/>
      <c r="P73" s="22"/>
      <c r="Q73" s="485"/>
    </row>
    <row r="74" spans="1:17" ht="1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c r="A75" s="516"/>
      <c r="B75" s="531"/>
      <c r="C75" s="532"/>
      <c r="D75" s="532"/>
      <c r="E75" s="532"/>
      <c r="F75" s="532"/>
      <c r="G75" s="532"/>
      <c r="H75" s="532"/>
      <c r="I75" s="532"/>
      <c r="J75" s="532"/>
      <c r="K75" s="533"/>
      <c r="L75" s="534"/>
      <c r="M75" s="535"/>
      <c r="N75" s="1262"/>
      <c r="O75" s="1262"/>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4.4" thickTop="1">
      <c r="A77" s="536"/>
      <c r="B77" s="521">
        <f>B12</f>
        <v>111</v>
      </c>
      <c r="C77" s="537"/>
      <c r="D77" s="537"/>
      <c r="E77" s="537"/>
      <c r="F77" s="537"/>
      <c r="G77" s="537"/>
      <c r="H77" s="538"/>
      <c r="I77" s="538"/>
      <c r="J77" s="538"/>
      <c r="K77" s="538"/>
      <c r="L77" s="539"/>
      <c r="M77" s="540"/>
      <c r="N77" s="1264"/>
      <c r="O77" s="1264"/>
      <c r="P77" s="542"/>
      <c r="Q77" s="543"/>
    </row>
    <row r="78" spans="1:17" s="452" customFormat="1" ht="14.4" thickBot="1">
      <c r="A78" s="536"/>
      <c r="B78" s="526"/>
      <c r="C78" s="544"/>
      <c r="D78" s="518"/>
      <c r="E78" s="518"/>
      <c r="F78" s="518"/>
      <c r="G78" s="518"/>
      <c r="H78" s="518"/>
      <c r="I78" s="518"/>
      <c r="J78" s="518"/>
      <c r="K78" s="518"/>
      <c r="L78" s="518"/>
      <c r="M78" s="519"/>
      <c r="N78" s="1263"/>
      <c r="O78" s="1263"/>
      <c r="P78" s="542"/>
      <c r="Q78" s="543"/>
    </row>
    <row r="79" spans="1:17" s="452" customFormat="1" ht="14.4" thickTop="1">
      <c r="A79" s="536"/>
      <c r="B79" s="521">
        <f>B13</f>
        <v>111</v>
      </c>
      <c r="C79" s="537"/>
      <c r="D79" s="537"/>
      <c r="E79" s="537"/>
      <c r="F79" s="537"/>
      <c r="G79" s="537"/>
      <c r="H79" s="538"/>
      <c r="I79" s="538"/>
      <c r="J79" s="538"/>
      <c r="K79" s="538"/>
      <c r="L79" s="539"/>
      <c r="M79" s="540"/>
      <c r="N79" s="1264"/>
      <c r="O79" s="1264"/>
      <c r="P79" s="451"/>
      <c r="Q79" s="545"/>
    </row>
    <row r="80" spans="1:17" s="452" customFormat="1" ht="14.4" thickBot="1">
      <c r="A80" s="536"/>
      <c r="B80" s="526"/>
      <c r="C80" s="544"/>
      <c r="D80" s="544"/>
      <c r="E80" s="544"/>
      <c r="F80" s="544"/>
      <c r="G80" s="544"/>
      <c r="H80" s="546"/>
      <c r="I80" s="546"/>
      <c r="J80" s="546"/>
      <c r="K80" s="546"/>
      <c r="L80" s="546"/>
      <c r="M80" s="547"/>
      <c r="N80" s="1264"/>
      <c r="O80" s="1264"/>
      <c r="P80" s="542"/>
      <c r="Q80" s="543"/>
    </row>
    <row r="81" spans="1:17" s="452" customFormat="1" ht="14.4" thickTop="1">
      <c r="A81" s="536"/>
      <c r="B81" s="529">
        <f>B14</f>
        <v>111</v>
      </c>
      <c r="C81" s="504"/>
      <c r="D81" s="504"/>
      <c r="E81" s="504"/>
      <c r="F81" s="504"/>
      <c r="G81" s="504"/>
      <c r="H81" s="548"/>
      <c r="I81" s="548"/>
      <c r="J81" s="548"/>
      <c r="K81" s="548"/>
      <c r="L81" s="549"/>
      <c r="M81" s="550"/>
      <c r="N81" s="1264"/>
      <c r="O81" s="1264"/>
      <c r="P81" s="551"/>
      <c r="Q81" s="543"/>
    </row>
    <row r="82" spans="1:17" s="452" customFormat="1" ht="14.4" thickBot="1">
      <c r="A82" s="552"/>
      <c r="B82" s="553"/>
      <c r="C82" s="554"/>
      <c r="D82" s="554"/>
      <c r="E82" s="554"/>
      <c r="F82" s="554"/>
      <c r="G82" s="554"/>
      <c r="H82" s="555"/>
      <c r="I82" s="555"/>
      <c r="J82" s="555"/>
      <c r="K82" s="555"/>
      <c r="L82" s="555"/>
      <c r="M82" s="556"/>
      <c r="N82" s="1264"/>
      <c r="O82" s="1264"/>
      <c r="P82" s="542"/>
      <c r="Q82" s="543"/>
    </row>
    <row r="83" spans="1:17" ht="14.4">
      <c r="A83" s="508" t="s">
        <v>2354</v>
      </c>
      <c r="B83" s="509" t="s">
        <v>2494</v>
      </c>
      <c r="C83" s="557" t="s">
        <v>2393</v>
      </c>
      <c r="D83" s="557" t="s">
        <v>2394</v>
      </c>
      <c r="E83" s="557" t="s">
        <v>2395</v>
      </c>
      <c r="F83" s="557" t="s">
        <v>2396</v>
      </c>
      <c r="G83" s="557" t="s">
        <v>2397</v>
      </c>
      <c r="H83" s="510"/>
      <c r="I83" s="510"/>
      <c r="J83" s="510"/>
      <c r="K83" s="558"/>
      <c r="L83" s="559"/>
      <c r="M83" s="560"/>
      <c r="N83" s="1262"/>
      <c r="O83" s="1262"/>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 thickTop="1">
      <c r="A85" s="516"/>
      <c r="B85" s="521" t="s">
        <v>2398</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29.4" thickTop="1">
      <c r="A87" s="563"/>
      <c r="B87" s="521" t="s">
        <v>2569</v>
      </c>
      <c r="C87" s="557" t="s">
        <v>2393</v>
      </c>
      <c r="D87" s="557" t="s">
        <v>2394</v>
      </c>
      <c r="E87" s="557" t="s">
        <v>2395</v>
      </c>
      <c r="F87" s="557" t="s">
        <v>2396</v>
      </c>
      <c r="G87" s="557" t="s">
        <v>2397</v>
      </c>
      <c r="H87" s="562"/>
      <c r="I87" s="562"/>
      <c r="J87" s="562"/>
      <c r="K87" s="562"/>
      <c r="L87" s="682"/>
      <c r="M87" s="606"/>
      <c r="N87" s="1261"/>
      <c r="O87" s="1261"/>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9.4" thickTop="1">
      <c r="A89" s="563"/>
      <c r="B89" s="521" t="s">
        <v>2570</v>
      </c>
      <c r="C89" s="557" t="s">
        <v>2393</v>
      </c>
      <c r="D89" s="557" t="s">
        <v>2394</v>
      </c>
      <c r="E89" s="557" t="s">
        <v>2395</v>
      </c>
      <c r="F89" s="557" t="s">
        <v>2396</v>
      </c>
      <c r="G89" s="557" t="s">
        <v>2397</v>
      </c>
      <c r="H89" s="562"/>
      <c r="I89" s="562"/>
      <c r="J89" s="562"/>
      <c r="K89" s="562"/>
      <c r="L89" s="562"/>
      <c r="M89" s="606"/>
      <c r="N89" s="1261"/>
      <c r="O89" s="1261"/>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 thickTop="1">
      <c r="A91" s="536"/>
      <c r="B91" s="529" t="s">
        <v>2441</v>
      </c>
      <c r="C91" s="557" t="s">
        <v>2393</v>
      </c>
      <c r="D91" s="557" t="s">
        <v>2394</v>
      </c>
      <c r="E91" s="557" t="s">
        <v>2395</v>
      </c>
      <c r="F91" s="557" t="s">
        <v>2396</v>
      </c>
      <c r="G91" s="557" t="s">
        <v>2397</v>
      </c>
      <c r="H91" s="584"/>
      <c r="I91" s="584"/>
      <c r="J91" s="584"/>
      <c r="K91" s="584"/>
      <c r="L91" s="585"/>
      <c r="M91" s="586"/>
      <c r="N91" s="1264"/>
      <c r="O91" s="1264"/>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 thickTop="1">
      <c r="A93" s="536"/>
      <c r="B93" s="521" t="s">
        <v>2442</v>
      </c>
      <c r="C93" s="522" t="s">
        <v>2400</v>
      </c>
      <c r="D93" s="522" t="s">
        <v>2401</v>
      </c>
      <c r="E93" s="522" t="s">
        <v>2402</v>
      </c>
      <c r="F93" s="522" t="s">
        <v>2403</v>
      </c>
      <c r="G93" s="522" t="s">
        <v>2404</v>
      </c>
      <c r="H93" s="584"/>
      <c r="I93" s="584"/>
      <c r="J93" s="584"/>
      <c r="K93" s="584"/>
      <c r="L93" s="584"/>
      <c r="M93" s="586"/>
      <c r="N93" s="1264"/>
      <c r="O93" s="1264"/>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2"/>
      <c r="N94" s="1264"/>
      <c r="O94" s="1264"/>
      <c r="P94" s="542"/>
      <c r="Q94" s="543"/>
    </row>
    <row r="95" spans="1:17" ht="15" thickTop="1">
      <c r="A95" s="516"/>
      <c r="B95" s="521" t="str">
        <f>B27</f>
        <v>临街状况</v>
      </c>
      <c r="C95" s="522" t="s">
        <v>2571</v>
      </c>
      <c r="D95" s="522" t="s">
        <v>2572</v>
      </c>
      <c r="E95" s="522" t="s">
        <v>2573</v>
      </c>
      <c r="F95" s="522" t="s">
        <v>2574</v>
      </c>
      <c r="G95" s="522"/>
      <c r="H95" s="522"/>
      <c r="I95" s="522"/>
      <c r="J95" s="522"/>
      <c r="K95" s="523"/>
      <c r="L95" s="524"/>
      <c r="M95" s="525"/>
      <c r="N95" s="1262"/>
      <c r="O95" s="1262"/>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9.4" thickTop="1">
      <c r="A97" s="516"/>
      <c r="B97" s="521" t="s">
        <v>2473</v>
      </c>
      <c r="C97" s="537"/>
      <c r="D97" s="537"/>
      <c r="E97" s="537"/>
      <c r="F97" s="537"/>
      <c r="G97" s="537"/>
      <c r="H97" s="567"/>
      <c r="I97" s="567"/>
      <c r="J97" s="567"/>
      <c r="K97" s="568"/>
      <c r="L97" s="569"/>
      <c r="M97" s="570"/>
      <c r="N97" s="1262"/>
      <c r="O97" s="1262"/>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 thickTop="1">
      <c r="A99" s="516"/>
      <c r="B99" s="521" t="s">
        <v>2540</v>
      </c>
      <c r="C99" s="567"/>
      <c r="D99" s="567"/>
      <c r="E99" s="567"/>
      <c r="F99" s="567"/>
      <c r="G99" s="567"/>
      <c r="H99" s="567"/>
      <c r="I99" s="567"/>
      <c r="J99" s="567"/>
      <c r="K99" s="568"/>
      <c r="L99" s="569"/>
      <c r="M99" s="570"/>
      <c r="N99" s="1262"/>
      <c r="O99" s="1262"/>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4.4" thickTop="1">
      <c r="A101" s="516"/>
      <c r="B101" s="529">
        <f>B31</f>
        <v>111</v>
      </c>
      <c r="C101" s="537"/>
      <c r="D101" s="537"/>
      <c r="E101" s="537"/>
      <c r="F101" s="537"/>
      <c r="G101" s="571"/>
      <c r="H101" s="571"/>
      <c r="I101" s="571"/>
      <c r="J101" s="571"/>
      <c r="K101" s="572"/>
      <c r="L101" s="573"/>
      <c r="M101" s="574"/>
      <c r="N101" s="1262"/>
      <c r="O101" s="1262"/>
      <c r="P101" s="22"/>
      <c r="Q101" s="485"/>
    </row>
    <row r="102" spans="1:17" ht="14.4" thickBot="1">
      <c r="A102" s="516"/>
      <c r="B102" s="553"/>
      <c r="C102" s="544"/>
      <c r="D102" s="518"/>
      <c r="E102" s="518"/>
      <c r="F102" s="518"/>
      <c r="G102" s="575"/>
      <c r="H102" s="575"/>
      <c r="I102" s="575"/>
      <c r="J102" s="575"/>
      <c r="K102" s="575"/>
      <c r="L102" s="575"/>
      <c r="M102" s="576"/>
      <c r="N102" s="1263"/>
      <c r="O102" s="1263"/>
      <c r="P102" s="22"/>
      <c r="Q102" s="485"/>
    </row>
    <row r="103" spans="1:17" ht="14.4" thickTop="1">
      <c r="A103" s="658"/>
      <c r="B103" s="521">
        <f>B32</f>
        <v>111</v>
      </c>
      <c r="C103" s="537"/>
      <c r="D103" s="537"/>
      <c r="E103" s="537"/>
      <c r="F103" s="537"/>
      <c r="G103" s="567"/>
      <c r="H103" s="567"/>
      <c r="I103" s="567"/>
      <c r="J103" s="567"/>
      <c r="K103" s="568"/>
      <c r="L103" s="569"/>
      <c r="M103" s="570"/>
      <c r="N103" s="1262"/>
      <c r="O103" s="1262"/>
      <c r="P103" s="22"/>
      <c r="Q103" s="485"/>
    </row>
    <row r="104" spans="1:17" ht="14.4" thickBot="1">
      <c r="A104" s="516"/>
      <c r="B104" s="526"/>
      <c r="C104" s="544"/>
      <c r="D104" s="544"/>
      <c r="E104" s="544"/>
      <c r="F104" s="544"/>
      <c r="G104" s="518"/>
      <c r="H104" s="518"/>
      <c r="I104" s="518"/>
      <c r="J104" s="518"/>
      <c r="K104" s="518"/>
      <c r="L104" s="518"/>
      <c r="M104" s="519"/>
      <c r="N104" s="1263"/>
      <c r="O104" s="1263"/>
      <c r="P104" s="22"/>
      <c r="Q104" s="485"/>
    </row>
    <row r="105" spans="1:17" s="452" customFormat="1" ht="14.4"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4.4" thickBot="1">
      <c r="A106" s="536"/>
      <c r="B106" s="529"/>
      <c r="C106" s="554"/>
      <c r="D106" s="554"/>
      <c r="E106" s="554"/>
      <c r="F106" s="554"/>
      <c r="G106" s="660"/>
      <c r="H106" s="660"/>
      <c r="I106" s="660"/>
      <c r="J106" s="660"/>
      <c r="K106" s="660"/>
      <c r="L106" s="660"/>
      <c r="M106" s="683"/>
      <c r="N106" s="1263"/>
      <c r="O106" s="1263"/>
      <c r="P106" s="542"/>
      <c r="Q106" s="543"/>
    </row>
    <row r="107" spans="1:17" ht="14.4">
      <c r="A107" s="508" t="s">
        <v>2359</v>
      </c>
      <c r="B107" s="509" t="s">
        <v>2575</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c r="A108" s="516"/>
      <c r="B108" s="529"/>
      <c r="C108" s="579"/>
      <c r="D108" s="579"/>
      <c r="E108" s="579"/>
      <c r="F108" s="579"/>
      <c r="G108" s="579"/>
      <c r="H108" s="579"/>
      <c r="I108" s="579"/>
      <c r="J108" s="580"/>
      <c r="K108" s="580"/>
      <c r="L108" s="581"/>
      <c r="M108" s="582"/>
      <c r="N108" s="1262"/>
      <c r="O108" s="1262"/>
      <c r="P108" s="22"/>
      <c r="Q108" s="485"/>
    </row>
    <row r="109" spans="1:17" ht="14.4"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2576</v>
      </c>
      <c r="C110" s="567"/>
      <c r="D110" s="567"/>
      <c r="E110" s="567"/>
      <c r="F110" s="567"/>
      <c r="G110" s="567"/>
      <c r="H110" s="567"/>
      <c r="I110" s="567"/>
      <c r="J110" s="567"/>
      <c r="K110" s="568"/>
      <c r="L110" s="569"/>
      <c r="M110" s="570"/>
      <c r="N110" s="1262"/>
      <c r="O110" s="1262"/>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2578</v>
      </c>
      <c r="C112" s="537"/>
      <c r="D112" s="537"/>
      <c r="E112" s="537"/>
      <c r="F112" s="537"/>
      <c r="G112" s="537"/>
      <c r="H112" s="567"/>
      <c r="I112" s="567"/>
      <c r="J112" s="567"/>
      <c r="K112" s="568"/>
      <c r="L112" s="569"/>
      <c r="M112" s="570"/>
      <c r="N112" s="1264"/>
      <c r="O112" s="1264"/>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2579</v>
      </c>
      <c r="C114" s="537"/>
      <c r="D114" s="537"/>
      <c r="E114" s="567"/>
      <c r="F114" s="567"/>
      <c r="G114" s="567"/>
      <c r="H114" s="567"/>
      <c r="I114" s="567"/>
      <c r="J114" s="567"/>
      <c r="K114" s="568"/>
      <c r="L114" s="569"/>
      <c r="M114" s="570"/>
      <c r="N114" s="1262"/>
      <c r="O114" s="1262"/>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4.4" thickTop="1">
      <c r="A116" s="583"/>
      <c r="B116" s="521">
        <f>B38</f>
        <v>111</v>
      </c>
      <c r="C116" s="537"/>
      <c r="D116" s="537"/>
      <c r="E116" s="537"/>
      <c r="F116" s="537"/>
      <c r="G116" s="537"/>
      <c r="H116" s="567"/>
      <c r="I116" s="567"/>
      <c r="J116" s="567"/>
      <c r="K116" s="568"/>
      <c r="L116" s="569"/>
      <c r="M116" s="570"/>
      <c r="N116" s="1262"/>
      <c r="O116" s="1262"/>
      <c r="P116" s="22"/>
      <c r="Q116" s="485"/>
    </row>
    <row r="117" spans="1:17" ht="14.4" thickBot="1">
      <c r="A117" s="516"/>
      <c r="B117" s="526"/>
      <c r="C117" s="544"/>
      <c r="D117" s="518"/>
      <c r="E117" s="518"/>
      <c r="F117" s="518"/>
      <c r="G117" s="518"/>
      <c r="H117" s="518"/>
      <c r="I117" s="518"/>
      <c r="J117" s="518"/>
      <c r="K117" s="518"/>
      <c r="L117" s="518"/>
      <c r="M117" s="519"/>
      <c r="N117" s="1263"/>
      <c r="O117" s="1263"/>
      <c r="P117" s="22"/>
      <c r="Q117" s="485"/>
    </row>
    <row r="118" spans="1:17" ht="14.4" thickTop="1">
      <c r="A118" s="583"/>
      <c r="B118" s="521">
        <f>B39</f>
        <v>111</v>
      </c>
      <c r="C118" s="537"/>
      <c r="D118" s="537"/>
      <c r="E118" s="537"/>
      <c r="F118" s="537"/>
      <c r="G118" s="567"/>
      <c r="H118" s="567"/>
      <c r="I118" s="567"/>
      <c r="J118" s="567"/>
      <c r="K118" s="568"/>
      <c r="L118" s="569"/>
      <c r="M118" s="570"/>
      <c r="N118" s="1262"/>
      <c r="O118" s="1262"/>
      <c r="P118" s="22"/>
      <c r="Q118" s="485"/>
    </row>
    <row r="119" spans="1:17" ht="14.4" thickBot="1">
      <c r="A119" s="516"/>
      <c r="B119" s="526"/>
      <c r="C119" s="544"/>
      <c r="D119" s="544"/>
      <c r="E119" s="544"/>
      <c r="F119" s="544"/>
      <c r="G119" s="518"/>
      <c r="H119" s="518"/>
      <c r="I119" s="518"/>
      <c r="J119" s="518"/>
      <c r="K119" s="518"/>
      <c r="L119" s="518"/>
      <c r="M119" s="519"/>
      <c r="N119" s="1263"/>
      <c r="O119" s="1263"/>
      <c r="P119" s="22"/>
      <c r="Q119" s="485"/>
    </row>
    <row r="120" spans="1:17" s="452" customFormat="1" ht="14.4"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4.4"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E6" sqref="E6"/>
    </sheetView>
  </sheetViews>
  <sheetFormatPr defaultColWidth="9" defaultRowHeight="13.2"/>
  <cols>
    <col min="1" max="1" width="9.77734375" style="2566" customWidth="1"/>
    <col min="2" max="2" width="19.21875" style="2679" customWidth="1"/>
    <col min="3" max="3" width="12.44140625" style="2499" customWidth="1"/>
    <col min="4" max="4" width="12" style="2499" customWidth="1"/>
    <col min="5" max="5" width="14.6640625" style="2499" customWidth="1"/>
    <col min="6" max="8" width="12" style="2499" customWidth="1"/>
    <col min="9" max="9" width="12.21875" style="2499" bestFit="1" customWidth="1"/>
    <col min="10" max="10" width="12" style="2499" customWidth="1"/>
    <col min="11" max="11" width="9.44140625" style="1456" customWidth="1"/>
    <col min="12" max="12" width="12" style="2499" customWidth="1"/>
    <col min="13" max="13" width="8.44140625" style="2499" customWidth="1"/>
    <col min="14" max="14" width="9.77734375" style="2499" customWidth="1"/>
    <col min="15" max="25" width="12" style="2499" customWidth="1"/>
    <col min="26" max="26" width="9.33203125" style="2566" customWidth="1"/>
    <col min="27" max="32" width="9.33203125" style="2642" customWidth="1"/>
    <col min="33" max="36" width="9.33203125" style="2566" customWidth="1"/>
    <col min="37" max="38" width="9.33203125" style="2499" customWidth="1"/>
    <col min="39" max="16384" width="9" style="2499"/>
  </cols>
  <sheetData>
    <row r="1" spans="1:36" ht="31.2">
      <c r="A1" s="161" t="s">
        <v>2587</v>
      </c>
      <c r="B1" s="2496"/>
      <c r="C1" s="162" t="s">
        <v>2588</v>
      </c>
      <c r="D1" s="2497">
        <f>SUM(D29:D30,D33:D39)</f>
        <v>0</v>
      </c>
      <c r="E1" s="2497"/>
      <c r="F1" s="2497"/>
      <c r="G1" s="2497"/>
      <c r="H1" s="2497"/>
      <c r="I1" s="2497"/>
      <c r="J1" s="2497"/>
      <c r="L1" s="2498" t="s">
        <v>2589</v>
      </c>
      <c r="M1" s="1114">
        <f>SUMPRODUCT((区片价!B5:B9=I2)*(区片价!C3:F3=E2)*(区片价!C5:F9))</f>
        <v>0</v>
      </c>
      <c r="N1" s="1117">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5.2">
      <c r="A2" s="165" t="s">
        <v>2595</v>
      </c>
      <c r="B2" s="168" t="e">
        <f>C26</f>
        <v>#DIV/0!</v>
      </c>
      <c r="C2" s="2500" t="s">
        <v>2596</v>
      </c>
      <c r="D2" s="2501" t="s">
        <v>2597</v>
      </c>
      <c r="E2" s="2502"/>
      <c r="F2" s="2501" t="s">
        <v>2598</v>
      </c>
      <c r="G2" s="2503" t="str">
        <f>项目基本情况!F9</f>
        <v>三级</v>
      </c>
      <c r="H2" s="2504" t="s">
        <v>2599</v>
      </c>
      <c r="I2" s="2503" t="str">
        <f>项目基本情况!F10</f>
        <v>Ⅲ—05</v>
      </c>
      <c r="J2" s="2505"/>
      <c r="L2" s="2506" t="s">
        <v>2600</v>
      </c>
      <c r="M2" s="1115">
        <f>SUMPRODUCT((区片价!B10:B28=I2)*(区片价!C3:F3=E2)*(区片价!C10:F28))</f>
        <v>0</v>
      </c>
      <c r="N2" s="1118">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7" t="s">
        <v>2601</v>
      </c>
      <c r="B3" s="168" t="e">
        <f>ROUND(B2/D1,0)</f>
        <v>#DIV/0!</v>
      </c>
      <c r="C3" s="2500" t="s">
        <v>2602</v>
      </c>
      <c r="D3" s="2501" t="s">
        <v>2603</v>
      </c>
      <c r="E3" s="2507"/>
      <c r="F3" s="2508" t="s">
        <v>2604</v>
      </c>
      <c r="G3" s="940">
        <f>项目基本情况!C15</f>
        <v>0</v>
      </c>
      <c r="H3" s="115" t="s">
        <v>2605</v>
      </c>
      <c r="I3" s="969"/>
      <c r="J3" s="2505" t="s">
        <v>2606</v>
      </c>
      <c r="L3" s="2506" t="s">
        <v>2607</v>
      </c>
      <c r="M3" s="1115">
        <f>SUMPRODUCT((区片价!B29:B48=I2)*(区片价!C3:F3=E2)*(区片价!C29:F48))</f>
        <v>0</v>
      </c>
      <c r="N3" s="1118">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14"/>
      <c r="B4" s="3115"/>
      <c r="C4" s="3115"/>
      <c r="D4" s="3116"/>
      <c r="E4" s="3116"/>
      <c r="F4" s="3116"/>
      <c r="G4" s="3116"/>
      <c r="H4" s="3116"/>
      <c r="I4" s="3116"/>
      <c r="J4" s="3117"/>
      <c r="L4" s="2506" t="s">
        <v>2608</v>
      </c>
      <c r="M4" s="1115">
        <f>SUMPRODUCT((区片价!B49:B75=I2)*(区片价!C3:F3=E2)*(区片价!C49:F75))</f>
        <v>0</v>
      </c>
      <c r="N4" s="1118">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7" customFormat="1" ht="15.6" thickBot="1">
      <c r="A5" s="2509" t="s">
        <v>2609</v>
      </c>
      <c r="B5" s="2510" t="s">
        <v>2610</v>
      </c>
      <c r="C5" s="2716" t="e">
        <f>ROUND(IF(E2="商业",C6*C7+C16,(IF(E2="住宅",C6*C12+C16,C6+C16))),0)</f>
        <v>#DIV/0!</v>
      </c>
      <c r="D5" s="2717" t="e">
        <f>ROUND(C6+C16,0)</f>
        <v>#DIV/0!</v>
      </c>
      <c r="E5" s="2717"/>
      <c r="F5" s="2718"/>
      <c r="G5" s="2511"/>
      <c r="H5" s="2511"/>
      <c r="I5" s="2511"/>
      <c r="J5" s="2512"/>
      <c r="K5" s="2513"/>
      <c r="L5" s="2506" t="s">
        <v>2611</v>
      </c>
      <c r="M5" s="1115">
        <f>SUMPRODUCT((区片价!B76:B109=I2)*(区片价!C3:F3=E2)*(区片价!C76:F109))</f>
        <v>0</v>
      </c>
      <c r="N5" s="1118">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4"/>
      <c r="AD5" s="2515"/>
      <c r="AE5" s="2515"/>
      <c r="AF5" s="2515"/>
      <c r="AG5" s="2515"/>
      <c r="AH5" s="2515"/>
      <c r="AI5" s="2515"/>
      <c r="AJ5" s="2516"/>
    </row>
    <row r="6" spans="1:36" ht="15.6" thickBot="1">
      <c r="A6" s="2518">
        <v>1</v>
      </c>
      <c r="B6" s="2519" t="s">
        <v>2612</v>
      </c>
      <c r="C6" s="941">
        <f>SUMIF(L1:L12,G2,M1:M12)</f>
        <v>0</v>
      </c>
      <c r="D6" s="2520" t="s">
        <v>2613</v>
      </c>
      <c r="E6" s="2521"/>
      <c r="F6" s="2521"/>
      <c r="G6" s="2522"/>
      <c r="H6" s="2522"/>
      <c r="I6" s="2522"/>
      <c r="J6" s="2523"/>
      <c r="K6" s="2524"/>
      <c r="L6" s="2506" t="s">
        <v>2614</v>
      </c>
      <c r="M6" s="1115">
        <f>SUMPRODUCT((区片价!B110:B157=I2)*(区片价!C3:F3=E2)*(区片价!C110:F157))</f>
        <v>0</v>
      </c>
      <c r="N6" s="1118">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4"/>
      <c r="AD6" s="2515"/>
      <c r="AE6" s="2515"/>
      <c r="AF6" s="2515"/>
      <c r="AG6" s="2515"/>
      <c r="AH6" s="2515"/>
      <c r="AI6" s="2515"/>
      <c r="AJ6" s="2516"/>
    </row>
    <row r="7" spans="1:36" ht="24">
      <c r="A7" s="3118" t="str">
        <f>IF(E2="商业",IF(C8="不临58条商业街","",2),"")</f>
        <v/>
      </c>
      <c r="B7" s="2525" t="s">
        <v>2615</v>
      </c>
      <c r="C7" s="942" t="e">
        <f>IF(C8="不临58条商业街",1,ROUND(1+(1.6*E8+1.2*E9+0.8*E10+0.4*E11)*C9,4))</f>
        <v>#DIV/0!</v>
      </c>
      <c r="D7" s="2526" t="s">
        <v>2616</v>
      </c>
      <c r="E7" s="970"/>
      <c r="F7" s="2527"/>
      <c r="G7" s="2528"/>
      <c r="H7" s="2528"/>
      <c r="I7" s="2528"/>
      <c r="J7" s="2529"/>
      <c r="K7" s="2524"/>
      <c r="L7" s="2506" t="s">
        <v>2617</v>
      </c>
      <c r="M7" s="1115">
        <f>SUMPRODUCT((区片价!B158:B205=I2)*(区片价!C3:F3=E2)*(区片价!C158:F205))</f>
        <v>0</v>
      </c>
      <c r="N7" s="1118">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2618</v>
      </c>
      <c r="X7" s="1705" t="str">
        <f>G2</f>
        <v>三级</v>
      </c>
      <c r="Y7" s="1705" t="s">
        <v>2619</v>
      </c>
      <c r="Z7" s="1706">
        <f>G3</f>
        <v>0</v>
      </c>
      <c r="AA7" s="1707"/>
      <c r="AB7" s="1707"/>
      <c r="AC7" s="1708"/>
      <c r="AD7" s="1709"/>
      <c r="AE7" s="1709"/>
      <c r="AF7" s="1709"/>
      <c r="AG7" s="1709"/>
      <c r="AH7" s="1709"/>
      <c r="AI7" s="1709"/>
      <c r="AJ7" s="1710"/>
    </row>
    <row r="8" spans="1:36" ht="15">
      <c r="A8" s="3119"/>
      <c r="B8" s="115" t="s">
        <v>2620</v>
      </c>
      <c r="C8" s="2530"/>
      <c r="D8" s="943" t="s">
        <v>89</v>
      </c>
      <c r="E8" s="944" t="e">
        <f>ROUND(C11/E7,4)</f>
        <v>#DIV/0!</v>
      </c>
      <c r="F8" s="2531" t="s">
        <v>2621</v>
      </c>
      <c r="G8" s="2532"/>
      <c r="H8" s="2532"/>
      <c r="I8" s="2532"/>
      <c r="J8" s="2533"/>
      <c r="L8" s="2506" t="s">
        <v>2622</v>
      </c>
      <c r="M8" s="1115">
        <f>SUMPRODUCT((区片价!B206:B244=I2)*(区片价!C3:F3=E2)*(区片价!C206:F244))</f>
        <v>0</v>
      </c>
      <c r="N8" s="1118">
        <f>SUMPRODUCT((因素修正幅度!B206:B244=I2)*(因素修正幅度!C3:F3=E2)*(因素修正幅度!C206:F244))</f>
        <v>0</v>
      </c>
      <c r="O8" s="1456"/>
      <c r="P8" s="1456"/>
      <c r="Q8" s="1456"/>
      <c r="R8" s="1703">
        <v>7</v>
      </c>
      <c r="S8" s="1704"/>
      <c r="T8" s="1703" t="e">
        <f t="shared" si="0"/>
        <v>#DIV/0!</v>
      </c>
      <c r="U8" s="1704"/>
      <c r="V8" s="1703" t="e">
        <f t="shared" si="1"/>
        <v>#DIV/0!</v>
      </c>
      <c r="W8" s="3111" t="s">
        <v>2623</v>
      </c>
      <c r="X8" s="3112"/>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19"/>
      <c r="B9" s="115" t="s">
        <v>2636</v>
      </c>
      <c r="C9" s="945">
        <f>SUMIF(修正!C59:C119,C8,修正!E59:E119)</f>
        <v>0</v>
      </c>
      <c r="D9" s="117" t="s">
        <v>90</v>
      </c>
      <c r="E9" s="117" t="e">
        <f>ROUND(C11/E7,4)</f>
        <v>#DIV/0!</v>
      </c>
      <c r="F9" s="2531" t="s">
        <v>2637</v>
      </c>
      <c r="G9" s="2532"/>
      <c r="H9" s="2532"/>
      <c r="I9" s="2532"/>
      <c r="J9" s="2533"/>
      <c r="L9" s="2506" t="s">
        <v>2638</v>
      </c>
      <c r="M9" s="1115">
        <f>SUMPRODUCT((区片价!B245:B289=I2)*(区片价!C3:F3=E2)*(区片价!C245:F289))</f>
        <v>0</v>
      </c>
      <c r="N9" s="1118">
        <f>SUMPRODUCT((因素修正幅度!B245:B289=I2)*(因素修正幅度!C3:F3=E2)*(因素修正幅度!C245:F289))</f>
        <v>0</v>
      </c>
      <c r="O9" s="1456"/>
      <c r="P9" s="1456"/>
      <c r="Q9" s="1456"/>
      <c r="R9" s="1703">
        <v>8</v>
      </c>
      <c r="S9" s="1704"/>
      <c r="T9" s="1703" t="e">
        <f t="shared" si="0"/>
        <v>#DIV/0!</v>
      </c>
      <c r="U9" s="1704"/>
      <c r="V9" s="1703" t="e">
        <f t="shared" si="1"/>
        <v>#DIV/0!</v>
      </c>
      <c r="W9" s="3113"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9"/>
      <c r="B10" s="115" t="s">
        <v>2641</v>
      </c>
      <c r="C10" s="117">
        <f>SUMIF(修正!C59:C119,C8,修正!F59:F119)</f>
        <v>0</v>
      </c>
      <c r="D10" s="117" t="s">
        <v>91</v>
      </c>
      <c r="E10" s="117" t="e">
        <f>ROUND(C11/E7,4)</f>
        <v>#DIV/0!</v>
      </c>
      <c r="F10" s="2531" t="s">
        <v>2642</v>
      </c>
      <c r="G10" s="2532"/>
      <c r="H10" s="2532"/>
      <c r="I10" s="2532"/>
      <c r="J10" s="2533"/>
      <c r="L10" s="2506" t="s">
        <v>2643</v>
      </c>
      <c r="M10" s="1115">
        <f>SUMPRODUCT((区片价!B290:B316=I2)*(区片价!C3:F3=E2)*(区片价!C290:F316))</f>
        <v>0</v>
      </c>
      <c r="N10" s="1118">
        <f>SUMPRODUCT((因素修正幅度!B290:B316=I2)*(因素修正幅度!C3:F3=E2)*(因素修正幅度!C290:F316))</f>
        <v>0</v>
      </c>
      <c r="O10" s="1456"/>
      <c r="P10" s="1456"/>
      <c r="Q10" s="1456"/>
      <c r="R10" s="1703">
        <v>9</v>
      </c>
      <c r="S10" s="1704"/>
      <c r="T10" s="1703" t="e">
        <f t="shared" si="0"/>
        <v>#DIV/0!</v>
      </c>
      <c r="U10" s="1704"/>
      <c r="V10" s="1703" t="e">
        <f t="shared" si="1"/>
        <v>#DIV/0!</v>
      </c>
      <c r="W10" s="3113"/>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19"/>
      <c r="B11" s="2534" t="s">
        <v>2644</v>
      </c>
      <c r="C11" s="946">
        <f>C10/4</f>
        <v>0</v>
      </c>
      <c r="D11" s="946" t="s">
        <v>92</v>
      </c>
      <c r="E11" s="946" t="e">
        <f>ROUND(C11/E7,4)</f>
        <v>#DIV/0!</v>
      </c>
      <c r="F11" s="2535" t="s">
        <v>2645</v>
      </c>
      <c r="G11" s="2536"/>
      <c r="H11" s="2536"/>
      <c r="I11" s="2536"/>
      <c r="J11" s="2537"/>
      <c r="L11" s="2506" t="s">
        <v>2646</v>
      </c>
      <c r="M11" s="1115">
        <f>SUMPRODUCT((区片价!B317:B337=I2)*(区片价!C3:F3=E2)*(区片价!C317:F337))</f>
        <v>0</v>
      </c>
      <c r="N11" s="1118">
        <f>SUMPRODUCT((因素修正幅度!B317:B337=I2)*(因素修正幅度!C3:F3=E2)*(因素修正幅度!C317:F337))</f>
        <v>0</v>
      </c>
      <c r="O11" s="1456"/>
      <c r="P11" s="1456"/>
      <c r="Q11" s="1456"/>
      <c r="R11" s="1703">
        <v>10</v>
      </c>
      <c r="S11" s="1704"/>
      <c r="T11" s="1703" t="e">
        <f t="shared" si="0"/>
        <v>#DIV/0!</v>
      </c>
      <c r="U11" s="1704"/>
      <c r="V11" s="1703" t="e">
        <f t="shared" si="1"/>
        <v>#DIV/0!</v>
      </c>
      <c r="W11" s="3113"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18" t="str">
        <f>IF(E2="住宅",2,"")</f>
        <v/>
      </c>
      <c r="B12" s="2538" t="s">
        <v>2649</v>
      </c>
      <c r="C12" s="942">
        <f>ROUND(C15*D15*E15*F15*G15*H15*I15*J15,4)</f>
        <v>1.32</v>
      </c>
      <c r="D12" s="2539" t="s">
        <v>2650</v>
      </c>
      <c r="E12" s="2540"/>
      <c r="F12" s="2540"/>
      <c r="G12" s="2541"/>
      <c r="H12" s="2541"/>
      <c r="I12" s="2541"/>
      <c r="J12" s="2542"/>
      <c r="L12" s="2543" t="s">
        <v>2651</v>
      </c>
      <c r="M12" s="1116">
        <f>SUMPRODUCT((区片价!B338:B344=I2)*(区片价!C3:F3=E2)*(区片价!C338:F344))</f>
        <v>0</v>
      </c>
      <c r="N12" s="1119">
        <f>SUMPRODUCT((因素修正幅度!B338:B344=I2)*(因素修正幅度!C3:F3=E2)*(因素修正幅度!C338:F344))</f>
        <v>0</v>
      </c>
      <c r="O12" s="1456"/>
      <c r="P12" s="1456"/>
      <c r="Q12" s="1456"/>
      <c r="R12" s="1703">
        <v>11</v>
      </c>
      <c r="S12" s="1704"/>
      <c r="T12" s="1703" t="e">
        <f t="shared" si="0"/>
        <v>#DIV/0!</v>
      </c>
      <c r="U12" s="1704"/>
      <c r="V12" s="1703" t="e">
        <f t="shared" si="1"/>
        <v>#DIV/0!</v>
      </c>
      <c r="W12" s="3113"/>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0"/>
      <c r="B13" s="2544" t="s">
        <v>2653</v>
      </c>
      <c r="C13" s="2545" t="s">
        <v>2654</v>
      </c>
      <c r="D13" s="2546" t="s">
        <v>2655</v>
      </c>
      <c r="E13" s="2546" t="s">
        <v>2656</v>
      </c>
      <c r="F13" s="20" t="s">
        <v>2657</v>
      </c>
      <c r="G13" s="2547" t="s">
        <v>2658</v>
      </c>
      <c r="H13" s="2547" t="s">
        <v>2658</v>
      </c>
      <c r="I13" s="2547" t="s">
        <v>2658</v>
      </c>
      <c r="J13" s="2548" t="s">
        <v>2658</v>
      </c>
      <c r="L13" s="1456"/>
      <c r="M13" s="1456"/>
      <c r="N13" s="1456"/>
      <c r="O13" s="1456"/>
      <c r="P13" s="1456"/>
      <c r="Q13" s="1456"/>
      <c r="R13" s="1703">
        <v>12</v>
      </c>
      <c r="S13" s="1704"/>
      <c r="T13" s="1703" t="e">
        <f t="shared" si="0"/>
        <v>#DIV/0!</v>
      </c>
      <c r="U13" s="1704"/>
      <c r="V13" s="1703" t="e">
        <f t="shared" si="1"/>
        <v>#DIV/0!</v>
      </c>
      <c r="W13" s="3113"/>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0"/>
      <c r="B14" s="2549"/>
      <c r="C14" s="2550" t="s">
        <v>2659</v>
      </c>
      <c r="D14" s="2551" t="s">
        <v>2660</v>
      </c>
      <c r="E14" s="2551" t="s">
        <v>2660</v>
      </c>
      <c r="F14" s="2552" t="s">
        <v>2661</v>
      </c>
      <c r="G14" s="2553" t="s">
        <v>2662</v>
      </c>
      <c r="H14" s="2554"/>
      <c r="I14" s="2555"/>
      <c r="J14" s="2556"/>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21"/>
      <c r="B15" s="2557" t="s">
        <v>2663</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6" t="b">
        <f>IF(E2="办公",2,IF(E2="工业",2,IF(E2="住宅",3,IF(E2="商业",IF(C8="不临58条商业街",2,3)))))</f>
        <v>0</v>
      </c>
      <c r="B16" s="2725" t="s">
        <v>2669</v>
      </c>
      <c r="C16" s="2719" t="e">
        <f>ROUND(IF(F17="与级别开发程度一致",0,(G17-E17)/C17),0)</f>
        <v>#DIV/0!</v>
      </c>
      <c r="D16" s="3109" t="s">
        <v>2673</v>
      </c>
      <c r="E16" s="3110"/>
      <c r="F16" s="3109" t="s">
        <v>2670</v>
      </c>
      <c r="G16" s="3110"/>
      <c r="H16" s="2560"/>
      <c r="I16" s="2560"/>
      <c r="J16" s="2732"/>
      <c r="K16" s="2560"/>
      <c r="L16" s="2560"/>
      <c r="M16" s="2560"/>
      <c r="N16" s="2560"/>
      <c r="O16" s="2561"/>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097"/>
      <c r="B17" s="2726" t="s">
        <v>2672</v>
      </c>
      <c r="C17" s="2727">
        <f>SUMPRODUCT((修正!A2:A5=E2)*(修正!B1:M1=G2)*(修正!B2:M5))</f>
        <v>0</v>
      </c>
      <c r="D17" s="150" t="str">
        <f>IF(OR(G2="八级",G2="九级",G2="十级",G2="十一级",G2="十二级"),"五通一平","七通一平")</f>
        <v>七通一平</v>
      </c>
      <c r="E17" s="2728">
        <f>SUMPRODUCT((修正!B1:M1=G2)*(修正!B15:M15))</f>
        <v>300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9"/>
      <c r="AH17" s="2499"/>
      <c r="AI17" s="2499"/>
      <c r="AJ17" s="2499"/>
    </row>
    <row r="18" spans="1:37" s="2517" customFormat="1" ht="15" thickBot="1">
      <c r="A18" s="2562" t="s">
        <v>2675</v>
      </c>
      <c r="B18" s="2720" t="s">
        <v>2676</v>
      </c>
      <c r="C18" s="2721">
        <f>SUMIF(修正!C18:C39,E3,修正!E18:E39)</f>
        <v>0</v>
      </c>
      <c r="D18" s="2722"/>
      <c r="E18" s="2723"/>
      <c r="F18" s="2723"/>
      <c r="G18" s="2723"/>
      <c r="H18" s="2723"/>
      <c r="I18" s="2723"/>
      <c r="J18" s="2724"/>
      <c r="K18" s="2565"/>
      <c r="O18" s="1456"/>
      <c r="P18" s="1456"/>
      <c r="Q18" s="1456"/>
      <c r="R18" s="1456"/>
      <c r="S18" s="1456"/>
      <c r="T18" s="1456"/>
      <c r="U18" s="1456"/>
      <c r="V18" s="1456"/>
      <c r="W18" s="1456"/>
      <c r="X18" s="1456"/>
      <c r="Y18" s="1456"/>
      <c r="Z18" s="1456"/>
      <c r="AA18" s="1456"/>
      <c r="AB18" s="1456"/>
      <c r="AC18" s="1456"/>
      <c r="AD18" s="1456"/>
      <c r="AE18" s="1457"/>
      <c r="AF18" s="1457"/>
      <c r="AG18" s="2566"/>
      <c r="AH18" s="2566"/>
      <c r="AI18" s="2566"/>
    </row>
    <row r="19" spans="1:37" s="2517" customFormat="1" ht="29.4" thickBot="1">
      <c r="A19" s="2562" t="s">
        <v>2677</v>
      </c>
      <c r="B19" s="2563" t="s">
        <v>2678</v>
      </c>
      <c r="C19" s="947">
        <f>ROUND(IF(H19="按公示增长率计算",SUMPRODUCT((地价!A3:A29=YEAR(G19)&amp;"-"&amp;ROUNDUP(MONTH(G19)/3,0))*(地价!X2:AB2=E2)*(地价!X3:AB29)),IF(H19="地价指数",M20/M19,(1+I19)^O19)),4)</f>
        <v>0</v>
      </c>
      <c r="D19" s="2567" t="s">
        <v>2679</v>
      </c>
      <c r="E19" s="948">
        <v>41640</v>
      </c>
      <c r="F19" s="2567" t="s">
        <v>2680</v>
      </c>
      <c r="G19" s="949">
        <f>'数据-取费表'!B2</f>
        <v>43924</v>
      </c>
      <c r="H19" s="2568" t="s">
        <v>2817</v>
      </c>
      <c r="I19" s="950" t="str">
        <f>IF(H19="季度增幅（自定义）",SUMIF(N21:N24,E2,O21:O24),"")</f>
        <v/>
      </c>
      <c r="J19" s="2564"/>
      <c r="K19" s="2565"/>
      <c r="L19" s="2569" t="s">
        <v>2681</v>
      </c>
      <c r="M19" s="1820">
        <f>ROUND(SUMIF(地价!B2:F2,E2,地价!B29:F29),0)</f>
        <v>0</v>
      </c>
      <c r="N19" s="1460" t="s">
        <v>2682</v>
      </c>
      <c r="O19" s="951">
        <f>ROUNDDOWN(DATEDIF(E19,G19,"M")/3,0)</f>
        <v>25</v>
      </c>
      <c r="P19" s="1457"/>
      <c r="R19" s="1456"/>
      <c r="S19" s="1456"/>
      <c r="T19" s="1456"/>
      <c r="U19" s="1456"/>
      <c r="V19" s="1456"/>
      <c r="W19" s="1456"/>
      <c r="X19" s="1456"/>
      <c r="Y19" s="1456"/>
      <c r="Z19" s="1456"/>
      <c r="AA19" s="1456"/>
      <c r="AB19" s="1456"/>
      <c r="AC19" s="1456"/>
      <c r="AD19" s="1456"/>
      <c r="AE19" s="2565"/>
      <c r="AF19" s="2570"/>
      <c r="AG19" s="2571"/>
      <c r="AH19" s="2566"/>
      <c r="AI19" s="2572"/>
      <c r="AJ19" s="2572"/>
      <c r="AK19" s="2572"/>
    </row>
    <row r="20" spans="1:37" s="2517" customFormat="1" ht="29.4" thickBot="1">
      <c r="A20" s="2573" t="s">
        <v>2683</v>
      </c>
      <c r="B20" s="2574" t="s">
        <v>2684</v>
      </c>
      <c r="C20" s="952" t="e">
        <f>ROUND(POWER(1+G20,J20-I20)*(POWER(1+G20,I20)-1)/(POWER(1+G20,J20)-1),4)</f>
        <v>#DIV/0!</v>
      </c>
      <c r="D20" s="2575" t="s">
        <v>2685</v>
      </c>
      <c r="E20" s="1850">
        <f ca="1">存贷款利率!D4/100</f>
        <v>4.3499999999999997E-2</v>
      </c>
      <c r="F20" s="2575" t="s">
        <v>2674</v>
      </c>
      <c r="G20" s="958">
        <f>SUMIF(M26:P26,E2,M28:P28)</f>
        <v>0</v>
      </c>
      <c r="H20" s="2575" t="s">
        <v>2686</v>
      </c>
      <c r="I20" s="959">
        <f>'数据-取费表'!B13</f>
        <v>38</v>
      </c>
      <c r="J20" s="960">
        <f>IF(E2="住宅",70,IF(E2="商业",40,50))</f>
        <v>50</v>
      </c>
      <c r="K20" s="2565"/>
      <c r="L20" s="2576" t="s">
        <v>2687</v>
      </c>
      <c r="M20" s="1821">
        <f>ROUND(SUMPRODUCT((地价!A4:A29=YEAR(G19)&amp;"-"&amp;ROUNDUP(MONTH(G19)/3,0))*(地价!B2:F2=E2)*(地价!B4:F29)),0)</f>
        <v>0</v>
      </c>
      <c r="N20" s="2577" t="s">
        <v>2688</v>
      </c>
      <c r="O20" s="2578" t="s">
        <v>2689</v>
      </c>
      <c r="P20" s="2579" t="s">
        <v>2690</v>
      </c>
      <c r="R20" s="1456"/>
      <c r="S20" s="1456"/>
      <c r="T20" s="1456"/>
      <c r="U20" s="1456"/>
      <c r="V20" s="1456"/>
      <c r="W20" s="1456"/>
      <c r="X20" s="1456"/>
      <c r="Y20" s="1456"/>
      <c r="Z20" s="1456"/>
      <c r="AA20" s="1456"/>
      <c r="AB20" s="1456"/>
      <c r="AC20" s="1456"/>
      <c r="AD20" s="1456"/>
      <c r="AE20" s="2565"/>
      <c r="AF20" s="2565"/>
    </row>
    <row r="21" spans="1:37" s="2517" customFormat="1" ht="14.4">
      <c r="A21" s="2580" t="s">
        <v>2691</v>
      </c>
      <c r="B21" s="2581" t="s">
        <v>2692</v>
      </c>
      <c r="C21" s="961" t="b">
        <f>IF(B21="容积率修正",IF(G3&lt;=10,D22,J22),C23)</f>
        <v>0</v>
      </c>
      <c r="D21" s="2582"/>
      <c r="E21" s="2582"/>
      <c r="F21" s="2582"/>
      <c r="G21" s="2582"/>
      <c r="H21" s="2582"/>
      <c r="I21" s="2582"/>
      <c r="J21" s="2583"/>
      <c r="K21" s="2565"/>
      <c r="N21" s="2584" t="s">
        <v>2693</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5"/>
      <c r="AF21" s="2565"/>
    </row>
    <row r="22" spans="1:37" s="2517" customFormat="1" ht="14.4">
      <c r="A22" s="2585">
        <v>1</v>
      </c>
      <c r="B22" s="2586" t="s">
        <v>2694</v>
      </c>
      <c r="C22" s="1892" t="s">
        <v>2695</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5"/>
      <c r="N22" s="2584" t="s">
        <v>2696</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5"/>
      <c r="AF22" s="2565"/>
    </row>
    <row r="23" spans="1:37" ht="28.8">
      <c r="A23" s="2585">
        <v>2</v>
      </c>
      <c r="B23" s="2586" t="s">
        <v>2697</v>
      </c>
      <c r="C23" s="953" t="e">
        <f>ROUND(IF(G3&gt;1,IF(I3&lt;7,SUMPRODUCT((B93:B98=I3)*(C92:N92=G2)*(C93:N98)),SUMIF(C92:N92,G2,C100:N100)),IF(I3&lt;7,SUMPRODUCT((B102:B107=I3)*(C92:N92=G2)*(C102:N107)),SUMIF(C92:N92,G2,C109:N109))),4)</f>
        <v>#DIV/0!</v>
      </c>
      <c r="D23" s="2554"/>
      <c r="E23" s="2554"/>
      <c r="F23" s="2587"/>
      <c r="G23" s="2588"/>
      <c r="H23" s="2589"/>
      <c r="I23" s="2590"/>
      <c r="J23" s="2591"/>
      <c r="N23" s="2584" t="s">
        <v>2698</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6"/>
    </row>
    <row r="24" spans="1:37" s="2517" customFormat="1" ht="15" thickBot="1">
      <c r="A24" s="2592" t="s">
        <v>2699</v>
      </c>
      <c r="B24" s="2593" t="s">
        <v>2700</v>
      </c>
      <c r="C24" s="963">
        <f>SUMIF(A46:A88,E2,B46:B88)</f>
        <v>0</v>
      </c>
      <c r="D24" s="2594"/>
      <c r="E24" s="2595"/>
      <c r="F24" s="2595"/>
      <c r="G24" s="2595"/>
      <c r="H24" s="2595"/>
      <c r="I24" s="2595"/>
      <c r="J24" s="2596"/>
      <c r="K24" s="2565"/>
      <c r="N24" s="2597" t="s">
        <v>2701</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5"/>
      <c r="AF24" s="2565"/>
    </row>
    <row r="25" spans="1:37" ht="15" thickBot="1">
      <c r="A25" s="2573" t="s">
        <v>2702</v>
      </c>
      <c r="B25" s="2598" t="s">
        <v>2703</v>
      </c>
      <c r="C25" s="954"/>
      <c r="D25" s="2528"/>
      <c r="E25" s="2528"/>
      <c r="F25" s="2599"/>
      <c r="G25" s="2528"/>
      <c r="H25" s="2528"/>
      <c r="I25" s="2528"/>
      <c r="J25" s="2529"/>
      <c r="L25" s="1456"/>
      <c r="M25" s="1456"/>
      <c r="N25" s="2600" t="s">
        <v>2704</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4.4">
      <c r="A26" s="2601"/>
      <c r="B26" s="2586" t="s">
        <v>2705</v>
      </c>
      <c r="C26" s="123" t="e">
        <f>E29+SUM(E33:E39)</f>
        <v>#DIV/0!</v>
      </c>
      <c r="D26" s="2602"/>
      <c r="E26" s="2554"/>
      <c r="F26" s="2603"/>
      <c r="G26" s="2554"/>
      <c r="H26" s="2554"/>
      <c r="I26" s="2554"/>
      <c r="J26" s="2604"/>
      <c r="L26" s="2558" t="s">
        <v>2664</v>
      </c>
      <c r="M26" s="943" t="s">
        <v>2665</v>
      </c>
      <c r="N26" s="943" t="s">
        <v>2666</v>
      </c>
      <c r="O26" s="943" t="s">
        <v>2667</v>
      </c>
      <c r="P26" s="2559" t="s">
        <v>2668</v>
      </c>
      <c r="Q26" s="1456"/>
      <c r="R26" s="1456"/>
      <c r="S26" s="1456"/>
      <c r="T26" s="1456"/>
      <c r="U26" s="1456"/>
      <c r="V26" s="1456"/>
      <c r="W26" s="1456"/>
      <c r="X26" s="1456"/>
      <c r="Y26" s="1456"/>
      <c r="Z26" s="1456"/>
      <c r="AA26" s="1456"/>
      <c r="AB26" s="1456"/>
      <c r="AC26" s="1456"/>
      <c r="AD26" s="1456"/>
      <c r="AE26" s="1457"/>
      <c r="AF26" s="1457"/>
    </row>
    <row r="27" spans="1:37" ht="15" thickBot="1">
      <c r="A27" s="2601"/>
      <c r="B27" s="2605" t="s">
        <v>2706</v>
      </c>
      <c r="C27" s="955" t="e">
        <f>E30+SUM(I33:I39)</f>
        <v>#DIV/0!</v>
      </c>
      <c r="D27" s="2606"/>
      <c r="E27" s="2607"/>
      <c r="F27" s="2608"/>
      <c r="G27" s="2607"/>
      <c r="H27" s="2607"/>
      <c r="I27" s="2607"/>
      <c r="J27" s="2609"/>
      <c r="L27" s="1454" t="s">
        <v>2671</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3"/>
      <c r="B28" s="2610" t="s">
        <v>2707</v>
      </c>
      <c r="C28" s="2611" t="s">
        <v>2708</v>
      </c>
      <c r="D28" s="2611" t="s">
        <v>2709</v>
      </c>
      <c r="E28" s="2612" t="s">
        <v>2710</v>
      </c>
      <c r="F28" s="2613"/>
      <c r="G28" s="2541"/>
      <c r="H28" s="2541"/>
      <c r="I28" s="2541"/>
      <c r="J28" s="2542"/>
      <c r="L28" s="1458" t="s">
        <v>2674</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4"/>
      <c r="B29" s="2615" t="s">
        <v>2711</v>
      </c>
      <c r="C29" s="123" t="e">
        <f>ROUND(C5*C18*C19*C20*C21*C24,0)</f>
        <v>#DIV/0!</v>
      </c>
      <c r="D29" s="2616"/>
      <c r="E29" s="967" t="e">
        <f>ROUND(C29*D29,0)</f>
        <v>#DIV/0!</v>
      </c>
      <c r="F29" s="2617" t="s">
        <v>2712</v>
      </c>
      <c r="G29" s="2618"/>
      <c r="H29" s="2618"/>
      <c r="I29" s="2618"/>
      <c r="J29" s="2619"/>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9"/>
      <c r="AH29" s="2499"/>
      <c r="AI29" s="2499"/>
      <c r="AJ29" s="2499"/>
    </row>
    <row r="30" spans="1:37" ht="25.8" thickBot="1">
      <c r="A30" s="2620"/>
      <c r="B30" s="2621" t="s">
        <v>2713</v>
      </c>
      <c r="C30" s="150" t="e">
        <f>ROUND(IF(E2="工业",C29*M39,C29*M38),0)</f>
        <v>#DIV/0!</v>
      </c>
      <c r="D30" s="2622"/>
      <c r="E30" s="967" t="e">
        <f>ROUND(C30*D30,0)</f>
        <v>#DIV/0!</v>
      </c>
      <c r="F30" s="2623" t="s">
        <v>2714</v>
      </c>
      <c r="G30" s="2624"/>
      <c r="H30" s="2624"/>
      <c r="I30" s="2624"/>
      <c r="J30" s="2625"/>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9"/>
      <c r="AH30" s="2499"/>
      <c r="AI30" s="2499"/>
      <c r="AJ30" s="2499"/>
    </row>
    <row r="31" spans="1:37">
      <c r="A31" s="2626"/>
      <c r="B31" s="2627" t="s">
        <v>2715</v>
      </c>
      <c r="C31" s="2628" t="s">
        <v>2716</v>
      </c>
      <c r="D31" s="2541"/>
      <c r="E31" s="2628"/>
      <c r="F31" s="2628"/>
      <c r="G31" s="2539" t="s">
        <v>2717</v>
      </c>
      <c r="H31" s="2541"/>
      <c r="I31" s="2629"/>
      <c r="J31" s="2542"/>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9"/>
      <c r="AH31" s="2499"/>
      <c r="AI31" s="2499"/>
      <c r="AJ31" s="2499"/>
    </row>
    <row r="32" spans="1:37" ht="36">
      <c r="A32" s="2614"/>
      <c r="B32" s="2630"/>
      <c r="C32" s="482" t="s">
        <v>2708</v>
      </c>
      <c r="D32" s="479" t="s">
        <v>2709</v>
      </c>
      <c r="E32" s="479" t="s">
        <v>2710</v>
      </c>
      <c r="F32" s="367" t="s">
        <v>2718</v>
      </c>
      <c r="G32" s="953" t="s">
        <v>2708</v>
      </c>
      <c r="H32" s="953" t="s">
        <v>2709</v>
      </c>
      <c r="I32" s="953" t="s">
        <v>2710</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9"/>
      <c r="AH32" s="2499"/>
      <c r="AI32" s="2499"/>
      <c r="AJ32" s="2499"/>
    </row>
    <row r="33" spans="1:37">
      <c r="A33" s="3106" t="s">
        <v>2719</v>
      </c>
      <c r="B33" s="2631" t="s">
        <v>2720</v>
      </c>
      <c r="C33" s="123" t="e">
        <f>ROUND(D5*C19*C20*C24*F33,0)</f>
        <v>#DIV/0!</v>
      </c>
      <c r="D33" s="261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32"/>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7"/>
      <c r="B34" s="2545" t="s">
        <v>2721</v>
      </c>
      <c r="C34" s="123" t="e">
        <f>ROUND(D5*C19*C20*C24*F34,0)</f>
        <v>#DIV/0!</v>
      </c>
      <c r="D34" s="2616"/>
      <c r="E34" s="117" t="e">
        <f t="shared" si="6"/>
        <v>#DIV/0!</v>
      </c>
      <c r="F34" s="117">
        <f>SUMIF(修正!A45:A56,G2,修正!C45:C56)</f>
        <v>0.4</v>
      </c>
      <c r="G34" s="117" t="e">
        <f>ROUND(IF(E2="工业",C34*$M$39,C34*$M$38),0)</f>
        <v>#DIV/0!</v>
      </c>
      <c r="H34" s="117">
        <f t="shared" ref="H34:H39" si="9">D34</f>
        <v>0</v>
      </c>
      <c r="I34" s="117" t="e">
        <f t="shared" si="8"/>
        <v>#DIV/0!</v>
      </c>
      <c r="J34" s="2632"/>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7"/>
      <c r="B35" s="2545" t="s">
        <v>2722</v>
      </c>
      <c r="C35" s="123" t="e">
        <f>ROUND(D5*C19*C20*C24*F35,0)</f>
        <v>#DIV/0!</v>
      </c>
      <c r="D35" s="2616"/>
      <c r="E35" s="117" t="e">
        <f t="shared" si="6"/>
        <v>#DIV/0!</v>
      </c>
      <c r="F35" s="117">
        <f>SUMIF(修正!A45:A56,G2,修正!D45:D56)</f>
        <v>0.28000000000000003</v>
      </c>
      <c r="G35" s="117" t="e">
        <f>ROUND(IF(E2="工业",C35*$M$39,C35*$M$38),0)</f>
        <v>#DIV/0!</v>
      </c>
      <c r="H35" s="117">
        <f t="shared" si="9"/>
        <v>0</v>
      </c>
      <c r="I35" s="117" t="e">
        <f t="shared" si="8"/>
        <v>#DIV/0!</v>
      </c>
      <c r="J35" s="2632"/>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08"/>
      <c r="B36" s="2545" t="s">
        <v>2723</v>
      </c>
      <c r="C36" s="123" t="e">
        <f>ROUND(D5*C19*C20*C24*F36,0)</f>
        <v>#DIV/0!</v>
      </c>
      <c r="D36" s="2616"/>
      <c r="E36" s="117" t="e">
        <f t="shared" si="6"/>
        <v>#DIV/0!</v>
      </c>
      <c r="F36" s="117">
        <f>SUMIF(修正!A45:A56,G2,修正!E45:E56)</f>
        <v>0.25</v>
      </c>
      <c r="G36" s="117" t="e">
        <f>ROUND(IF(E2="工业",C36*$M$39,C36*$M$38),0)</f>
        <v>#DIV/0!</v>
      </c>
      <c r="H36" s="117">
        <f t="shared" si="9"/>
        <v>0</v>
      </c>
      <c r="I36" s="117" t="e">
        <f t="shared" si="8"/>
        <v>#DIV/0!</v>
      </c>
      <c r="J36" s="2632"/>
      <c r="L36" s="2633"/>
      <c r="M36" s="2633"/>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4"/>
      <c r="B37" s="2545" t="s">
        <v>2724</v>
      </c>
      <c r="C37" s="117" t="e">
        <f>ROUND(D5*C19*C20*C24*F37,0)</f>
        <v>#DIV/0!</v>
      </c>
      <c r="D37" s="2616"/>
      <c r="E37" s="117" t="e">
        <f t="shared" si="6"/>
        <v>#DIV/0!</v>
      </c>
      <c r="F37" s="123">
        <f>SUMIF(修正!A45:A56,G2,修正!F45:F56)</f>
        <v>0.25</v>
      </c>
      <c r="G37" s="117" t="e">
        <f>ROUND(IF(E2="工业",C37*$M$39,C37*$M$38),0)</f>
        <v>#DIV/0!</v>
      </c>
      <c r="H37" s="117">
        <f t="shared" si="9"/>
        <v>0</v>
      </c>
      <c r="I37" s="117" t="e">
        <f t="shared" si="8"/>
        <v>#DIV/0!</v>
      </c>
      <c r="J37" s="2632"/>
      <c r="L37" s="2635" t="s">
        <v>2725</v>
      </c>
      <c r="M37" s="2529"/>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4"/>
      <c r="B38" s="2545" t="s">
        <v>2726</v>
      </c>
      <c r="C38" s="117" t="e">
        <f>ROUND(D5*C19*C41*C24*F38,0)</f>
        <v>#DIV/0!</v>
      </c>
      <c r="D38" s="2616"/>
      <c r="E38" s="117" t="e">
        <f t="shared" si="6"/>
        <v>#DIV/0!</v>
      </c>
      <c r="F38" s="123">
        <f>SUMIF(修正!A45:A56,G2,修正!G45:G56)</f>
        <v>0.25</v>
      </c>
      <c r="G38" s="117" t="e">
        <f>ROUND(IF(E2="工业",C38*$M$39,C38*$M$38),0)</f>
        <v>#DIV/0!</v>
      </c>
      <c r="H38" s="117">
        <f t="shared" si="9"/>
        <v>0</v>
      </c>
      <c r="I38" s="117" t="e">
        <f t="shared" si="8"/>
        <v>#DIV/0!</v>
      </c>
      <c r="J38" s="2632"/>
      <c r="L38" s="2636" t="s">
        <v>2727</v>
      </c>
      <c r="M38" s="2637">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0"/>
      <c r="B39" s="2638" t="s">
        <v>2728</v>
      </c>
      <c r="C39" s="150" t="e">
        <f>ROUND(D5*C19*C41*C24*F39,0)</f>
        <v>#DIV/0!</v>
      </c>
      <c r="D39" s="2622"/>
      <c r="E39" s="150" t="e">
        <f t="shared" si="6"/>
        <v>#DIV/0!</v>
      </c>
      <c r="F39" s="956">
        <f>SUMIF(修正!A45:A56,G2,修正!H45:H56)</f>
        <v>0.2</v>
      </c>
      <c r="G39" s="150" t="e">
        <f>ROUND(IF(E2="工业",C39*$M$39,C39*$M$38),0)</f>
        <v>#DIV/0!</v>
      </c>
      <c r="H39" s="150">
        <f t="shared" si="9"/>
        <v>0</v>
      </c>
      <c r="I39" s="150" t="e">
        <f t="shared" si="8"/>
        <v>#DIV/0!</v>
      </c>
      <c r="J39" s="2639"/>
      <c r="L39" s="2640" t="s">
        <v>2668</v>
      </c>
      <c r="M39" s="2641">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3"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2"/>
      <c r="AH40" s="2642"/>
      <c r="AI40" s="2642"/>
      <c r="AJ40" s="2642"/>
    </row>
    <row r="41" spans="1:37" s="2643" customFormat="1" ht="24">
      <c r="A41" s="1457"/>
      <c r="B41" s="2714" t="s">
        <v>2810</v>
      </c>
      <c r="C41" s="367" t="e">
        <f>ROUND(POWER(1+E41,H41-G41)*(POWER(1+E41,G41)-1)/(POWER(1+E41,H41)-1),4)</f>
        <v>#DIV/0!</v>
      </c>
      <c r="D41" s="117" t="s">
        <v>2808</v>
      </c>
      <c r="E41" s="826">
        <f>G20</f>
        <v>0</v>
      </c>
      <c r="F41" s="117" t="s">
        <v>2809</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2"/>
      <c r="AH41" s="2642"/>
      <c r="AI41" s="2642"/>
      <c r="AJ41" s="2642"/>
    </row>
    <row r="42" spans="1:37" s="2643" customFormat="1">
      <c r="A42" s="1457"/>
      <c r="B42" s="2644"/>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2"/>
      <c r="AH42" s="2642"/>
      <c r="AI42" s="2642"/>
      <c r="AJ42" s="2642"/>
    </row>
    <row r="43" spans="1:37" s="2643" customFormat="1">
      <c r="A43" s="1457"/>
      <c r="B43" s="2644"/>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2"/>
      <c r="AH43" s="2642"/>
      <c r="AI43" s="2642"/>
      <c r="AJ43" s="2642"/>
    </row>
    <row r="44" spans="1:37" s="2643" customFormat="1">
      <c r="A44" s="1457"/>
      <c r="B44" s="2644"/>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2"/>
      <c r="AH44" s="2642"/>
      <c r="AI44" s="2642"/>
      <c r="AJ44" s="2642"/>
    </row>
    <row r="45" spans="1:37" s="2643" customFormat="1" ht="15" thickBot="1">
      <c r="A45" s="2645" t="s">
        <v>2729</v>
      </c>
      <c r="B45" s="2646"/>
      <c r="C45" s="9"/>
      <c r="D45" s="9"/>
      <c r="E45" s="9"/>
      <c r="F45" s="7"/>
      <c r="G45" s="9"/>
      <c r="H45" s="7"/>
      <c r="I45" s="9"/>
      <c r="J45" s="9"/>
      <c r="K45" s="9"/>
      <c r="L45" s="9"/>
      <c r="M45" s="9"/>
      <c r="N45" s="2497"/>
      <c r="O45" s="1456"/>
      <c r="P45" s="1456"/>
      <c r="Q45" s="1456"/>
      <c r="R45" s="1456"/>
      <c r="S45" s="1456"/>
      <c r="T45" s="1456"/>
      <c r="U45" s="1456"/>
      <c r="V45" s="1456"/>
      <c r="W45" s="1456"/>
      <c r="X45" s="1456"/>
      <c r="Y45" s="1456"/>
      <c r="Z45" s="1457"/>
      <c r="AA45" s="1457"/>
      <c r="AB45" s="1457"/>
      <c r="AC45" s="1457"/>
      <c r="AD45" s="1457"/>
      <c r="AE45" s="1457"/>
      <c r="AF45" s="1457"/>
      <c r="AG45" s="2642"/>
      <c r="AH45" s="2642"/>
      <c r="AI45" s="2642"/>
      <c r="AJ45" s="2642"/>
    </row>
    <row r="46" spans="1:37" s="2643" customFormat="1" ht="14.4">
      <c r="A46" s="2647" t="s">
        <v>2730</v>
      </c>
      <c r="B46" s="2648">
        <f>1+E48</f>
        <v>1</v>
      </c>
      <c r="C46" s="2649"/>
      <c r="D46" s="816"/>
      <c r="E46" s="817"/>
      <c r="F46" s="2650"/>
      <c r="G46" s="7"/>
      <c r="H46" s="9"/>
      <c r="I46" s="9"/>
      <c r="J46" s="9"/>
      <c r="K46" s="9"/>
      <c r="L46" s="9"/>
      <c r="M46" s="2497"/>
      <c r="N46" s="2651"/>
      <c r="O46" s="1456"/>
      <c r="P46" s="1456"/>
      <c r="Q46" s="1456"/>
      <c r="R46" s="1456"/>
      <c r="S46" s="1456"/>
      <c r="T46" s="1456"/>
      <c r="U46" s="1456"/>
      <c r="V46" s="1456"/>
      <c r="W46" s="1456"/>
      <c r="X46" s="1456"/>
      <c r="Y46" s="1457"/>
      <c r="Z46" s="1457"/>
      <c r="AA46" s="1457"/>
      <c r="AB46" s="1457"/>
      <c r="AC46" s="1457"/>
      <c r="AD46" s="1457"/>
      <c r="AE46" s="1457"/>
      <c r="AF46" s="2642"/>
      <c r="AG46" s="2642"/>
      <c r="AH46" s="2642"/>
      <c r="AI46" s="2642"/>
    </row>
    <row r="47" spans="1:37" s="2643" customFormat="1" ht="25.2">
      <c r="A47" s="2652" t="s">
        <v>2731</v>
      </c>
      <c r="B47" s="822" t="s">
        <v>2732</v>
      </c>
      <c r="C47" s="822" t="s">
        <v>2733</v>
      </c>
      <c r="D47" s="822" t="s">
        <v>2734</v>
      </c>
      <c r="E47" s="823" t="s">
        <v>2735</v>
      </c>
      <c r="F47" s="2653" t="s">
        <v>2736</v>
      </c>
      <c r="G47" s="822" t="s">
        <v>2737</v>
      </c>
      <c r="H47" s="2654" t="s">
        <v>2738</v>
      </c>
      <c r="I47" s="822" t="s">
        <v>2739</v>
      </c>
      <c r="J47" s="587" t="s">
        <v>2740</v>
      </c>
      <c r="K47" s="587" t="s">
        <v>2741</v>
      </c>
      <c r="L47" s="587" t="s">
        <v>2742</v>
      </c>
      <c r="M47" s="587" t="s">
        <v>2743</v>
      </c>
      <c r="N47" s="587" t="s">
        <v>2744</v>
      </c>
      <c r="O47" s="1456"/>
      <c r="P47" s="1456"/>
      <c r="Q47" s="1456"/>
      <c r="R47" s="1456"/>
      <c r="S47" s="1456"/>
      <c r="T47" s="1456"/>
      <c r="U47" s="1456"/>
      <c r="V47" s="1456"/>
      <c r="W47" s="1456"/>
      <c r="X47" s="1456"/>
      <c r="Y47" s="1456"/>
      <c r="Z47" s="1456"/>
      <c r="AA47" s="1457"/>
      <c r="AB47" s="1457"/>
      <c r="AC47" s="1457"/>
      <c r="AD47" s="1457"/>
      <c r="AE47" s="1457"/>
      <c r="AF47" s="1457"/>
      <c r="AG47" s="1457"/>
      <c r="AH47" s="2642"/>
      <c r="AI47" s="2642"/>
      <c r="AJ47" s="2642"/>
      <c r="AK47" s="2642"/>
    </row>
    <row r="48" spans="1:37" s="2643" customFormat="1" ht="52.8">
      <c r="A48" s="2652" t="s">
        <v>2745</v>
      </c>
      <c r="B48" s="2655" t="str">
        <f>估价对象房地状况!C16</f>
        <v>估价对象位于XX商圈，周边商业氛围成熟，人流量大，商业繁华度好</v>
      </c>
      <c r="C48" s="2551"/>
      <c r="D48" s="1370">
        <f t="shared" ref="D48:D56" si="10">SUMIF($J$47:$N$47,C48,J48:N48)</f>
        <v>0</v>
      </c>
      <c r="E48" s="828">
        <f>ROUND(SUM(D48:D56),4)</f>
        <v>0</v>
      </c>
      <c r="F48" s="2269"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2"/>
      <c r="AI48" s="2642"/>
      <c r="AJ48" s="2642"/>
      <c r="AK48" s="2642"/>
    </row>
    <row r="49" spans="1:37" s="2643" customFormat="1" ht="66">
      <c r="A49" s="2652" t="s">
        <v>2746</v>
      </c>
      <c r="B49" s="2656" t="str">
        <f>估价对象房地状况!C18</f>
        <v>估价对象周边道路状况、公共交通通达情况、停车便捷程度，综合评价交通便捷度较好</v>
      </c>
      <c r="C49" s="2551"/>
      <c r="D49" s="1370">
        <f t="shared" si="10"/>
        <v>0</v>
      </c>
      <c r="E49" s="831"/>
      <c r="F49" s="2269"/>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2"/>
      <c r="AI49" s="2642"/>
      <c r="AJ49" s="2642"/>
      <c r="AK49" s="2642"/>
    </row>
    <row r="50" spans="1:37" s="2643" customFormat="1" ht="24">
      <c r="A50" s="2652" t="s">
        <v>2747</v>
      </c>
      <c r="B50" s="2656">
        <f>估价对象房地状况!C19</f>
        <v>0</v>
      </c>
      <c r="C50" s="2551"/>
      <c r="D50" s="1370">
        <f t="shared" si="10"/>
        <v>0</v>
      </c>
      <c r="E50" s="831"/>
      <c r="F50" s="2269"/>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2"/>
      <c r="AI50" s="2642"/>
      <c r="AJ50" s="2642"/>
      <c r="AK50" s="2642"/>
    </row>
    <row r="51" spans="1:37" s="2643" customFormat="1" ht="50.4">
      <c r="A51" s="2652" t="s">
        <v>2748</v>
      </c>
      <c r="B51" s="2657" t="s">
        <v>2749</v>
      </c>
      <c r="C51" s="2551"/>
      <c r="D51" s="1370">
        <f t="shared" si="10"/>
        <v>0</v>
      </c>
      <c r="E51" s="831"/>
      <c r="F51" s="2269"/>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2"/>
      <c r="AI51" s="2642"/>
      <c r="AJ51" s="2642"/>
      <c r="AK51" s="2642"/>
    </row>
    <row r="52" spans="1:37" s="2643" customFormat="1" ht="24">
      <c r="A52" s="2652" t="s">
        <v>2750</v>
      </c>
      <c r="B52" s="2656">
        <f>估价对象房地状况!C24</f>
        <v>0</v>
      </c>
      <c r="C52" s="2551"/>
      <c r="D52" s="1370">
        <f t="shared" si="10"/>
        <v>0</v>
      </c>
      <c r="E52" s="831"/>
      <c r="F52" s="2269"/>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2"/>
      <c r="AI52" s="2642"/>
      <c r="AJ52" s="2642"/>
      <c r="AK52" s="2642"/>
    </row>
    <row r="53" spans="1:37" s="2643" customFormat="1" ht="36">
      <c r="A53" s="2652" t="s">
        <v>2751</v>
      </c>
      <c r="B53" s="2658" t="s">
        <v>2752</v>
      </c>
      <c r="C53" s="2551"/>
      <c r="D53" s="1370">
        <f t="shared" si="10"/>
        <v>0</v>
      </c>
      <c r="E53" s="831"/>
      <c r="F53" s="2269"/>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2"/>
      <c r="AI53" s="2642"/>
      <c r="AJ53" s="2642"/>
      <c r="AK53" s="2642"/>
    </row>
    <row r="54" spans="1:37" s="2643" customFormat="1" ht="26.4">
      <c r="A54" s="2659" t="s">
        <v>2753</v>
      </c>
      <c r="B54" s="2660" t="str">
        <f>估价对象房地状况!C21</f>
        <v>估价对象所在区域公共配套设施齐备情况</v>
      </c>
      <c r="C54" s="2551"/>
      <c r="D54" s="1370">
        <f t="shared" si="10"/>
        <v>0</v>
      </c>
      <c r="E54" s="831"/>
      <c r="F54" s="2269"/>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2"/>
      <c r="AI54" s="2642"/>
      <c r="AJ54" s="2642"/>
      <c r="AK54" s="2642"/>
    </row>
    <row r="55" spans="1:37" s="2643" customFormat="1" ht="26.4">
      <c r="A55" s="2659" t="s">
        <v>2754</v>
      </c>
      <c r="B55" s="2656" t="str">
        <f>估价对象房地状况!C22</f>
        <v>估价对象所在区域基础设施水平</v>
      </c>
      <c r="C55" s="2551"/>
      <c r="D55" s="1370">
        <f t="shared" si="10"/>
        <v>0</v>
      </c>
      <c r="E55" s="831"/>
      <c r="F55" s="2269"/>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2"/>
      <c r="AI55" s="2642"/>
      <c r="AJ55" s="2642"/>
      <c r="AK55" s="2642"/>
    </row>
    <row r="56" spans="1:37" s="2643" customFormat="1" ht="40.200000000000003" thickBot="1">
      <c r="A56" s="2661" t="s">
        <v>2755</v>
      </c>
      <c r="B56" s="2662" t="str">
        <f>估价对象房地状况!C20</f>
        <v>区域自然环境：；人文环境；综合评价环境状况一般</v>
      </c>
      <c r="C56" s="2551"/>
      <c r="D56" s="1370">
        <f t="shared" si="10"/>
        <v>0</v>
      </c>
      <c r="E56" s="837"/>
      <c r="F56" s="2269"/>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2"/>
      <c r="AI56" s="2642"/>
      <c r="AJ56" s="2642"/>
      <c r="AK56" s="2642"/>
    </row>
    <row r="57" spans="1:37" s="2643" customFormat="1" ht="14.4">
      <c r="A57" s="2647" t="s">
        <v>2756</v>
      </c>
      <c r="B57" s="2663">
        <f>1+E59</f>
        <v>1</v>
      </c>
      <c r="C57" s="816"/>
      <c r="D57" s="816"/>
      <c r="E57" s="817"/>
      <c r="F57" s="2650"/>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2"/>
      <c r="AI57" s="2642"/>
      <c r="AJ57" s="2642"/>
      <c r="AK57" s="2642"/>
    </row>
    <row r="58" spans="1:37" s="2643" customFormat="1" ht="25.2">
      <c r="A58" s="2652" t="s">
        <v>2731</v>
      </c>
      <c r="B58" s="2656"/>
      <c r="C58" s="822" t="s">
        <v>2733</v>
      </c>
      <c r="D58" s="822" t="s">
        <v>2734</v>
      </c>
      <c r="E58" s="823" t="s">
        <v>2735</v>
      </c>
      <c r="F58" s="2653" t="s">
        <v>2736</v>
      </c>
      <c r="G58" s="822" t="s">
        <v>2757</v>
      </c>
      <c r="H58" s="2654" t="s">
        <v>2758</v>
      </c>
      <c r="I58" s="822" t="s">
        <v>2759</v>
      </c>
      <c r="J58" s="587" t="s">
        <v>2393</v>
      </c>
      <c r="K58" s="587" t="s">
        <v>2394</v>
      </c>
      <c r="L58" s="587" t="s">
        <v>2395</v>
      </c>
      <c r="M58" s="587" t="s">
        <v>2396</v>
      </c>
      <c r="N58" s="587" t="s">
        <v>2397</v>
      </c>
      <c r="O58" s="1456"/>
      <c r="P58" s="1456"/>
      <c r="Q58" s="1456"/>
      <c r="R58" s="1456"/>
      <c r="S58" s="1456"/>
      <c r="T58" s="1456"/>
      <c r="U58" s="1456"/>
      <c r="V58" s="1456"/>
      <c r="W58" s="1456"/>
      <c r="X58" s="1456"/>
      <c r="Y58" s="1456"/>
      <c r="Z58" s="1456"/>
      <c r="AA58" s="1457"/>
      <c r="AB58" s="1457"/>
      <c r="AC58" s="1457"/>
      <c r="AD58" s="1457"/>
      <c r="AE58" s="1457"/>
      <c r="AF58" s="1457"/>
      <c r="AG58" s="1457"/>
      <c r="AH58" s="2642"/>
      <c r="AI58" s="2642"/>
      <c r="AJ58" s="2642"/>
      <c r="AK58" s="2642"/>
    </row>
    <row r="59" spans="1:37" s="2643" customFormat="1" ht="52.8">
      <c r="A59" s="2652" t="s">
        <v>2760</v>
      </c>
      <c r="B59" s="2655" t="str">
        <f>估价对象房地状况!C17</f>
        <v>估价对象位于XX商圈，周边办公楼项目较多，入驻率高，办公集聚程度较好</v>
      </c>
      <c r="C59" s="2551"/>
      <c r="D59" s="1370">
        <f t="shared" ref="D59:D67" si="15">SUMIF($J$58:$N$58,C59,J59:N59)</f>
        <v>0</v>
      </c>
      <c r="E59" s="828">
        <f>ROUND(SUM(D59:D67),4)</f>
        <v>0</v>
      </c>
      <c r="F59" s="2269"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2"/>
      <c r="AI59" s="2642"/>
      <c r="AJ59" s="2642"/>
      <c r="AK59" s="2642"/>
    </row>
    <row r="60" spans="1:37" s="2643" customFormat="1" ht="66">
      <c r="A60" s="2652" t="s">
        <v>2746</v>
      </c>
      <c r="B60" s="2656" t="str">
        <f>估价对象房地状况!C18</f>
        <v>估价对象周边道路状况、公共交通通达情况、停车便捷程度，综合评价交通便捷度较好</v>
      </c>
      <c r="C60" s="2551"/>
      <c r="D60" s="1370">
        <f t="shared" si="15"/>
        <v>0</v>
      </c>
      <c r="E60" s="831"/>
      <c r="F60" s="2269"/>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2"/>
      <c r="AI60" s="2642"/>
      <c r="AJ60" s="2642"/>
      <c r="AK60" s="2642"/>
    </row>
    <row r="61" spans="1:37" s="2643" customFormat="1" ht="24">
      <c r="A61" s="2652" t="s">
        <v>2747</v>
      </c>
      <c r="B61" s="2656">
        <f>估价对象房地状况!C19</f>
        <v>0</v>
      </c>
      <c r="C61" s="2551"/>
      <c r="D61" s="1370">
        <f t="shared" si="15"/>
        <v>0</v>
      </c>
      <c r="E61" s="831"/>
      <c r="F61" s="2269"/>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2"/>
      <c r="AI61" s="2642"/>
      <c r="AJ61" s="2642"/>
      <c r="AK61" s="2642"/>
    </row>
    <row r="62" spans="1:37" s="2643" customFormat="1" ht="50.4">
      <c r="A62" s="2652" t="s">
        <v>2748</v>
      </c>
      <c r="B62" s="2657" t="s">
        <v>2749</v>
      </c>
      <c r="C62" s="2551"/>
      <c r="D62" s="1370">
        <f t="shared" si="15"/>
        <v>0</v>
      </c>
      <c r="E62" s="831"/>
      <c r="F62" s="2269"/>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2"/>
      <c r="AI62" s="2642"/>
      <c r="AJ62" s="2642"/>
      <c r="AK62" s="2642"/>
    </row>
    <row r="63" spans="1:37" s="2643" customFormat="1" ht="24">
      <c r="A63" s="2652" t="s">
        <v>2750</v>
      </c>
      <c r="B63" s="2656">
        <f>估价对象房地状况!C24</f>
        <v>0</v>
      </c>
      <c r="C63" s="2551"/>
      <c r="D63" s="1370">
        <f t="shared" si="15"/>
        <v>0</v>
      </c>
      <c r="E63" s="831"/>
      <c r="F63" s="2269"/>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2"/>
      <c r="AI63" s="2642"/>
      <c r="AJ63" s="2642"/>
      <c r="AK63" s="2642"/>
    </row>
    <row r="64" spans="1:37" s="2643" customFormat="1" ht="36">
      <c r="A64" s="2652" t="s">
        <v>2751</v>
      </c>
      <c r="B64" s="2658" t="s">
        <v>2752</v>
      </c>
      <c r="C64" s="2551"/>
      <c r="D64" s="1370">
        <f t="shared" si="15"/>
        <v>0</v>
      </c>
      <c r="E64" s="831"/>
      <c r="F64" s="2269"/>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2"/>
      <c r="AI64" s="2642"/>
      <c r="AJ64" s="2642"/>
      <c r="AK64" s="2642"/>
    </row>
    <row r="65" spans="1:37" s="2643" customFormat="1" ht="26.4">
      <c r="A65" s="2652" t="s">
        <v>2753</v>
      </c>
      <c r="B65" s="2660" t="str">
        <f>估价对象房地状况!C21</f>
        <v>估价对象所在区域公共配套设施齐备情况</v>
      </c>
      <c r="C65" s="2551"/>
      <c r="D65" s="1370">
        <f t="shared" si="15"/>
        <v>0</v>
      </c>
      <c r="E65" s="831"/>
      <c r="F65" s="2269"/>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2"/>
      <c r="AI65" s="2642"/>
      <c r="AJ65" s="2642"/>
      <c r="AK65" s="2642"/>
    </row>
    <row r="66" spans="1:37" s="2643" customFormat="1" ht="26.4">
      <c r="A66" s="2652" t="s">
        <v>2754</v>
      </c>
      <c r="B66" s="2660" t="str">
        <f>估价对象房地状况!C22</f>
        <v>估价对象所在区域基础设施水平</v>
      </c>
      <c r="C66" s="2551"/>
      <c r="D66" s="1370">
        <f t="shared" si="15"/>
        <v>0</v>
      </c>
      <c r="E66" s="831"/>
      <c r="F66" s="2269"/>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2"/>
      <c r="AI66" s="2642"/>
      <c r="AJ66" s="2642"/>
      <c r="AK66" s="2642"/>
    </row>
    <row r="67" spans="1:37" s="2643" customFormat="1" ht="40.200000000000003" thickBot="1">
      <c r="A67" s="2661" t="s">
        <v>2755</v>
      </c>
      <c r="B67" s="2664" t="str">
        <f>估价对象房地状况!C20</f>
        <v>区域自然环境：；人文环境；综合评价环境状况一般</v>
      </c>
      <c r="C67" s="2551"/>
      <c r="D67" s="1370">
        <f t="shared" si="15"/>
        <v>0</v>
      </c>
      <c r="E67" s="837"/>
      <c r="F67" s="2269"/>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2"/>
      <c r="AI67" s="2642"/>
      <c r="AJ67" s="2642"/>
      <c r="AK67" s="2642"/>
    </row>
    <row r="68" spans="1:37" s="2643" customFormat="1" ht="14.4">
      <c r="A68" s="2647" t="s">
        <v>2761</v>
      </c>
      <c r="B68" s="2663">
        <f>1+E70</f>
        <v>1</v>
      </c>
      <c r="C68" s="816"/>
      <c r="D68" s="816"/>
      <c r="E68" s="817"/>
      <c r="F68" s="2650"/>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2"/>
      <c r="AI68" s="2642"/>
      <c r="AJ68" s="2642"/>
      <c r="AK68" s="2642"/>
    </row>
    <row r="69" spans="1:37" s="2643" customFormat="1" ht="25.2">
      <c r="A69" s="2652" t="s">
        <v>2731</v>
      </c>
      <c r="B69" s="2656"/>
      <c r="C69" s="822" t="s">
        <v>2733</v>
      </c>
      <c r="D69" s="822" t="s">
        <v>2734</v>
      </c>
      <c r="E69" s="823" t="s">
        <v>2735</v>
      </c>
      <c r="F69" s="2653" t="s">
        <v>2736</v>
      </c>
      <c r="G69" s="822" t="s">
        <v>2757</v>
      </c>
      <c r="H69" s="2654" t="s">
        <v>2758</v>
      </c>
      <c r="I69" s="822" t="s">
        <v>2759</v>
      </c>
      <c r="J69" s="587" t="s">
        <v>2393</v>
      </c>
      <c r="K69" s="587" t="s">
        <v>2394</v>
      </c>
      <c r="L69" s="587" t="s">
        <v>2395</v>
      </c>
      <c r="M69" s="587" t="s">
        <v>2396</v>
      </c>
      <c r="N69" s="587" t="s">
        <v>2397</v>
      </c>
      <c r="O69" s="1456"/>
      <c r="P69" s="1456"/>
      <c r="Q69" s="1456"/>
      <c r="R69" s="1456"/>
      <c r="S69" s="1456"/>
      <c r="T69" s="1456"/>
      <c r="U69" s="1456"/>
      <c r="V69" s="1456"/>
      <c r="W69" s="1456"/>
      <c r="X69" s="1456"/>
      <c r="Y69" s="1456"/>
      <c r="Z69" s="1456"/>
      <c r="AA69" s="1457"/>
      <c r="AB69" s="1457"/>
      <c r="AC69" s="1457"/>
      <c r="AD69" s="1457"/>
      <c r="AE69" s="1457"/>
      <c r="AF69" s="1457"/>
      <c r="AG69" s="1457"/>
      <c r="AH69" s="2642"/>
      <c r="AI69" s="2642"/>
      <c r="AJ69" s="2642"/>
      <c r="AK69" s="2642"/>
    </row>
    <row r="70" spans="1:37" s="2643" customFormat="1" ht="66">
      <c r="A70" s="2652" t="s">
        <v>2762</v>
      </c>
      <c r="B70" s="2655" t="str">
        <f>估价对象房地状况!C15</f>
        <v>估价对象周边居住用地比例、居住小区规模和社区发展完善程度，综合评价居住社区成熟度一般</v>
      </c>
      <c r="C70" s="2551"/>
      <c r="D70" s="1370">
        <f t="shared" ref="D70:D78" si="20">SUMIF($J$69:$N$69,C70,J70:N70)</f>
        <v>0</v>
      </c>
      <c r="E70" s="828">
        <f>ROUND(SUM(D70:D78),4)</f>
        <v>0</v>
      </c>
      <c r="F70" s="2269"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2"/>
      <c r="AI70" s="2642"/>
      <c r="AJ70" s="2642"/>
      <c r="AK70" s="2642"/>
    </row>
    <row r="71" spans="1:37" s="2643" customFormat="1" ht="66">
      <c r="A71" s="2652" t="s">
        <v>2746</v>
      </c>
      <c r="B71" s="2656" t="str">
        <f>估价对象房地状况!C18</f>
        <v>估价对象周边道路状况、公共交通通达情况、停车便捷程度，综合评价交通便捷度较好</v>
      </c>
      <c r="C71" s="2551"/>
      <c r="D71" s="1370">
        <f t="shared" si="20"/>
        <v>0</v>
      </c>
      <c r="E71" s="839"/>
      <c r="F71" s="2665"/>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2"/>
      <c r="AI71" s="2642"/>
      <c r="AJ71" s="2642"/>
      <c r="AK71" s="2642"/>
    </row>
    <row r="72" spans="1:37" s="2643" customFormat="1" ht="24">
      <c r="A72" s="2652" t="s">
        <v>2747</v>
      </c>
      <c r="B72" s="2656">
        <f>估价对象房地状况!C19</f>
        <v>0</v>
      </c>
      <c r="C72" s="2551"/>
      <c r="D72" s="1370">
        <f t="shared" si="20"/>
        <v>0</v>
      </c>
      <c r="E72" s="839"/>
      <c r="F72" s="2665"/>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2"/>
      <c r="AI72" s="2642"/>
      <c r="AJ72" s="2642"/>
      <c r="AK72" s="2642"/>
    </row>
    <row r="73" spans="1:37" s="2643" customFormat="1" ht="13.8">
      <c r="A73" s="2652" t="s">
        <v>2763</v>
      </c>
      <c r="B73" s="2656">
        <f>估价对象房地状况!C24</f>
        <v>0</v>
      </c>
      <c r="C73" s="2551"/>
      <c r="D73" s="1370">
        <f t="shared" si="20"/>
        <v>0</v>
      </c>
      <c r="E73" s="839"/>
      <c r="F73" s="2665"/>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2"/>
      <c r="AI73" s="2642"/>
      <c r="AJ73" s="2642"/>
      <c r="AK73" s="2642"/>
    </row>
    <row r="74" spans="1:37" s="2643" customFormat="1" ht="26.4">
      <c r="A74" s="2652" t="s">
        <v>2753</v>
      </c>
      <c r="B74" s="2660" t="str">
        <f>估价对象房地状况!C21</f>
        <v>估价对象所在区域公共配套设施齐备情况</v>
      </c>
      <c r="C74" s="2551"/>
      <c r="D74" s="1370">
        <f t="shared" si="20"/>
        <v>0</v>
      </c>
      <c r="E74" s="839"/>
      <c r="F74" s="2665"/>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2"/>
      <c r="AI74" s="2642"/>
      <c r="AJ74" s="2642"/>
      <c r="AK74" s="2642"/>
    </row>
    <row r="75" spans="1:37" s="2643" customFormat="1" ht="26.4">
      <c r="A75" s="2652" t="s">
        <v>2754</v>
      </c>
      <c r="B75" s="2660" t="str">
        <f>估价对象房地状况!C22</f>
        <v>估价对象所在区域基础设施水平</v>
      </c>
      <c r="C75" s="2551"/>
      <c r="D75" s="1370">
        <f t="shared" si="20"/>
        <v>0</v>
      </c>
      <c r="E75" s="839"/>
      <c r="F75" s="2665"/>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2"/>
      <c r="AI75" s="2642"/>
      <c r="AJ75" s="2642"/>
      <c r="AK75" s="2642"/>
    </row>
    <row r="76" spans="1:37" ht="36">
      <c r="A76" s="2652" t="s">
        <v>2751</v>
      </c>
      <c r="B76" s="2658" t="s">
        <v>2752</v>
      </c>
      <c r="C76" s="2551"/>
      <c r="D76" s="1370">
        <f t="shared" si="20"/>
        <v>0</v>
      </c>
      <c r="E76" s="839"/>
      <c r="F76" s="2665"/>
      <c r="G76" s="1371"/>
      <c r="H76" s="1375" t="str">
        <f t="shared" si="21"/>
        <v>——</v>
      </c>
      <c r="I76" s="827">
        <v>0.05</v>
      </c>
      <c r="J76" s="1372">
        <f t="shared" si="22"/>
        <v>0</v>
      </c>
      <c r="K76" s="1372">
        <f t="shared" si="23"/>
        <v>0</v>
      </c>
      <c r="L76" s="1372">
        <v>0</v>
      </c>
      <c r="M76" s="1372">
        <f t="shared" si="24"/>
        <v>0</v>
      </c>
      <c r="N76" s="1372">
        <f t="shared" si="24"/>
        <v>0</v>
      </c>
      <c r="Z76" s="2499"/>
      <c r="AA76" s="2566"/>
      <c r="AG76" s="2642"/>
      <c r="AK76" s="2566"/>
    </row>
    <row r="77" spans="1:37" ht="39.6">
      <c r="A77" s="2652" t="s">
        <v>2755</v>
      </c>
      <c r="B77" s="2655" t="str">
        <f>估价对象房地状况!C20</f>
        <v>区域自然环境：；人文环境；综合评价环境状况一般</v>
      </c>
      <c r="C77" s="2551"/>
      <c r="D77" s="1370">
        <f t="shared" si="20"/>
        <v>0</v>
      </c>
      <c r="E77" s="839"/>
      <c r="F77" s="2665"/>
      <c r="G77" s="1371"/>
      <c r="H77" s="1375" t="str">
        <f t="shared" si="21"/>
        <v>——</v>
      </c>
      <c r="I77" s="827">
        <v>0.15</v>
      </c>
      <c r="J77" s="1372">
        <f t="shared" si="22"/>
        <v>0</v>
      </c>
      <c r="K77" s="1372">
        <f t="shared" si="23"/>
        <v>0</v>
      </c>
      <c r="L77" s="1372">
        <v>0</v>
      </c>
      <c r="M77" s="1372">
        <f t="shared" si="24"/>
        <v>0</v>
      </c>
      <c r="N77" s="1372">
        <f t="shared" si="24"/>
        <v>0</v>
      </c>
      <c r="Z77" s="2499"/>
      <c r="AA77" s="2566"/>
      <c r="AG77" s="2642"/>
      <c r="AK77" s="2566"/>
    </row>
    <row r="78" spans="1:37" ht="36.6" thickBot="1">
      <c r="A78" s="2661" t="s">
        <v>2764</v>
      </c>
      <c r="B78" s="2666"/>
      <c r="C78" s="2551"/>
      <c r="D78" s="1370">
        <f t="shared" si="20"/>
        <v>0</v>
      </c>
      <c r="E78" s="840"/>
      <c r="F78" s="2665"/>
      <c r="G78" s="1371"/>
      <c r="H78" s="1375" t="str">
        <f t="shared" si="21"/>
        <v>——</v>
      </c>
      <c r="I78" s="836">
        <v>0.04</v>
      </c>
      <c r="J78" s="1372">
        <f t="shared" si="22"/>
        <v>0</v>
      </c>
      <c r="K78" s="1372">
        <f t="shared" si="23"/>
        <v>0</v>
      </c>
      <c r="L78" s="1372">
        <v>0</v>
      </c>
      <c r="M78" s="1372">
        <f t="shared" si="24"/>
        <v>0</v>
      </c>
      <c r="N78" s="1372">
        <f t="shared" si="24"/>
        <v>0</v>
      </c>
      <c r="Z78" s="2499"/>
      <c r="AA78" s="2566"/>
      <c r="AG78" s="2642"/>
      <c r="AK78" s="2566"/>
    </row>
    <row r="79" spans="1:37" ht="14.4">
      <c r="A79" s="2647" t="s">
        <v>2765</v>
      </c>
      <c r="B79" s="2663">
        <f>1+E81</f>
        <v>1</v>
      </c>
      <c r="C79" s="816"/>
      <c r="D79" s="816"/>
      <c r="E79" s="817"/>
      <c r="F79" s="2650"/>
      <c r="G79" s="7"/>
      <c r="H79" s="7"/>
      <c r="I79" s="7"/>
      <c r="J79" s="9"/>
      <c r="K79" s="9"/>
      <c r="L79" s="9"/>
      <c r="M79" s="9"/>
      <c r="N79" s="9"/>
      <c r="Z79" s="2499"/>
      <c r="AA79" s="2566"/>
      <c r="AG79" s="2642"/>
      <c r="AK79" s="2566"/>
    </row>
    <row r="80" spans="1:37" ht="25.2">
      <c r="A80" s="2652" t="s">
        <v>2731</v>
      </c>
      <c r="B80" s="2656"/>
      <c r="C80" s="822" t="s">
        <v>2733</v>
      </c>
      <c r="D80" s="822" t="s">
        <v>2734</v>
      </c>
      <c r="E80" s="823" t="s">
        <v>2735</v>
      </c>
      <c r="F80" s="2653" t="s">
        <v>2736</v>
      </c>
      <c r="G80" s="822" t="s">
        <v>2757</v>
      </c>
      <c r="H80" s="2654" t="s">
        <v>2758</v>
      </c>
      <c r="I80" s="822" t="s">
        <v>2759</v>
      </c>
      <c r="J80" s="587" t="s">
        <v>2393</v>
      </c>
      <c r="K80" s="587" t="s">
        <v>2394</v>
      </c>
      <c r="L80" s="587" t="s">
        <v>2395</v>
      </c>
      <c r="M80" s="587" t="s">
        <v>2396</v>
      </c>
      <c r="N80" s="587" t="s">
        <v>2397</v>
      </c>
      <c r="Z80" s="2499"/>
      <c r="AA80" s="2566"/>
      <c r="AG80" s="2642"/>
      <c r="AK80" s="2566"/>
    </row>
    <row r="81" spans="1:37" ht="39.6">
      <c r="A81" s="2652" t="s">
        <v>2766</v>
      </c>
      <c r="B81" s="2656" t="str">
        <f>估价对象房地状况!G15</f>
        <v>估价对象位于XX开发区，园区建设成熟度XX，产业集聚程度XX</v>
      </c>
      <c r="C81" s="2551"/>
      <c r="D81" s="1370">
        <f t="shared" ref="D81:D88" si="25">SUMIF($J$80:$N$80,C81,J81:N81)</f>
        <v>0</v>
      </c>
      <c r="E81" s="828">
        <f>ROUND(SUM(D81:D88),4)</f>
        <v>0</v>
      </c>
      <c r="F81" s="2269"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9"/>
      <c r="AA81" s="2566"/>
      <c r="AG81" s="2642"/>
      <c r="AK81" s="2566"/>
    </row>
    <row r="82" spans="1:37" ht="66">
      <c r="A82" s="2652" t="s">
        <v>2746</v>
      </c>
      <c r="B82" s="2656" t="str">
        <f>估价对象房地状况!G16</f>
        <v>估价对象周边道路状况、公共交通通达情况、停车便捷程度，综合评价交通便捷度较好</v>
      </c>
      <c r="C82" s="2551"/>
      <c r="D82" s="1370">
        <f t="shared" si="25"/>
        <v>0</v>
      </c>
      <c r="E82" s="839"/>
      <c r="F82" s="2665"/>
      <c r="G82" s="1371"/>
      <c r="H82" s="1375" t="str">
        <f t="shared" si="26"/>
        <v>——</v>
      </c>
      <c r="I82" s="827">
        <v>0.33</v>
      </c>
      <c r="J82" s="1372">
        <f t="shared" si="27"/>
        <v>0</v>
      </c>
      <c r="K82" s="1372">
        <f t="shared" si="28"/>
        <v>0</v>
      </c>
      <c r="L82" s="1372">
        <v>0</v>
      </c>
      <c r="M82" s="1372">
        <f t="shared" si="29"/>
        <v>0</v>
      </c>
      <c r="N82" s="1372">
        <f t="shared" si="29"/>
        <v>0</v>
      </c>
      <c r="Z82" s="2499"/>
      <c r="AA82" s="2566"/>
      <c r="AG82" s="2642"/>
      <c r="AK82" s="2566"/>
    </row>
    <row r="83" spans="1:37" ht="24">
      <c r="A83" s="2652" t="s">
        <v>2747</v>
      </c>
      <c r="B83" s="2656">
        <f>估价对象房地状况!G17</f>
        <v>0</v>
      </c>
      <c r="C83" s="2551"/>
      <c r="D83" s="1370">
        <f t="shared" si="25"/>
        <v>0</v>
      </c>
      <c r="E83" s="839"/>
      <c r="F83" s="2665"/>
      <c r="G83" s="1371"/>
      <c r="H83" s="1375" t="str">
        <f t="shared" si="26"/>
        <v>——</v>
      </c>
      <c r="I83" s="827">
        <v>0.05</v>
      </c>
      <c r="J83" s="1372">
        <f t="shared" si="27"/>
        <v>0</v>
      </c>
      <c r="K83" s="1372">
        <f t="shared" si="28"/>
        <v>0</v>
      </c>
      <c r="L83" s="1372">
        <v>0</v>
      </c>
      <c r="M83" s="1372">
        <f t="shared" si="29"/>
        <v>0</v>
      </c>
      <c r="N83" s="1372">
        <f t="shared" si="29"/>
        <v>0</v>
      </c>
      <c r="Z83" s="2499"/>
      <c r="AA83" s="2566"/>
      <c r="AG83" s="2642"/>
      <c r="AK83" s="2566"/>
    </row>
    <row r="84" spans="1:37" ht="13.8">
      <c r="A84" s="2652" t="s">
        <v>2763</v>
      </c>
      <c r="B84" s="2656">
        <f>估价对象房地状况!G22</f>
        <v>0</v>
      </c>
      <c r="C84" s="2551"/>
      <c r="D84" s="1370">
        <f t="shared" si="25"/>
        <v>0</v>
      </c>
      <c r="E84" s="839"/>
      <c r="F84" s="2665"/>
      <c r="G84" s="1371"/>
      <c r="H84" s="1375" t="str">
        <f t="shared" si="26"/>
        <v>——</v>
      </c>
      <c r="I84" s="827">
        <v>0.04</v>
      </c>
      <c r="J84" s="1372">
        <f t="shared" si="27"/>
        <v>0</v>
      </c>
      <c r="K84" s="1372">
        <f t="shared" si="28"/>
        <v>0</v>
      </c>
      <c r="L84" s="1372">
        <v>0</v>
      </c>
      <c r="M84" s="1372">
        <f t="shared" si="29"/>
        <v>0</v>
      </c>
      <c r="N84" s="1372">
        <f t="shared" si="29"/>
        <v>0</v>
      </c>
      <c r="Z84" s="2499"/>
      <c r="AA84" s="2566"/>
      <c r="AG84" s="2642"/>
      <c r="AK84" s="2566"/>
    </row>
    <row r="85" spans="1:37" ht="26.4">
      <c r="A85" s="2652" t="s">
        <v>2753</v>
      </c>
      <c r="B85" s="2660" t="str">
        <f>估价对象房地状况!G19</f>
        <v>估价对象所在区域公共配套设施齐备情况</v>
      </c>
      <c r="C85" s="2551"/>
      <c r="D85" s="1370">
        <f t="shared" si="25"/>
        <v>0</v>
      </c>
      <c r="E85" s="839"/>
      <c r="F85" s="2665"/>
      <c r="G85" s="1371"/>
      <c r="H85" s="1375" t="str">
        <f t="shared" si="26"/>
        <v>——</v>
      </c>
      <c r="I85" s="827">
        <v>0.06</v>
      </c>
      <c r="J85" s="1372">
        <f t="shared" si="27"/>
        <v>0</v>
      </c>
      <c r="K85" s="1372">
        <f t="shared" si="28"/>
        <v>0</v>
      </c>
      <c r="L85" s="1372">
        <v>0</v>
      </c>
      <c r="M85" s="1372">
        <f t="shared" si="29"/>
        <v>0</v>
      </c>
      <c r="N85" s="1372">
        <f t="shared" si="29"/>
        <v>0</v>
      </c>
      <c r="Z85" s="2499"/>
      <c r="AA85" s="2566"/>
      <c r="AG85" s="2642"/>
      <c r="AK85" s="2566"/>
    </row>
    <row r="86" spans="1:37" ht="26.4">
      <c r="A86" s="2652" t="s">
        <v>2754</v>
      </c>
      <c r="B86" s="2660" t="str">
        <f>估价对象房地状况!G20</f>
        <v>估价对象所在区域基础设施水平</v>
      </c>
      <c r="C86" s="2551"/>
      <c r="D86" s="1370">
        <f t="shared" si="25"/>
        <v>0</v>
      </c>
      <c r="E86" s="839"/>
      <c r="F86" s="2665"/>
      <c r="G86" s="1371"/>
      <c r="H86" s="1375" t="str">
        <f t="shared" si="26"/>
        <v>——</v>
      </c>
      <c r="I86" s="827">
        <v>0.15</v>
      </c>
      <c r="J86" s="1372">
        <f t="shared" si="27"/>
        <v>0</v>
      </c>
      <c r="K86" s="1372">
        <f t="shared" si="28"/>
        <v>0</v>
      </c>
      <c r="L86" s="1372">
        <v>0</v>
      </c>
      <c r="M86" s="1372">
        <f t="shared" si="29"/>
        <v>0</v>
      </c>
      <c r="N86" s="1372">
        <f t="shared" si="29"/>
        <v>0</v>
      </c>
      <c r="Z86" s="2499"/>
      <c r="AA86" s="2566"/>
      <c r="AG86" s="2642"/>
      <c r="AK86" s="2566"/>
    </row>
    <row r="87" spans="1:37" ht="36">
      <c r="A87" s="2652" t="s">
        <v>2751</v>
      </c>
      <c r="B87" s="2658" t="s">
        <v>2752</v>
      </c>
      <c r="C87" s="2551"/>
      <c r="D87" s="1370">
        <f t="shared" si="25"/>
        <v>0</v>
      </c>
      <c r="E87" s="839"/>
      <c r="F87" s="2665"/>
      <c r="G87" s="1371"/>
      <c r="H87" s="1375" t="str">
        <f t="shared" si="26"/>
        <v>——</v>
      </c>
      <c r="I87" s="827">
        <v>0.05</v>
      </c>
      <c r="J87" s="1372">
        <f t="shared" si="27"/>
        <v>0</v>
      </c>
      <c r="K87" s="1372">
        <f t="shared" si="28"/>
        <v>0</v>
      </c>
      <c r="L87" s="1372">
        <v>0</v>
      </c>
      <c r="M87" s="1372">
        <f t="shared" si="29"/>
        <v>0</v>
      </c>
      <c r="N87" s="1372">
        <f t="shared" si="29"/>
        <v>0</v>
      </c>
      <c r="Z87" s="2499"/>
      <c r="AA87" s="2566"/>
      <c r="AG87" s="2642"/>
      <c r="AK87" s="2566"/>
    </row>
    <row r="88" spans="1:37" ht="53.4" thickBot="1">
      <c r="A88" s="2661" t="s">
        <v>2767</v>
      </c>
      <c r="B88" s="2667" t="str">
        <f>估价对象房地状况!G18</f>
        <v>该园区内是否有污染型企业，绿化情况，卫生条件，整体环境状况判断</v>
      </c>
      <c r="C88" s="2668"/>
      <c r="D88" s="1376">
        <f t="shared" si="25"/>
        <v>0</v>
      </c>
      <c r="E88" s="840"/>
      <c r="F88" s="2665"/>
      <c r="G88" s="1371"/>
      <c r="H88" s="1375" t="str">
        <f t="shared" si="26"/>
        <v>——</v>
      </c>
      <c r="I88" s="836">
        <v>0.06</v>
      </c>
      <c r="J88" s="1372">
        <f t="shared" si="27"/>
        <v>0</v>
      </c>
      <c r="K88" s="1372">
        <f t="shared" si="28"/>
        <v>0</v>
      </c>
      <c r="L88" s="1372">
        <v>0</v>
      </c>
      <c r="M88" s="1372">
        <f t="shared" si="29"/>
        <v>0</v>
      </c>
      <c r="N88" s="1372">
        <f t="shared" si="29"/>
        <v>0</v>
      </c>
      <c r="Z88" s="2499"/>
      <c r="AA88" s="2566"/>
      <c r="AG88" s="2642"/>
      <c r="AK88" s="2566"/>
    </row>
    <row r="90" spans="1:37">
      <c r="A90" s="3098" t="s">
        <v>2768</v>
      </c>
      <c r="B90" s="3098"/>
      <c r="C90" s="3098"/>
      <c r="D90" s="3098"/>
      <c r="E90" s="3098"/>
      <c r="F90" s="3098"/>
      <c r="G90" s="3098"/>
      <c r="H90" s="3098"/>
      <c r="I90" s="3098"/>
      <c r="J90" s="3098"/>
      <c r="K90" s="2669"/>
      <c r="L90" s="2669"/>
      <c r="M90" s="2669"/>
      <c r="N90" s="2669"/>
    </row>
    <row r="91" spans="1:37">
      <c r="A91" s="3100" t="s">
        <v>2769</v>
      </c>
      <c r="B91" s="3100" t="s">
        <v>2770</v>
      </c>
      <c r="C91" s="2617" t="s">
        <v>2771</v>
      </c>
      <c r="D91" s="2618"/>
      <c r="E91" s="2618"/>
      <c r="F91" s="2618"/>
      <c r="G91" s="2618"/>
      <c r="H91" s="2618"/>
      <c r="I91" s="2618"/>
      <c r="J91" s="2670"/>
      <c r="K91" s="2671"/>
      <c r="L91" s="2671"/>
      <c r="M91" s="2671"/>
      <c r="N91" s="2671"/>
    </row>
    <row r="92" spans="1:37">
      <c r="A92" s="3100"/>
      <c r="B92" s="3100"/>
      <c r="C92" s="967" t="s">
        <v>2624</v>
      </c>
      <c r="D92" s="967" t="s">
        <v>2625</v>
      </c>
      <c r="E92" s="967" t="s">
        <v>2626</v>
      </c>
      <c r="F92" s="967" t="s">
        <v>2627</v>
      </c>
      <c r="G92" s="967" t="s">
        <v>2628</v>
      </c>
      <c r="H92" s="967" t="s">
        <v>2629</v>
      </c>
      <c r="I92" s="967" t="s">
        <v>2630</v>
      </c>
      <c r="J92" s="967" t="s">
        <v>2631</v>
      </c>
      <c r="K92" s="967" t="s">
        <v>2632</v>
      </c>
      <c r="L92" s="967" t="s">
        <v>2633</v>
      </c>
      <c r="M92" s="967" t="s">
        <v>2634</v>
      </c>
      <c r="N92" s="967" t="s">
        <v>2635</v>
      </c>
    </row>
    <row r="93" spans="1:37">
      <c r="A93" s="3101" t="s">
        <v>2772</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2"/>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2"/>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2"/>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2"/>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2"/>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2"/>
      <c r="B99" s="2672" t="s">
        <v>2640</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3"/>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1" t="s">
        <v>2773</v>
      </c>
      <c r="B101" s="2676" t="s">
        <v>2774</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2"/>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2"/>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2"/>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2"/>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2"/>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2"/>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2"/>
      <c r="B108" s="3104" t="s">
        <v>2775</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3"/>
      <c r="B109" s="3105"/>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9" t="s">
        <v>2776</v>
      </c>
      <c r="B110" s="3099"/>
      <c r="C110" s="3099"/>
      <c r="D110" s="3099"/>
      <c r="E110" s="3099"/>
      <c r="F110" s="3099"/>
      <c r="G110" s="3099"/>
      <c r="H110" s="3099"/>
      <c r="I110" s="3099"/>
      <c r="J110" s="3099"/>
      <c r="K110" s="2678"/>
      <c r="L110" s="2678"/>
      <c r="M110" s="2678"/>
      <c r="N110" s="2678"/>
    </row>
    <row r="112" spans="1:14" ht="13.8" thickBot="1"/>
    <row r="113" spans="1:13" ht="25.8" thickBot="1">
      <c r="A113" s="927" t="s">
        <v>2777</v>
      </c>
      <c r="B113" s="1373">
        <f>G3</f>
        <v>0</v>
      </c>
      <c r="C113" s="928" t="s">
        <v>2778</v>
      </c>
      <c r="D113" s="929">
        <f>SUMPRODUCT((A115:A118=F113)*(B114:M114=H113)*B115:M118)</f>
        <v>0</v>
      </c>
      <c r="E113" s="2680" t="s">
        <v>2664</v>
      </c>
      <c r="F113" s="2681">
        <f>E2</f>
        <v>0</v>
      </c>
      <c r="G113" s="2680" t="s">
        <v>2598</v>
      </c>
      <c r="H113" s="2681" t="str">
        <f>G2</f>
        <v>三级</v>
      </c>
      <c r="I113" s="2680"/>
      <c r="J113" s="2682"/>
      <c r="K113" s="2682"/>
      <c r="L113" s="2682"/>
      <c r="M113" s="2682"/>
    </row>
    <row r="114" spans="1:13">
      <c r="A114" s="932"/>
      <c r="B114" s="2683" t="s">
        <v>2779</v>
      </c>
      <c r="C114" s="2683" t="s">
        <v>2780</v>
      </c>
      <c r="D114" s="2683" t="s">
        <v>2781</v>
      </c>
      <c r="E114" s="2684" t="s">
        <v>2782</v>
      </c>
      <c r="F114" s="2684" t="s">
        <v>2783</v>
      </c>
      <c r="G114" s="2684" t="s">
        <v>2784</v>
      </c>
      <c r="H114" s="2685" t="s">
        <v>2785</v>
      </c>
      <c r="I114" s="2685" t="s">
        <v>2786</v>
      </c>
      <c r="J114" s="2686" t="s">
        <v>2787</v>
      </c>
      <c r="K114" s="2686" t="s">
        <v>2788</v>
      </c>
      <c r="L114" s="2686" t="s">
        <v>2789</v>
      </c>
      <c r="M114" s="2687" t="s">
        <v>2790</v>
      </c>
    </row>
    <row r="115" spans="1:13">
      <c r="A115" s="933" t="s">
        <v>2665</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2666</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2667</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2668</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22" t="s">
        <v>783</v>
      </c>
      <c r="B1" s="3122"/>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4">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4">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4">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22" t="s">
        <v>105</v>
      </c>
      <c r="B1" s="3122"/>
      <c r="C1" s="3122"/>
      <c r="D1" s="3122"/>
      <c r="E1" s="3122"/>
      <c r="F1" s="312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3" t="s">
        <v>118</v>
      </c>
      <c r="B2" s="3123"/>
      <c r="C2" s="3123"/>
      <c r="D2" s="3123"/>
      <c r="E2" s="3123"/>
      <c r="F2" s="312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2812</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6" t="s">
        <v>132</v>
      </c>
      <c r="B18" s="906" t="s">
        <v>517</v>
      </c>
      <c r="C18" s="907" t="s">
        <v>518</v>
      </c>
      <c r="D18" s="908"/>
      <c r="E18" s="906">
        <v>1</v>
      </c>
      <c r="F18" s="909" t="s">
        <v>519</v>
      </c>
      <c r="G18" s="910"/>
      <c r="H18" s="902"/>
      <c r="I18" s="902"/>
    </row>
    <row r="19" spans="1:9" s="911" customFormat="1" ht="19.5" customHeight="1">
      <c r="A19" s="3126"/>
      <c r="B19" s="3126" t="s">
        <v>520</v>
      </c>
      <c r="C19" s="907" t="s">
        <v>521</v>
      </c>
      <c r="D19" s="908"/>
      <c r="E19" s="906">
        <v>0.9</v>
      </c>
      <c r="F19" s="909" t="s">
        <v>522</v>
      </c>
      <c r="G19" s="910"/>
      <c r="H19" s="902"/>
      <c r="I19" s="902"/>
    </row>
    <row r="20" spans="1:9" s="911" customFormat="1" ht="19.5" customHeight="1">
      <c r="A20" s="3126"/>
      <c r="B20" s="3126"/>
      <c r="C20" s="907" t="s">
        <v>523</v>
      </c>
      <c r="D20" s="908"/>
      <c r="E20" s="906">
        <v>1.1000000000000001</v>
      </c>
      <c r="F20" s="909" t="s">
        <v>524</v>
      </c>
      <c r="G20" s="910"/>
      <c r="H20" s="902"/>
      <c r="I20" s="902"/>
    </row>
    <row r="21" spans="1:9" s="911" customFormat="1" ht="19.5" customHeight="1">
      <c r="A21" s="3126"/>
      <c r="B21" s="3126"/>
      <c r="C21" s="907" t="s">
        <v>525</v>
      </c>
      <c r="D21" s="908"/>
      <c r="E21" s="906">
        <v>0.8</v>
      </c>
      <c r="F21" s="909" t="s">
        <v>526</v>
      </c>
      <c r="G21" s="910"/>
      <c r="H21" s="902"/>
      <c r="I21" s="902"/>
    </row>
    <row r="22" spans="1:9" s="911" customFormat="1" ht="19.5" customHeight="1">
      <c r="A22" s="3126"/>
      <c r="B22" s="3126"/>
      <c r="C22" s="907" t="s">
        <v>527</v>
      </c>
      <c r="D22" s="908"/>
      <c r="E22" s="906">
        <v>0.5</v>
      </c>
      <c r="F22" s="909"/>
      <c r="G22" s="910"/>
      <c r="H22" s="902"/>
      <c r="I22" s="902"/>
    </row>
    <row r="23" spans="1:9" s="911" customFormat="1" ht="19.5" customHeight="1">
      <c r="A23" s="3126" t="s">
        <v>133</v>
      </c>
      <c r="B23" s="906" t="s">
        <v>517</v>
      </c>
      <c r="C23" s="907" t="s">
        <v>528</v>
      </c>
      <c r="D23" s="908"/>
      <c r="E23" s="906">
        <v>1</v>
      </c>
      <c r="F23" s="909" t="s">
        <v>529</v>
      </c>
      <c r="G23" s="910"/>
      <c r="H23" s="902"/>
      <c r="I23" s="902"/>
    </row>
    <row r="24" spans="1:9" s="911" customFormat="1" ht="19.5" customHeight="1">
      <c r="A24" s="3126"/>
      <c r="B24" s="3126" t="s">
        <v>520</v>
      </c>
      <c r="C24" s="907" t="s">
        <v>530</v>
      </c>
      <c r="D24" s="908"/>
      <c r="E24" s="906">
        <v>0.5</v>
      </c>
      <c r="F24" s="909"/>
      <c r="G24" s="910"/>
      <c r="H24" s="902"/>
      <c r="I24" s="902"/>
    </row>
    <row r="25" spans="1:9" s="911" customFormat="1" ht="19.5" customHeight="1">
      <c r="A25" s="3126"/>
      <c r="B25" s="3126"/>
      <c r="C25" s="907" t="s">
        <v>531</v>
      </c>
      <c r="D25" s="908"/>
      <c r="E25" s="906">
        <v>1.1000000000000001</v>
      </c>
      <c r="F25" s="909"/>
      <c r="G25" s="910"/>
      <c r="H25" s="902"/>
      <c r="I25" s="902"/>
    </row>
    <row r="26" spans="1:9" s="911" customFormat="1" ht="19.5" customHeight="1">
      <c r="A26" s="3126"/>
      <c r="B26" s="3126"/>
      <c r="C26" s="907" t="s">
        <v>532</v>
      </c>
      <c r="D26" s="908"/>
      <c r="E26" s="906">
        <v>1.1000000000000001</v>
      </c>
      <c r="F26" s="909"/>
      <c r="G26" s="910"/>
      <c r="H26" s="902"/>
      <c r="I26" s="902"/>
    </row>
    <row r="27" spans="1:9" s="911" customFormat="1" ht="19.5" customHeight="1">
      <c r="A27" s="3126"/>
      <c r="B27" s="3126"/>
      <c r="C27" s="907" t="s">
        <v>533</v>
      </c>
      <c r="D27" s="908"/>
      <c r="E27" s="906">
        <v>0.9</v>
      </c>
      <c r="F27" s="909" t="s">
        <v>534</v>
      </c>
      <c r="G27" s="910"/>
      <c r="H27" s="902"/>
      <c r="I27" s="902"/>
    </row>
    <row r="28" spans="1:9" s="911" customFormat="1" ht="19.5" customHeight="1">
      <c r="A28" s="3126"/>
      <c r="B28" s="3126"/>
      <c r="C28" s="907" t="s">
        <v>535</v>
      </c>
      <c r="D28" s="908"/>
      <c r="E28" s="906">
        <v>0.9</v>
      </c>
      <c r="F28" s="909" t="s">
        <v>536</v>
      </c>
      <c r="G28" s="910"/>
      <c r="H28" s="902"/>
      <c r="I28" s="902"/>
    </row>
    <row r="29" spans="1:9" s="911" customFormat="1" ht="19.5" customHeight="1">
      <c r="A29" s="3126"/>
      <c r="B29" s="3126"/>
      <c r="C29" s="907" t="s">
        <v>537</v>
      </c>
      <c r="D29" s="908"/>
      <c r="E29" s="906">
        <v>0.9</v>
      </c>
      <c r="F29" s="909" t="s">
        <v>538</v>
      </c>
      <c r="G29" s="910"/>
      <c r="H29" s="902"/>
      <c r="I29" s="902"/>
    </row>
    <row r="30" spans="1:9" s="911" customFormat="1" ht="19.5" customHeight="1">
      <c r="A30" s="3126"/>
      <c r="B30" s="3126"/>
      <c r="C30" s="907" t="s">
        <v>539</v>
      </c>
      <c r="D30" s="908"/>
      <c r="E30" s="906">
        <v>0.9</v>
      </c>
      <c r="F30" s="909" t="s">
        <v>540</v>
      </c>
      <c r="G30" s="910"/>
      <c r="H30" s="902"/>
      <c r="I30" s="902"/>
    </row>
    <row r="31" spans="1:9" s="911" customFormat="1" ht="19.5" customHeight="1">
      <c r="A31" s="3126"/>
      <c r="B31" s="3126"/>
      <c r="C31" s="907" t="s">
        <v>541</v>
      </c>
      <c r="D31" s="908"/>
      <c r="E31" s="906">
        <v>0.8</v>
      </c>
      <c r="F31" s="909" t="s">
        <v>542</v>
      </c>
      <c r="G31" s="910"/>
      <c r="H31" s="902"/>
      <c r="I31" s="902"/>
    </row>
    <row r="32" spans="1:9" s="911" customFormat="1" ht="19.5" customHeight="1">
      <c r="A32" s="3126"/>
      <c r="B32" s="3126"/>
      <c r="C32" s="907" t="s">
        <v>543</v>
      </c>
      <c r="D32" s="908"/>
      <c r="E32" s="906">
        <v>0.8</v>
      </c>
      <c r="F32" s="909" t="s">
        <v>544</v>
      </c>
      <c r="G32" s="910"/>
      <c r="H32" s="902"/>
      <c r="I32" s="902"/>
    </row>
    <row r="33" spans="1:9" s="911" customFormat="1" ht="19.5" customHeight="1">
      <c r="A33" s="3126" t="s">
        <v>134</v>
      </c>
      <c r="B33" s="906" t="s">
        <v>517</v>
      </c>
      <c r="C33" s="907" t="s">
        <v>545</v>
      </c>
      <c r="D33" s="908"/>
      <c r="E33" s="906">
        <v>1</v>
      </c>
      <c r="F33" s="909" t="s">
        <v>546</v>
      </c>
      <c r="G33" s="910"/>
      <c r="H33" s="902"/>
      <c r="I33" s="902"/>
    </row>
    <row r="34" spans="1:9" s="911" customFormat="1" ht="19.5" customHeight="1">
      <c r="A34" s="3126"/>
      <c r="B34" s="906" t="s">
        <v>520</v>
      </c>
      <c r="C34" s="907" t="s">
        <v>547</v>
      </c>
      <c r="D34" s="908"/>
      <c r="E34" s="906">
        <v>1.5</v>
      </c>
      <c r="F34" s="909" t="s">
        <v>548</v>
      </c>
      <c r="G34" s="910"/>
      <c r="H34" s="902"/>
      <c r="I34" s="902"/>
    </row>
    <row r="35" spans="1:9" s="911" customFormat="1" ht="19.5" customHeight="1">
      <c r="A35" s="3126" t="s">
        <v>135</v>
      </c>
      <c r="B35" s="906" t="s">
        <v>517</v>
      </c>
      <c r="C35" s="907" t="s">
        <v>549</v>
      </c>
      <c r="D35" s="908"/>
      <c r="E35" s="906">
        <v>1</v>
      </c>
      <c r="F35" s="909" t="s">
        <v>550</v>
      </c>
      <c r="G35" s="910"/>
      <c r="H35" s="902"/>
      <c r="I35" s="902"/>
    </row>
    <row r="36" spans="1:9" s="911" customFormat="1" ht="19.5" customHeight="1">
      <c r="A36" s="3126"/>
      <c r="B36" s="3126" t="s">
        <v>520</v>
      </c>
      <c r="C36" s="907" t="s">
        <v>551</v>
      </c>
      <c r="D36" s="908"/>
      <c r="E36" s="906">
        <v>1</v>
      </c>
      <c r="F36" s="909" t="s">
        <v>552</v>
      </c>
      <c r="G36" s="910"/>
      <c r="H36" s="902"/>
      <c r="I36" s="902"/>
    </row>
    <row r="37" spans="1:9" s="911" customFormat="1" ht="19.5" customHeight="1">
      <c r="A37" s="3126"/>
      <c r="B37" s="3126"/>
      <c r="C37" s="907" t="s">
        <v>553</v>
      </c>
      <c r="D37" s="908"/>
      <c r="E37" s="906">
        <v>1.5</v>
      </c>
      <c r="F37" s="909" t="s">
        <v>554</v>
      </c>
      <c r="G37" s="910"/>
      <c r="H37" s="902"/>
      <c r="I37" s="902"/>
    </row>
    <row r="38" spans="1:9" s="911" customFormat="1" ht="19.5" customHeight="1">
      <c r="A38" s="3126"/>
      <c r="B38" s="3126"/>
      <c r="C38" s="907" t="s">
        <v>555</v>
      </c>
      <c r="D38" s="908"/>
      <c r="E38" s="906">
        <v>1</v>
      </c>
      <c r="F38" s="909" t="s">
        <v>556</v>
      </c>
      <c r="G38" s="910"/>
      <c r="H38" s="902"/>
      <c r="I38" s="902"/>
    </row>
    <row r="39" spans="1:9" s="911" customFormat="1" ht="19.5" customHeight="1">
      <c r="A39" s="3126"/>
      <c r="B39" s="312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26" t="s">
        <v>571</v>
      </c>
      <c r="C61" s="820" t="s">
        <v>572</v>
      </c>
      <c r="D61" s="820" t="s">
        <v>573</v>
      </c>
      <c r="E61" s="919">
        <v>0.5</v>
      </c>
      <c r="F61" s="906">
        <v>80</v>
      </c>
    </row>
    <row r="62" spans="1:8" s="902" customFormat="1" ht="36">
      <c r="A62" s="906">
        <v>2</v>
      </c>
      <c r="B62" s="3126"/>
      <c r="C62" s="820" t="s">
        <v>574</v>
      </c>
      <c r="D62" s="820" t="s">
        <v>575</v>
      </c>
      <c r="E62" s="919">
        <v>0.5</v>
      </c>
      <c r="F62" s="906">
        <v>80</v>
      </c>
    </row>
    <row r="63" spans="1:8" s="902" customFormat="1" ht="48">
      <c r="A63" s="906">
        <v>3</v>
      </c>
      <c r="B63" s="3126"/>
      <c r="C63" s="820" t="s">
        <v>576</v>
      </c>
      <c r="D63" s="820" t="s">
        <v>577</v>
      </c>
      <c r="E63" s="919">
        <v>0.5</v>
      </c>
      <c r="F63" s="906">
        <v>80</v>
      </c>
    </row>
    <row r="64" spans="1:8" s="902" customFormat="1" ht="48">
      <c r="A64" s="906">
        <v>4</v>
      </c>
      <c r="B64" s="3126"/>
      <c r="C64" s="820" t="s">
        <v>578</v>
      </c>
      <c r="D64" s="820" t="s">
        <v>579</v>
      </c>
      <c r="E64" s="919">
        <v>0.4</v>
      </c>
      <c r="F64" s="906">
        <v>60</v>
      </c>
    </row>
    <row r="65" spans="1:6" s="902" customFormat="1" ht="48">
      <c r="A65" s="906">
        <v>5</v>
      </c>
      <c r="B65" s="3126"/>
      <c r="C65" s="820" t="s">
        <v>580</v>
      </c>
      <c r="D65" s="820" t="s">
        <v>581</v>
      </c>
      <c r="E65" s="919">
        <v>0.2</v>
      </c>
      <c r="F65" s="906">
        <v>30</v>
      </c>
    </row>
    <row r="66" spans="1:6" s="902" customFormat="1" ht="48">
      <c r="A66" s="906">
        <v>6</v>
      </c>
      <c r="B66" s="3126"/>
      <c r="C66" s="820" t="s">
        <v>582</v>
      </c>
      <c r="D66" s="820" t="s">
        <v>583</v>
      </c>
      <c r="E66" s="919">
        <v>0.3</v>
      </c>
      <c r="F66" s="906">
        <v>50</v>
      </c>
    </row>
    <row r="67" spans="1:6" s="902" customFormat="1" ht="48">
      <c r="A67" s="906">
        <v>7</v>
      </c>
      <c r="B67" s="3126"/>
      <c r="C67" s="820" t="s">
        <v>584</v>
      </c>
      <c r="D67" s="820" t="s">
        <v>585</v>
      </c>
      <c r="E67" s="919">
        <v>0.2</v>
      </c>
      <c r="F67" s="906">
        <v>30</v>
      </c>
    </row>
    <row r="68" spans="1:6" s="902" customFormat="1" ht="48">
      <c r="A68" s="906">
        <v>8</v>
      </c>
      <c r="B68" s="3126"/>
      <c r="C68" s="820" t="s">
        <v>586</v>
      </c>
      <c r="D68" s="820" t="s">
        <v>587</v>
      </c>
      <c r="E68" s="919">
        <v>0.2</v>
      </c>
      <c r="F68" s="906">
        <v>30</v>
      </c>
    </row>
    <row r="69" spans="1:6" s="902" customFormat="1" ht="48">
      <c r="A69" s="906">
        <v>9</v>
      </c>
      <c r="B69" s="3126"/>
      <c r="C69" s="820" t="s">
        <v>588</v>
      </c>
      <c r="D69" s="820" t="s">
        <v>589</v>
      </c>
      <c r="E69" s="919">
        <v>0.2</v>
      </c>
      <c r="F69" s="906">
        <v>30</v>
      </c>
    </row>
    <row r="70" spans="1:6" s="902" customFormat="1" ht="60">
      <c r="A70" s="906">
        <v>10</v>
      </c>
      <c r="B70" s="3126"/>
      <c r="C70" s="820" t="s">
        <v>590</v>
      </c>
      <c r="D70" s="820" t="s">
        <v>591</v>
      </c>
      <c r="E70" s="919">
        <v>0.2</v>
      </c>
      <c r="F70" s="906">
        <v>30</v>
      </c>
    </row>
    <row r="71" spans="1:6" s="902" customFormat="1" ht="60">
      <c r="A71" s="906">
        <v>11</v>
      </c>
      <c r="B71" s="3126"/>
      <c r="C71" s="820" t="s">
        <v>592</v>
      </c>
      <c r="D71" s="820" t="s">
        <v>593</v>
      </c>
      <c r="E71" s="919">
        <v>0.2</v>
      </c>
      <c r="F71" s="906">
        <v>30</v>
      </c>
    </row>
    <row r="72" spans="1:6" s="902" customFormat="1" ht="36">
      <c r="A72" s="906">
        <v>12</v>
      </c>
      <c r="B72" s="3126"/>
      <c r="C72" s="820" t="s">
        <v>594</v>
      </c>
      <c r="D72" s="820" t="s">
        <v>595</v>
      </c>
      <c r="E72" s="919">
        <v>0.5</v>
      </c>
      <c r="F72" s="906">
        <v>80</v>
      </c>
    </row>
    <row r="73" spans="1:6" s="902" customFormat="1" ht="36">
      <c r="A73" s="906">
        <v>13</v>
      </c>
      <c r="B73" s="3126"/>
      <c r="C73" s="820" t="s">
        <v>596</v>
      </c>
      <c r="D73" s="820" t="s">
        <v>597</v>
      </c>
      <c r="E73" s="919">
        <v>0.4</v>
      </c>
      <c r="F73" s="906">
        <v>60</v>
      </c>
    </row>
    <row r="74" spans="1:6" s="902" customFormat="1" ht="36">
      <c r="A74" s="906">
        <v>14</v>
      </c>
      <c r="B74" s="3126"/>
      <c r="C74" s="820" t="s">
        <v>598</v>
      </c>
      <c r="D74" s="820" t="s">
        <v>599</v>
      </c>
      <c r="E74" s="919">
        <v>0.2</v>
      </c>
      <c r="F74" s="906">
        <v>30</v>
      </c>
    </row>
    <row r="75" spans="1:6" s="902" customFormat="1" ht="36">
      <c r="A75" s="906">
        <v>15</v>
      </c>
      <c r="B75" s="3126"/>
      <c r="C75" s="820" t="s">
        <v>600</v>
      </c>
      <c r="D75" s="820" t="s">
        <v>601</v>
      </c>
      <c r="E75" s="919">
        <v>0.2</v>
      </c>
      <c r="F75" s="906">
        <v>30</v>
      </c>
    </row>
    <row r="76" spans="1:6" s="902" customFormat="1" ht="36">
      <c r="A76" s="906">
        <v>16</v>
      </c>
      <c r="B76" s="3126" t="s">
        <v>602</v>
      </c>
      <c r="C76" s="820" t="s">
        <v>603</v>
      </c>
      <c r="D76" s="820" t="s">
        <v>604</v>
      </c>
      <c r="E76" s="919">
        <v>0.5</v>
      </c>
      <c r="F76" s="906">
        <v>80</v>
      </c>
    </row>
    <row r="77" spans="1:6" s="902" customFormat="1" ht="36">
      <c r="A77" s="906">
        <v>17</v>
      </c>
      <c r="B77" s="3126"/>
      <c r="C77" s="820" t="s">
        <v>605</v>
      </c>
      <c r="D77" s="820" t="s">
        <v>606</v>
      </c>
      <c r="E77" s="919">
        <v>0.5</v>
      </c>
      <c r="F77" s="906">
        <v>80</v>
      </c>
    </row>
    <row r="78" spans="1:6" s="902" customFormat="1" ht="36">
      <c r="A78" s="906">
        <v>18</v>
      </c>
      <c r="B78" s="3126"/>
      <c r="C78" s="820" t="s">
        <v>607</v>
      </c>
      <c r="D78" s="820" t="s">
        <v>608</v>
      </c>
      <c r="E78" s="919">
        <v>0.2</v>
      </c>
      <c r="F78" s="906">
        <v>30</v>
      </c>
    </row>
    <row r="79" spans="1:6" s="902" customFormat="1" ht="36">
      <c r="A79" s="906">
        <v>19</v>
      </c>
      <c r="B79" s="3126"/>
      <c r="C79" s="820" t="s">
        <v>609</v>
      </c>
      <c r="D79" s="820" t="s">
        <v>610</v>
      </c>
      <c r="E79" s="919">
        <v>0.5</v>
      </c>
      <c r="F79" s="906">
        <v>80</v>
      </c>
    </row>
    <row r="80" spans="1:6" s="902" customFormat="1" ht="36">
      <c r="A80" s="906">
        <v>20</v>
      </c>
      <c r="B80" s="3126"/>
      <c r="C80" s="820" t="s">
        <v>611</v>
      </c>
      <c r="D80" s="820" t="s">
        <v>612</v>
      </c>
      <c r="E80" s="919">
        <v>0.2</v>
      </c>
      <c r="F80" s="906">
        <v>30</v>
      </c>
    </row>
    <row r="81" spans="1:6" s="902" customFormat="1" ht="36">
      <c r="A81" s="906">
        <v>21</v>
      </c>
      <c r="B81" s="3126"/>
      <c r="C81" s="820" t="s">
        <v>613</v>
      </c>
      <c r="D81" s="820" t="s">
        <v>614</v>
      </c>
      <c r="E81" s="919">
        <v>0.2</v>
      </c>
      <c r="F81" s="906">
        <v>30</v>
      </c>
    </row>
    <row r="82" spans="1:6" s="902" customFormat="1" ht="60">
      <c r="A82" s="906">
        <v>22</v>
      </c>
      <c r="B82" s="3126"/>
      <c r="C82" s="820" t="s">
        <v>615</v>
      </c>
      <c r="D82" s="820" t="s">
        <v>616</v>
      </c>
      <c r="E82" s="919">
        <v>0.2</v>
      </c>
      <c r="F82" s="906">
        <v>30</v>
      </c>
    </row>
    <row r="83" spans="1:6" s="902" customFormat="1" ht="60">
      <c r="A83" s="906">
        <v>23</v>
      </c>
      <c r="B83" s="3126"/>
      <c r="C83" s="820" t="s">
        <v>617</v>
      </c>
      <c r="D83" s="820" t="s">
        <v>618</v>
      </c>
      <c r="E83" s="919">
        <v>0.2</v>
      </c>
      <c r="F83" s="906">
        <v>30</v>
      </c>
    </row>
    <row r="84" spans="1:6" s="902" customFormat="1" ht="48">
      <c r="A84" s="906">
        <v>24</v>
      </c>
      <c r="B84" s="3126"/>
      <c r="C84" s="820" t="s">
        <v>619</v>
      </c>
      <c r="D84" s="820" t="s">
        <v>620</v>
      </c>
      <c r="E84" s="919">
        <v>0.2</v>
      </c>
      <c r="F84" s="906">
        <v>30</v>
      </c>
    </row>
    <row r="85" spans="1:6" s="902" customFormat="1" ht="36">
      <c r="A85" s="906">
        <v>25</v>
      </c>
      <c r="B85" s="3126"/>
      <c r="C85" s="820" t="s">
        <v>621</v>
      </c>
      <c r="D85" s="820" t="s">
        <v>622</v>
      </c>
      <c r="E85" s="919">
        <v>0.5</v>
      </c>
      <c r="F85" s="906">
        <v>80</v>
      </c>
    </row>
    <row r="86" spans="1:6" s="902" customFormat="1" ht="36">
      <c r="A86" s="906">
        <v>26</v>
      </c>
      <c r="B86" s="3126"/>
      <c r="C86" s="820" t="s">
        <v>623</v>
      </c>
      <c r="D86" s="820" t="s">
        <v>624</v>
      </c>
      <c r="E86" s="919">
        <v>0.2</v>
      </c>
      <c r="F86" s="906">
        <v>30</v>
      </c>
    </row>
    <row r="87" spans="1:6" s="902" customFormat="1" ht="36">
      <c r="A87" s="906">
        <v>27</v>
      </c>
      <c r="B87" s="3126"/>
      <c r="C87" s="820" t="s">
        <v>625</v>
      </c>
      <c r="D87" s="820" t="s">
        <v>626</v>
      </c>
      <c r="E87" s="919">
        <v>0.2</v>
      </c>
      <c r="F87" s="906">
        <v>30</v>
      </c>
    </row>
    <row r="88" spans="1:6" s="902" customFormat="1" ht="36">
      <c r="A88" s="906">
        <v>28</v>
      </c>
      <c r="B88" s="3126"/>
      <c r="C88" s="820" t="s">
        <v>627</v>
      </c>
      <c r="D88" s="820" t="s">
        <v>628</v>
      </c>
      <c r="E88" s="919">
        <v>0.2</v>
      </c>
      <c r="F88" s="906">
        <v>30</v>
      </c>
    </row>
    <row r="89" spans="1:6" s="902" customFormat="1" ht="36">
      <c r="A89" s="906">
        <v>29</v>
      </c>
      <c r="B89" s="3126"/>
      <c r="C89" s="820" t="s">
        <v>629</v>
      </c>
      <c r="D89" s="820" t="s">
        <v>630</v>
      </c>
      <c r="E89" s="919">
        <v>0.2</v>
      </c>
      <c r="F89" s="906">
        <v>30</v>
      </c>
    </row>
    <row r="90" spans="1:6" s="902" customFormat="1" ht="36">
      <c r="A90" s="906">
        <v>30</v>
      </c>
      <c r="B90" s="3126"/>
      <c r="C90" s="820" t="s">
        <v>631</v>
      </c>
      <c r="D90" s="820" t="s">
        <v>632</v>
      </c>
      <c r="E90" s="919">
        <v>0.2</v>
      </c>
      <c r="F90" s="906">
        <v>30</v>
      </c>
    </row>
    <row r="91" spans="1:6" s="902" customFormat="1" ht="48">
      <c r="A91" s="906">
        <v>31</v>
      </c>
      <c r="B91" s="3126"/>
      <c r="C91" s="820" t="s">
        <v>633</v>
      </c>
      <c r="D91" s="820" t="s">
        <v>634</v>
      </c>
      <c r="E91" s="919">
        <v>0.2</v>
      </c>
      <c r="F91" s="906">
        <v>30</v>
      </c>
    </row>
    <row r="92" spans="1:6" s="902" customFormat="1" ht="36">
      <c r="A92" s="906">
        <v>32</v>
      </c>
      <c r="B92" s="3126" t="s">
        <v>635</v>
      </c>
      <c r="C92" s="906" t="s">
        <v>636</v>
      </c>
      <c r="D92" s="820" t="s">
        <v>637</v>
      </c>
      <c r="E92" s="919">
        <v>0.2</v>
      </c>
      <c r="F92" s="906">
        <v>30</v>
      </c>
    </row>
    <row r="93" spans="1:6" s="902" customFormat="1" ht="36">
      <c r="A93" s="906">
        <v>33</v>
      </c>
      <c r="B93" s="3126"/>
      <c r="C93" s="906" t="s">
        <v>638</v>
      </c>
      <c r="D93" s="820" t="s">
        <v>639</v>
      </c>
      <c r="E93" s="919">
        <v>0.2</v>
      </c>
      <c r="F93" s="906">
        <v>30</v>
      </c>
    </row>
    <row r="94" spans="1:6" s="902" customFormat="1" ht="60">
      <c r="A94" s="906">
        <v>34</v>
      </c>
      <c r="B94" s="3126"/>
      <c r="C94" s="906" t="s">
        <v>640</v>
      </c>
      <c r="D94" s="820" t="s">
        <v>641</v>
      </c>
      <c r="E94" s="919">
        <v>0.2</v>
      </c>
      <c r="F94" s="906">
        <v>30</v>
      </c>
    </row>
    <row r="95" spans="1:6" s="902" customFormat="1" ht="48">
      <c r="A95" s="906">
        <v>35</v>
      </c>
      <c r="B95" s="3126"/>
      <c r="C95" s="906" t="s">
        <v>642</v>
      </c>
      <c r="D95" s="820" t="s">
        <v>643</v>
      </c>
      <c r="E95" s="919">
        <v>0.2</v>
      </c>
      <c r="F95" s="906">
        <v>30</v>
      </c>
    </row>
    <row r="96" spans="1:6" s="902" customFormat="1" ht="72">
      <c r="A96" s="906">
        <v>36</v>
      </c>
      <c r="B96" s="3126"/>
      <c r="C96" s="820" t="s">
        <v>644</v>
      </c>
      <c r="D96" s="820" t="s">
        <v>645</v>
      </c>
      <c r="E96" s="919">
        <v>0.2</v>
      </c>
      <c r="F96" s="906">
        <v>30</v>
      </c>
    </row>
    <row r="97" spans="1:6" s="902" customFormat="1" ht="36">
      <c r="A97" s="906">
        <v>37</v>
      </c>
      <c r="B97" s="3126"/>
      <c r="C97" s="906" t="s">
        <v>646</v>
      </c>
      <c r="D97" s="820" t="s">
        <v>647</v>
      </c>
      <c r="E97" s="919">
        <v>0.2</v>
      </c>
      <c r="F97" s="906">
        <v>30</v>
      </c>
    </row>
    <row r="98" spans="1:6" s="902" customFormat="1" ht="36">
      <c r="A98" s="906">
        <v>38</v>
      </c>
      <c r="B98" s="3126"/>
      <c r="C98" s="906" t="s">
        <v>648</v>
      </c>
      <c r="D98" s="820" t="s">
        <v>649</v>
      </c>
      <c r="E98" s="919">
        <v>0.2</v>
      </c>
      <c r="F98" s="906">
        <v>30</v>
      </c>
    </row>
    <row r="99" spans="1:6" s="902" customFormat="1" ht="36">
      <c r="A99" s="906">
        <v>39</v>
      </c>
      <c r="B99" s="3126" t="s">
        <v>650</v>
      </c>
      <c r="C99" s="906" t="s">
        <v>651</v>
      </c>
      <c r="D99" s="820" t="s">
        <v>652</v>
      </c>
      <c r="E99" s="919">
        <v>0.3</v>
      </c>
      <c r="F99" s="906">
        <v>50</v>
      </c>
    </row>
    <row r="100" spans="1:6" s="902" customFormat="1" ht="36">
      <c r="A100" s="906">
        <v>40</v>
      </c>
      <c r="B100" s="3126"/>
      <c r="C100" s="906" t="s">
        <v>653</v>
      </c>
      <c r="D100" s="820" t="s">
        <v>654</v>
      </c>
      <c r="E100" s="919">
        <v>0.2</v>
      </c>
      <c r="F100" s="906">
        <v>30</v>
      </c>
    </row>
    <row r="101" spans="1:6" s="902" customFormat="1" ht="36">
      <c r="A101" s="906">
        <v>41</v>
      </c>
      <c r="B101" s="3126"/>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26" t="s">
        <v>665</v>
      </c>
      <c r="C105" s="906" t="s">
        <v>666</v>
      </c>
      <c r="D105" s="820" t="s">
        <v>667</v>
      </c>
      <c r="E105" s="919">
        <v>0.2</v>
      </c>
      <c r="F105" s="906">
        <v>30</v>
      </c>
    </row>
    <row r="106" spans="1:6" s="902" customFormat="1" ht="48">
      <c r="A106" s="906">
        <v>46</v>
      </c>
      <c r="B106" s="3126"/>
      <c r="C106" s="906" t="s">
        <v>668</v>
      </c>
      <c r="D106" s="820" t="s">
        <v>669</v>
      </c>
      <c r="E106" s="919">
        <v>0.2</v>
      </c>
      <c r="F106" s="906">
        <v>30</v>
      </c>
    </row>
    <row r="107" spans="1:6" s="902" customFormat="1" ht="36">
      <c r="A107" s="906">
        <v>47</v>
      </c>
      <c r="B107" s="3126" t="s">
        <v>670</v>
      </c>
      <c r="C107" s="906" t="s">
        <v>671</v>
      </c>
      <c r="D107" s="820" t="s">
        <v>672</v>
      </c>
      <c r="E107" s="919">
        <v>0.3</v>
      </c>
      <c r="F107" s="906">
        <v>50</v>
      </c>
    </row>
    <row r="108" spans="1:6" s="902" customFormat="1" ht="48">
      <c r="A108" s="906">
        <v>48</v>
      </c>
      <c r="B108" s="312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26" t="s">
        <v>681</v>
      </c>
      <c r="C111" s="906" t="s">
        <v>682</v>
      </c>
      <c r="D111" s="820" t="s">
        <v>683</v>
      </c>
      <c r="E111" s="919">
        <v>0.2</v>
      </c>
      <c r="F111" s="906">
        <v>30</v>
      </c>
    </row>
    <row r="112" spans="1:6" s="902" customFormat="1" ht="36">
      <c r="A112" s="906">
        <v>52</v>
      </c>
      <c r="B112" s="3126"/>
      <c r="C112" s="906" t="s">
        <v>684</v>
      </c>
      <c r="D112" s="820" t="s">
        <v>685</v>
      </c>
      <c r="E112" s="919">
        <v>0.2</v>
      </c>
      <c r="F112" s="906">
        <v>30</v>
      </c>
    </row>
    <row r="113" spans="1:6" s="902" customFormat="1" ht="36">
      <c r="A113" s="906">
        <v>53</v>
      </c>
      <c r="B113" s="3126"/>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26" t="s">
        <v>694</v>
      </c>
      <c r="C116" s="906" t="s">
        <v>695</v>
      </c>
      <c r="D116" s="820" t="s">
        <v>696</v>
      </c>
      <c r="E116" s="919">
        <v>0.2</v>
      </c>
      <c r="F116" s="906">
        <v>30</v>
      </c>
    </row>
    <row r="117" spans="1:6" ht="36">
      <c r="A117" s="906">
        <v>57</v>
      </c>
      <c r="B117" s="3126"/>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2" customWidth="1"/>
    <col min="2" max="2" width="37.88671875" style="1902" customWidth="1"/>
    <col min="3" max="3" width="16.109375" style="1902" customWidth="1"/>
    <col min="4" max="4" width="22.21875" style="1902" customWidth="1"/>
    <col min="5" max="5" width="4.109375" style="1902" customWidth="1"/>
    <col min="6" max="7" width="13" style="1902" customWidth="1"/>
    <col min="8" max="16384" width="9" style="1902"/>
  </cols>
  <sheetData>
    <row r="1" spans="1:5" ht="17.399999999999999">
      <c r="A1" s="1922" t="s">
        <v>778</v>
      </c>
      <c r="B1" s="1920"/>
      <c r="C1" s="1920"/>
      <c r="D1" s="1920"/>
      <c r="E1" s="1920"/>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23"/>
      <c r="B3" s="1923"/>
      <c r="C3" s="1923"/>
      <c r="D3" s="1923"/>
      <c r="E3" s="1923"/>
    </row>
    <row r="4" spans="1:5" ht="18" thickBot="1">
      <c r="A4" s="2779" t="str">
        <f>IF(项目基本情况!D5="房地产市场价值","估价结果一览表（市场价值不需本页表格)","估价结果一览表")</f>
        <v>估价结果一览表</v>
      </c>
      <c r="B4" s="2779"/>
      <c r="C4" s="2779"/>
      <c r="D4" s="2779"/>
      <c r="E4" s="2779"/>
    </row>
    <row r="5" spans="1:5" ht="14.25" customHeight="1" thickTop="1">
      <c r="A5" s="1920"/>
      <c r="B5" s="1924" t="s">
        <v>742</v>
      </c>
      <c r="C5" s="2780" t="s">
        <v>779</v>
      </c>
      <c r="D5" s="2781"/>
      <c r="E5" s="1920"/>
    </row>
    <row r="6" spans="1:5" ht="46.8">
      <c r="A6" s="1920"/>
      <c r="B6" s="1925" t="str">
        <f>项目基本情况!I1</f>
        <v>北京市海淀区花园东路15号9层2901至2903、2905至2907共6套办公用房房地产</v>
      </c>
      <c r="C6" s="2782">
        <f>项目基本情况!C12</f>
        <v>1134.33</v>
      </c>
      <c r="D6" s="2782"/>
      <c r="E6" s="1920"/>
    </row>
    <row r="7" spans="1:5" ht="15.6">
      <c r="A7" s="1920"/>
      <c r="B7" s="2776" t="s">
        <v>780</v>
      </c>
      <c r="C7" s="1926" t="str">
        <f>IF('数据-取费表'!B3="万元","总价（万元）","总价（元）")</f>
        <v>总价（元）</v>
      </c>
      <c r="D7" s="1927">
        <f ca="1">IF('数据-取费表'!E3="否",'结果表（2901）'!I102,'结果表 (1修多)'!I103)</f>
        <v>39246684</v>
      </c>
      <c r="E7" s="1920"/>
    </row>
    <row r="8" spans="1:5" ht="31.2">
      <c r="A8" s="1920"/>
      <c r="B8" s="2776"/>
      <c r="C8" s="1928" t="s">
        <v>1169</v>
      </c>
      <c r="D8" s="1929" t="str">
        <f ca="1">IF('数据-取费表'!B3="万元",NUMBERSTRING(INT(D7*10000),2)&amp;"元整",NUMBERSTRING(INT(D7),2)&amp;"元整")</f>
        <v>叁仟玖佰贰拾肆万陆仟陆佰捌拾肆元整</v>
      </c>
      <c r="E8" s="1920"/>
    </row>
    <row r="9" spans="1:5" ht="15.6">
      <c r="A9" s="1920"/>
      <c r="B9" s="2776"/>
      <c r="C9" s="1930" t="s">
        <v>1267</v>
      </c>
      <c r="D9" s="1927">
        <f ca="1">IF('数据-取费表'!E3="否",'结果表（2901）'!I103,'结果表 (1修多)'!I104)</f>
        <v>34599</v>
      </c>
      <c r="E9" s="1920"/>
    </row>
    <row r="10" spans="1:5" ht="15.6">
      <c r="A10" s="1920"/>
      <c r="B10" s="2783" t="str">
        <f>IF('数据-取费表'!E3="否",'结果表（2901）'!F105,'结果表 (1修多)'!F106)</f>
        <v>2.估价师所知悉的法定优先受偿款</v>
      </c>
      <c r="C10" s="1931" t="str">
        <f>IF('数据-取费表'!B3="万元","总额（万元）","总额（元）")</f>
        <v>总额（元）</v>
      </c>
      <c r="D10" s="1927">
        <f>IF('数据-取费表'!E3="否",'结果表（2901）'!I105,'结果表 (1修多)'!I106)</f>
        <v>0</v>
      </c>
      <c r="E10" s="1920"/>
    </row>
    <row r="11" spans="1:5" ht="15.6">
      <c r="A11" s="1920"/>
      <c r="B11" s="2783"/>
      <c r="C11" s="1928" t="s">
        <v>1169</v>
      </c>
      <c r="D11" s="1929" t="str">
        <f>IF('数据-取费表'!B3="万元",NUMBERSTRING(INT(D10*10000),2)&amp;"元整",NUMBERSTRING(INT(D10),2)&amp;"元整")</f>
        <v>零元整</v>
      </c>
      <c r="E11" s="1920"/>
    </row>
    <row r="12" spans="1:5" ht="15.6">
      <c r="A12" s="1920"/>
      <c r="B12" s="1932" t="s">
        <v>743</v>
      </c>
      <c r="C12" s="1933" t="str">
        <f>C10</f>
        <v>总额（元）</v>
      </c>
      <c r="D12" s="1934">
        <f>IF('数据-取费表'!E3="否",'结果表（2901）'!I106,'结果表 (1修多)'!I107)</f>
        <v>0</v>
      </c>
      <c r="E12" s="1920"/>
    </row>
    <row r="13" spans="1:5" ht="15.6">
      <c r="A13" s="1920"/>
      <c r="B13" s="1932" t="s">
        <v>744</v>
      </c>
      <c r="C13" s="1933" t="str">
        <f>C10</f>
        <v>总额（元）</v>
      </c>
      <c r="D13" s="1934">
        <f>IF('数据-取费表'!E3="否",'结果表（2901）'!I107,'结果表 (1修多)'!I108)</f>
        <v>0</v>
      </c>
      <c r="E13" s="1920"/>
    </row>
    <row r="14" spans="1:5" ht="15.6">
      <c r="A14" s="1920"/>
      <c r="B14" s="1932" t="s">
        <v>745</v>
      </c>
      <c r="C14" s="1933" t="str">
        <f>C10</f>
        <v>总额（元）</v>
      </c>
      <c r="D14" s="1934">
        <f>IF('数据-取费表'!E3="否",'结果表（2901）'!I108,'结果表 (1修多)'!I109)</f>
        <v>0</v>
      </c>
      <c r="E14" s="1920"/>
    </row>
    <row r="15" spans="1:5" ht="15.6">
      <c r="A15" s="1920"/>
      <c r="B15" s="2783" t="str">
        <f>IF('数据-取费表'!E3="否",'结果表（2901）'!F110,'结果表 (1修多)'!F111)</f>
        <v>3.房地产抵押价值</v>
      </c>
      <c r="C15" s="1921" t="str">
        <f>C7</f>
        <v>总价（元）</v>
      </c>
      <c r="D15" s="1927">
        <f ca="1">IF('数据-取费表'!E3="否",'结果表（2901）'!I110,'结果表 (1修多)'!I111)</f>
        <v>39246684</v>
      </c>
      <c r="E15" s="1920"/>
    </row>
    <row r="16" spans="1:5" ht="31.2">
      <c r="A16" s="1920"/>
      <c r="B16" s="2783"/>
      <c r="C16" s="1928" t="s">
        <v>1169</v>
      </c>
      <c r="D16" s="1927" t="str">
        <f ca="1">IF('数据-取费表'!B3="万元",NUMBERSTRING(INT(D15*10000),2)&amp;"元整",NUMBERSTRING(INT(D15),2)&amp;"元整")</f>
        <v>叁仟玖佰贰拾肆万陆仟陆佰捌拾肆元整</v>
      </c>
      <c r="E16" s="1920"/>
    </row>
    <row r="17" spans="1:5" ht="15.6">
      <c r="A17" s="1920"/>
      <c r="B17" s="2783"/>
      <c r="C17" s="1930" t="s">
        <v>1267</v>
      </c>
      <c r="D17" s="1927">
        <f ca="1">IF('数据-取费表'!E3="否",'结果表（2901）'!I111,'结果表 (1修多)'!I112)</f>
        <v>34599</v>
      </c>
      <c r="E17" s="1920"/>
    </row>
    <row r="18" spans="1:5" ht="15.6">
      <c r="A18" s="1920"/>
      <c r="B18" s="2783" t="str">
        <f>IF('数据-取费表'!E3="否",'结果表（2901）'!F112,'结果表 (1修多)'!F113)</f>
        <v>——</v>
      </c>
      <c r="C18" s="1921" t="str">
        <f>C7</f>
        <v>总价（元）</v>
      </c>
      <c r="D18" s="1927" t="str">
        <f>IF('数据-取费表'!E3="否",'结果表（2901）'!I112,'结果表 (1修多)'!I113)</f>
        <v>——</v>
      </c>
      <c r="E18" s="1920"/>
    </row>
    <row r="19" spans="1:5" ht="15.6">
      <c r="A19" s="1920"/>
      <c r="B19" s="2783"/>
      <c r="C19" s="1928" t="s">
        <v>1169</v>
      </c>
      <c r="D19" s="1927" t="e">
        <f>IF('数据-取费表'!B3="万元",NUMBERSTRING(INT(D18*10000),2)&amp;"元整",NUMBERSTRING(INT(D18),2)&amp;"元整")</f>
        <v>#VALUE!</v>
      </c>
      <c r="E19" s="1920"/>
    </row>
    <row r="20" spans="1:5" ht="15.6">
      <c r="A20" s="1920"/>
      <c r="B20" s="2783"/>
      <c r="C20" s="1930" t="s">
        <v>1267</v>
      </c>
      <c r="D20" s="1927" t="str">
        <f>IF('数据-取费表'!E3="否",'结果表（2901）'!I113,'结果表 (1修多)'!I114)</f>
        <v>——</v>
      </c>
      <c r="E20" s="1920"/>
    </row>
    <row r="21" spans="1:5" ht="15.6">
      <c r="A21" s="1920"/>
      <c r="B21" s="2776" t="str">
        <f>IF('数据-取费表'!E3="否",'结果表（2901）'!F114,'结果表 (1修多)'!F115)</f>
        <v>——</v>
      </c>
      <c r="C21" s="1926" t="str">
        <f>C7</f>
        <v>总价（元）</v>
      </c>
      <c r="D21" s="1927" t="str">
        <f>IF('数据-取费表'!E3="否",'结果表（2901）'!I114,'结果表 (1修多)'!I115)</f>
        <v>——</v>
      </c>
      <c r="E21" s="1920"/>
    </row>
    <row r="22" spans="1:5" ht="15.6">
      <c r="A22" s="1920"/>
      <c r="B22" s="2776"/>
      <c r="C22" s="1928" t="s">
        <v>1169</v>
      </c>
      <c r="D22" s="1929" t="e">
        <f>IF('数据-取费表'!B3="万元",NUMBERSTRING(INT(D21*10000),2)&amp;"元整",NUMBERSTRING(INT(D21),2)&amp;"元整")</f>
        <v>#VALUE!</v>
      </c>
      <c r="E22" s="1920"/>
    </row>
    <row r="23" spans="1:5" ht="16.2" thickBot="1">
      <c r="A23" s="1920"/>
      <c r="B23" s="2777"/>
      <c r="C23" s="1935" t="s">
        <v>1267</v>
      </c>
      <c r="D23" s="1936" t="str">
        <f ca="1">IF('数据-取费表'!E3="否",'结果表（2901）'!I115,'结果表 (1修多)'!I116)</f>
        <v>——</v>
      </c>
      <c r="E23" s="1920"/>
    </row>
    <row r="24" spans="1:5" ht="15" thickTop="1">
      <c r="A24" s="1920"/>
      <c r="B24" s="1920"/>
      <c r="C24" s="1920"/>
      <c r="D24" s="1920"/>
      <c r="E24" s="1920"/>
    </row>
    <row r="25" spans="1:5" ht="18.75" customHeight="1" thickBot="1">
      <c r="A25" s="1920"/>
      <c r="B25" s="2791" t="s">
        <v>1268</v>
      </c>
      <c r="C25" s="2791"/>
      <c r="D25" s="2791"/>
      <c r="E25" s="1920"/>
    </row>
    <row r="26" spans="1:5" ht="18.75" customHeight="1" thickTop="1">
      <c r="A26" s="1920"/>
      <c r="B26" s="2794" t="s">
        <v>1168</v>
      </c>
      <c r="C26" s="2795"/>
      <c r="D26" s="2792" t="s">
        <v>1167</v>
      </c>
      <c r="E26" s="1920"/>
    </row>
    <row r="27" spans="1:5" ht="18.75" customHeight="1">
      <c r="A27" s="1920"/>
      <c r="B27" s="2796"/>
      <c r="C27" s="2797"/>
      <c r="D27" s="2793"/>
      <c r="E27" s="1920"/>
    </row>
    <row r="28" spans="1:5" ht="15.6">
      <c r="A28" s="1920"/>
      <c r="B28" s="2784" t="s">
        <v>780</v>
      </c>
      <c r="C28" s="1937" t="s">
        <v>1170</v>
      </c>
      <c r="D28" s="1938">
        <f ca="1">IF('数据-取费表'!E3="否",'结果表（2901）'!I102,'结果表 (1修多)'!I103)</f>
        <v>39246684</v>
      </c>
      <c r="E28" s="1920"/>
    </row>
    <row r="29" spans="1:5" ht="31.2">
      <c r="A29" s="1920"/>
      <c r="B29" s="2785"/>
      <c r="C29" s="1939" t="s">
        <v>1169</v>
      </c>
      <c r="D29" s="1940" t="str">
        <f ca="1">IF('数据-取费表'!B3="万元",NUMBERSTRING(INT(D28*10000),2)&amp;"元整",NUMBERSTRING(INT(D28),2)&amp;"元整")</f>
        <v>叁仟玖佰贰拾肆万陆仟陆佰捌拾肆元整</v>
      </c>
      <c r="E29" s="1920"/>
    </row>
    <row r="30" spans="1:5" ht="15.6">
      <c r="A30" s="1920"/>
      <c r="B30" s="2786"/>
      <c r="C30" s="1930" t="s">
        <v>1172</v>
      </c>
      <c r="D30" s="1941">
        <f ca="1">IF('数据-取费表'!E3="否",'结果表（2901）'!I103,'结果表 (1修多)'!I104)</f>
        <v>34599</v>
      </c>
      <c r="E30" s="1920"/>
    </row>
    <row r="31" spans="1:5" ht="15.6">
      <c r="A31" s="1920"/>
      <c r="B31" s="2789" t="str">
        <f>B10</f>
        <v>2.估价师所知悉的法定优先受偿款</v>
      </c>
      <c r="C31" s="1942" t="s">
        <v>1171</v>
      </c>
      <c r="D31" s="1943">
        <f>IF('数据-取费表'!E3="否",'结果表（2901）'!I105,'结果表 (1修多)'!I106)</f>
        <v>0</v>
      </c>
      <c r="E31" s="1920"/>
    </row>
    <row r="32" spans="1:5" ht="15.6">
      <c r="A32" s="1920"/>
      <c r="B32" s="2798"/>
      <c r="C32" s="1939" t="s">
        <v>1169</v>
      </c>
      <c r="D32" s="1944" t="str">
        <f>IF('数据-取费表'!B3="万元",NUMBERSTRING(INT(D31*10000),2)&amp;"元整",NUMBERSTRING(INT(D31),2)&amp;"元整")</f>
        <v>零元整</v>
      </c>
      <c r="E32" s="1920"/>
    </row>
    <row r="33" spans="1:5" ht="15.6">
      <c r="A33" s="1920"/>
      <c r="B33" s="1928" t="s">
        <v>1152</v>
      </c>
      <c r="C33" s="1928" t="str">
        <f>C31</f>
        <v>总额</v>
      </c>
      <c r="D33" s="1941">
        <f>IF('数据-取费表'!E3="否",'结果表（2901）'!I106,'结果表 (1修多)'!I107)</f>
        <v>0</v>
      </c>
      <c r="E33" s="1920"/>
    </row>
    <row r="34" spans="1:5" ht="15.6">
      <c r="A34" s="1920"/>
      <c r="B34" s="1928" t="s">
        <v>1153</v>
      </c>
      <c r="C34" s="1928" t="str">
        <f>C31</f>
        <v>总额</v>
      </c>
      <c r="D34" s="1941">
        <f>IF('数据-取费表'!E3="否",'结果表（2901）'!I107,'结果表 (1修多)'!I108)</f>
        <v>0</v>
      </c>
      <c r="E34" s="1920"/>
    </row>
    <row r="35" spans="1:5" ht="15.6">
      <c r="A35" s="1920"/>
      <c r="B35" s="1928" t="s">
        <v>1154</v>
      </c>
      <c r="C35" s="1928" t="str">
        <f>C31</f>
        <v>总额</v>
      </c>
      <c r="D35" s="1941">
        <f>IF('数据-取费表'!E3="否",'结果表（2901）'!I108,'结果表 (1修多)'!I109)</f>
        <v>0</v>
      </c>
      <c r="E35" s="1920"/>
    </row>
    <row r="36" spans="1:5" ht="15.6">
      <c r="A36" s="1920"/>
      <c r="B36" s="2787" t="str">
        <f>B15</f>
        <v>3.房地产抵押价值</v>
      </c>
      <c r="C36" s="1942" t="str">
        <f>C28</f>
        <v>总价</v>
      </c>
      <c r="D36" s="1943">
        <f ca="1">IF('数据-取费表'!E3="否",'结果表（2901）'!I110,'结果表 (1修多)'!I111)</f>
        <v>39246684</v>
      </c>
      <c r="E36" s="1920"/>
    </row>
    <row r="37" spans="1:5" ht="31.2">
      <c r="A37" s="1920"/>
      <c r="B37" s="2787"/>
      <c r="C37" s="1939" t="s">
        <v>1169</v>
      </c>
      <c r="D37" s="1944" t="str">
        <f ca="1">IF('数据-取费表'!B3="万元",NUMBERSTRING(INT(D36*10000),2)&amp;"元整",NUMBERSTRING(INT(D36),2)&amp;"元整")</f>
        <v>叁仟玖佰贰拾肆万陆仟陆佰捌拾肆元整</v>
      </c>
      <c r="E37" s="1920"/>
    </row>
    <row r="38" spans="1:5" ht="15.6">
      <c r="A38" s="1920"/>
      <c r="B38" s="2787"/>
      <c r="C38" s="1930" t="s">
        <v>1173</v>
      </c>
      <c r="D38" s="1941">
        <f ca="1">IF('数据-取费表'!E3="否",'结果表（2901）'!D113,'结果表 (1修多)'!D116)</f>
        <v>34599</v>
      </c>
      <c r="E38" s="1920"/>
    </row>
    <row r="39" spans="1:5" ht="15.6">
      <c r="A39" s="1920"/>
      <c r="B39" s="2788" t="str">
        <f>B18</f>
        <v>——</v>
      </c>
      <c r="C39" s="1942" t="str">
        <f>C28</f>
        <v>总价</v>
      </c>
      <c r="D39" s="1943" t="str">
        <f>IF('数据-取费表'!E3="否",'结果表（2901）'!I112,'结果表 (1修多)'!I113)</f>
        <v>——</v>
      </c>
      <c r="E39" s="1920"/>
    </row>
    <row r="40" spans="1:5" ht="15.6">
      <c r="A40" s="1920"/>
      <c r="B40" s="2788"/>
      <c r="C40" s="1939" t="s">
        <v>1169</v>
      </c>
      <c r="D40" s="1944" t="e">
        <f>IF('数据-取费表'!B3="万元",NUMBERSTRING(INT(D39*10000),2)&amp;"元整",NUMBERSTRING(INT(D39),2)&amp;"元整")</f>
        <v>#VALUE!</v>
      </c>
      <c r="E40" s="1920"/>
    </row>
    <row r="41" spans="1:5" ht="15.6">
      <c r="A41" s="1920"/>
      <c r="B41" s="2788"/>
      <c r="C41" s="1930" t="s">
        <v>1173</v>
      </c>
      <c r="D41" s="1941" t="str">
        <f>IF('数据-取费表'!E3="否",'结果表（2901）'!D115,'结果表 (1修多)'!D118)</f>
        <v>——</v>
      </c>
      <c r="E41" s="1920"/>
    </row>
    <row r="42" spans="1:5" ht="15.6">
      <c r="A42" s="1920"/>
      <c r="B42" s="2787" t="str">
        <f>B21</f>
        <v>——</v>
      </c>
      <c r="C42" s="1942" t="str">
        <f>C28</f>
        <v>总价</v>
      </c>
      <c r="D42" s="1943" t="str">
        <f>IF('数据-取费表'!E3="否",'结果表（2901）'!I114,'结果表 (1修多)'!I115)</f>
        <v>——</v>
      </c>
      <c r="E42" s="1920"/>
    </row>
    <row r="43" spans="1:5" ht="15.6">
      <c r="A43" s="1920"/>
      <c r="B43" s="2789"/>
      <c r="C43" s="1939" t="s">
        <v>1169</v>
      </c>
      <c r="D43" s="1945" t="e">
        <f>IF('数据-取费表'!B3="万元",NUMBERSTRING(INT(D42*10000),2)&amp;"元整",NUMBERSTRING(INT(D42),2)&amp;"元整")</f>
        <v>#VALUE!</v>
      </c>
      <c r="E43" s="1920"/>
    </row>
    <row r="44" spans="1:5" ht="16.2" thickBot="1">
      <c r="A44" s="1920"/>
      <c r="B44" s="2790"/>
      <c r="C44" s="1935" t="s">
        <v>1173</v>
      </c>
      <c r="D44" s="1946" t="str">
        <f ca="1">IF('数据-取费表'!E3="否",'结果表（2901）'!D117,'结果表 (1修多)'!D120)</f>
        <v>——</v>
      </c>
      <c r="E44" s="1920"/>
    </row>
    <row r="45" spans="1:5" ht="15" thickTop="1">
      <c r="A45" s="1920"/>
      <c r="B45" s="1920" t="str">
        <f>IF('数据-取费表'!B3="元","单位：元、元/平方米（单位：人民币）","单位：万元、元/平方米（单位：人民币）")</f>
        <v>单位：元、元/平方米（单位：人民币）</v>
      </c>
      <c r="C45" s="1920"/>
      <c r="D45" s="1920"/>
      <c r="E45" s="1920"/>
    </row>
    <row r="46" spans="1:5" ht="17.399999999999999">
      <c r="B46" s="1947"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E6" sqref="E6"/>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2" t="s">
        <v>1027</v>
      </c>
      <c r="C1" s="3132"/>
      <c r="D1" s="3132"/>
      <c r="E1" s="3132"/>
      <c r="F1" s="3132"/>
      <c r="G1" s="3131" t="s">
        <v>1028</v>
      </c>
      <c r="H1" s="3131"/>
      <c r="I1" s="3131"/>
      <c r="J1" s="3131"/>
      <c r="K1" s="3131"/>
      <c r="L1" s="3131"/>
      <c r="N1" s="3131" t="s">
        <v>1029</v>
      </c>
      <c r="O1" s="3131"/>
      <c r="P1" s="3131"/>
      <c r="Q1" s="3131"/>
      <c r="R1" s="1542"/>
      <c r="S1" s="3131" t="s">
        <v>1030</v>
      </c>
      <c r="T1" s="3131"/>
      <c r="U1" s="3131"/>
      <c r="V1" s="3131"/>
      <c r="X1" s="3130" t="s">
        <v>1031</v>
      </c>
      <c r="Y1" s="3131"/>
      <c r="Z1" s="3131"/>
      <c r="AA1" s="3131"/>
      <c r="AB1" s="3131"/>
      <c r="AD1" s="3130" t="s">
        <v>1032</v>
      </c>
      <c r="AE1" s="3131"/>
      <c r="AF1" s="3131"/>
      <c r="AG1" s="3131"/>
      <c r="AH1" s="3131"/>
    </row>
    <row r="2" spans="1:34" s="1543" customFormat="1" ht="15" thickBot="1">
      <c r="B2" s="1544" t="s">
        <v>1033</v>
      </c>
      <c r="C2" s="1544" t="s">
        <v>1034</v>
      </c>
      <c r="D2" s="1545" t="s">
        <v>1035</v>
      </c>
      <c r="E2" s="1545" t="s">
        <v>1036</v>
      </c>
      <c r="F2" s="1544" t="s">
        <v>1037</v>
      </c>
      <c r="G2" s="1546"/>
      <c r="H2" s="1547"/>
      <c r="I2" s="1544" t="s">
        <v>1254</v>
      </c>
      <c r="J2" s="1545" t="s">
        <v>1255</v>
      </c>
      <c r="K2" s="1545" t="s">
        <v>1256</v>
      </c>
      <c r="L2" s="1544" t="s">
        <v>1257</v>
      </c>
      <c r="N2" s="1544" t="s">
        <v>1033</v>
      </c>
      <c r="O2" s="1545" t="s">
        <v>1258</v>
      </c>
      <c r="P2" s="1545" t="s">
        <v>728</v>
      </c>
      <c r="Q2" s="1544" t="s">
        <v>1037</v>
      </c>
      <c r="R2" s="1548"/>
      <c r="S2" s="1544" t="s">
        <v>1033</v>
      </c>
      <c r="T2" s="1545" t="s">
        <v>1258</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9" customFormat="1" ht="14.4">
      <c r="A3" s="2710" t="s">
        <v>2798</v>
      </c>
      <c r="B3" s="2700"/>
      <c r="C3" s="2700"/>
      <c r="D3" s="2701"/>
      <c r="E3" s="2701"/>
      <c r="F3" s="2700"/>
      <c r="G3" s="2702"/>
      <c r="H3" s="2703"/>
      <c r="I3" s="2704">
        <f>ROUND(AVERAGE(I4:I29),2)</f>
        <v>1.92</v>
      </c>
      <c r="J3" s="2704">
        <f>ROUND(AVERAGE(J4:J29),2)</f>
        <v>1.34</v>
      </c>
      <c r="K3" s="2704">
        <f>ROUND(AVERAGE(K4:K29),2)</f>
        <v>2.1</v>
      </c>
      <c r="L3" s="2705">
        <f>ROUND(AVERAGE(L4:L29),2)</f>
        <v>1.35</v>
      </c>
      <c r="N3" s="2702"/>
      <c r="O3" s="2706"/>
      <c r="P3" s="2706"/>
      <c r="Q3" s="2706"/>
      <c r="R3" s="2706"/>
      <c r="S3" s="2702"/>
      <c r="T3" s="2706"/>
      <c r="U3" s="2706"/>
      <c r="V3" s="2706"/>
      <c r="W3" s="2709"/>
      <c r="X3" s="2707">
        <f>ROUND(SUMPRODUCT(PRODUCT(1+N3:N$28)),4)</f>
        <v>1.5586</v>
      </c>
      <c r="Y3" s="2707">
        <f>ROUND(SUMPRODUCT(PRODUCT(1+O3:O$28)),4)</f>
        <v>1.3633</v>
      </c>
      <c r="Z3" s="2707">
        <f t="shared" ref="Z3:Z26" si="0">Y3</f>
        <v>1.3633</v>
      </c>
      <c r="AA3" s="2707">
        <f>ROUND(SUMPRODUCT(PRODUCT(1+P3:P$28)),4)</f>
        <v>1.6221000000000001</v>
      </c>
      <c r="AB3" s="2707">
        <f>ROUND(SUMPRODUCT(PRODUCT(1+Q3:Q$28)),4)</f>
        <v>1.3777999999999999</v>
      </c>
      <c r="AD3" s="2708">
        <f>ROUND(AVERAGE(I3:I$29)/100,4)</f>
        <v>1.9199999999999998E-2</v>
      </c>
      <c r="AE3" s="2708">
        <f>ROUND(AVERAGE(J3:J$29)/100,4)</f>
        <v>1.34E-2</v>
      </c>
      <c r="AF3" s="2708">
        <f t="shared" ref="AF3:AF17" si="1">AE3</f>
        <v>1.34E-2</v>
      </c>
      <c r="AG3" s="2708">
        <f>ROUND(AVERAGE(K3:K$29)/100,4)</f>
        <v>2.1000000000000001E-2</v>
      </c>
      <c r="AH3" s="2708">
        <f>ROUND(AVERAGE(L3:L$29)/100,4)</f>
        <v>1.35E-2</v>
      </c>
    </row>
    <row r="4" spans="1:34" s="1549" customFormat="1" ht="14.4">
      <c r="B4" s="1550"/>
      <c r="C4" s="1550"/>
      <c r="D4" s="1551"/>
      <c r="E4" s="1551"/>
      <c r="F4" s="1550"/>
      <c r="G4" s="1552"/>
      <c r="H4" s="1553"/>
      <c r="I4" s="2692"/>
      <c r="J4" s="2692"/>
      <c r="K4" s="2692"/>
      <c r="L4" s="2692"/>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2826</v>
      </c>
      <c r="B5" s="1562">
        <f t="shared" ref="B5" si="2">B6*(1+N5)</f>
        <v>479.34737379023579</v>
      </c>
      <c r="C5" s="1562">
        <f t="shared" ref="C5" si="3">C6*(1+O5)</f>
        <v>351.4265287986122</v>
      </c>
      <c r="D5" s="1811">
        <f t="shared" ref="D5" si="4">C5</f>
        <v>351.4265287986122</v>
      </c>
      <c r="E5" s="1562">
        <f t="shared" ref="E5" si="5">E6*(1+P5)</f>
        <v>685.98209703803116</v>
      </c>
      <c r="F5" s="1562">
        <f t="shared" ref="F5" si="6">F6*(1+Q5)</f>
        <v>316.78315206651001</v>
      </c>
      <c r="G5" s="2744">
        <v>2020</v>
      </c>
      <c r="H5" s="1815">
        <v>1</v>
      </c>
      <c r="I5" s="2693">
        <v>0</v>
      </c>
      <c r="J5" s="2693">
        <v>0</v>
      </c>
      <c r="K5" s="2693">
        <v>0</v>
      </c>
      <c r="L5" s="2694">
        <v>0</v>
      </c>
      <c r="N5" s="1564">
        <f t="shared" ref="N5" si="7">I5/100</f>
        <v>0</v>
      </c>
      <c r="O5" s="1564">
        <f t="shared" ref="O5" si="8">J5/100</f>
        <v>0</v>
      </c>
      <c r="P5" s="1564">
        <f t="shared" ref="P5" si="9">K5/100</f>
        <v>0</v>
      </c>
      <c r="Q5" s="1564">
        <f t="shared" ref="Q5" si="10">L5/100</f>
        <v>0</v>
      </c>
      <c r="R5" s="1817"/>
      <c r="S5" s="1818"/>
      <c r="T5" s="1817"/>
      <c r="U5" s="1817"/>
      <c r="V5" s="1817"/>
      <c r="W5" s="2698" t="s">
        <v>2797</v>
      </c>
      <c r="X5" s="1810">
        <f>ROUND(SUMPRODUCT(PRODUCT(1+N5:N$28)),4)</f>
        <v>1.5586</v>
      </c>
      <c r="Y5" s="1810">
        <f>ROUND(SUMPRODUCT(PRODUCT(1+O5:O$28)),4)</f>
        <v>1.3633</v>
      </c>
      <c r="Z5" s="1810">
        <f t="shared" ref="Z5" si="11">Y5</f>
        <v>1.3633</v>
      </c>
      <c r="AA5" s="1810">
        <f>ROUND(SUMPRODUCT(PRODUCT(1+P5:P$28)),4)</f>
        <v>1.6221000000000001</v>
      </c>
      <c r="AB5" s="1810">
        <f>ROUND(SUMPRODUCT(PRODUCT(1+Q5:Q$28)),4)</f>
        <v>1.3777999999999999</v>
      </c>
      <c r="AD5" s="1565">
        <f>ROUND(AVERAGE(I5:I$29)/100,4)</f>
        <v>1.9199999999999998E-2</v>
      </c>
      <c r="AE5" s="1565">
        <f>ROUND(AVERAGE(J5:J$29)/100,4)</f>
        <v>1.34E-2</v>
      </c>
      <c r="AF5" s="1565">
        <f t="shared" ref="AF5" si="12">AE5</f>
        <v>1.34E-2</v>
      </c>
      <c r="AG5" s="1565">
        <f>ROUND(AVERAGE(K5:K$29)/100,4)</f>
        <v>2.1000000000000001E-2</v>
      </c>
      <c r="AH5" s="1565">
        <f>ROUND(AVERAGE(L5:L$29)/100,4)</f>
        <v>1.35E-2</v>
      </c>
    </row>
    <row r="6" spans="1:34" s="2741" customFormat="1" ht="14.4" customHeight="1">
      <c r="A6" s="1557" t="s">
        <v>2825</v>
      </c>
      <c r="B6" s="2735">
        <f t="shared" ref="B6:B11" si="13">B7*(1+N6)</f>
        <v>479.34737379023579</v>
      </c>
      <c r="C6" s="2735">
        <f t="shared" ref="C6" si="14">C7*(1+O6)</f>
        <v>351.4265287986122</v>
      </c>
      <c r="D6" s="2735">
        <f t="shared" ref="D6" si="15">C6</f>
        <v>351.4265287986122</v>
      </c>
      <c r="E6" s="2735">
        <f t="shared" ref="E6" si="16">E7*(1+P6)</f>
        <v>685.98209703803116</v>
      </c>
      <c r="F6" s="2735">
        <f t="shared" ref="F6" si="17">F7*(1+Q6)</f>
        <v>316.78315206651001</v>
      </c>
      <c r="G6" s="2744">
        <v>2019</v>
      </c>
      <c r="H6" s="1560">
        <v>4</v>
      </c>
      <c r="I6" s="1560">
        <v>0.45</v>
      </c>
      <c r="J6" s="1560">
        <v>-0.12</v>
      </c>
      <c r="K6" s="1560">
        <v>0.54</v>
      </c>
      <c r="L6" s="1575">
        <v>0.48</v>
      </c>
      <c r="M6" s="2736"/>
      <c r="N6" s="2737">
        <f t="shared" ref="N6:N11" si="18">I6/100</f>
        <v>4.5000000000000005E-3</v>
      </c>
      <c r="O6" s="2738">
        <f t="shared" ref="O6" si="19">J6/100</f>
        <v>-1.1999999999999999E-3</v>
      </c>
      <c r="P6" s="2738">
        <f t="shared" ref="P6" si="20">K6/100</f>
        <v>5.4000000000000003E-3</v>
      </c>
      <c r="Q6" s="2738">
        <f t="shared" ref="Q6" si="21">L6/100</f>
        <v>4.7999999999999996E-3</v>
      </c>
      <c r="R6" s="2736"/>
      <c r="S6" s="2737"/>
      <c r="T6" s="2738"/>
      <c r="U6" s="2738"/>
      <c r="V6" s="2738"/>
      <c r="W6" s="2736"/>
      <c r="X6" s="2739">
        <f>ROUND(SUMPRODUCT(PRODUCT(1+N6:N$28)),4)</f>
        <v>1.5586</v>
      </c>
      <c r="Y6" s="2739">
        <f>ROUND(SUMPRODUCT(PRODUCT(1+O6:O$28)),4)</f>
        <v>1.3633</v>
      </c>
      <c r="Z6" s="2739">
        <f t="shared" ref="Z6" si="22">Y6</f>
        <v>1.3633</v>
      </c>
      <c r="AA6" s="2739">
        <f>ROUND(SUMPRODUCT(PRODUCT(1+P6:P$28)),4)</f>
        <v>1.6221000000000001</v>
      </c>
      <c r="AB6" s="2739">
        <f>ROUND(SUMPRODUCT(PRODUCT(1+Q6:Q$28)),4)</f>
        <v>1.3777999999999999</v>
      </c>
      <c r="AC6" s="2736"/>
      <c r="AD6" s="2740">
        <f>ROUND(AVERAGE(I6:I$29)/100,4)</f>
        <v>0.02</v>
      </c>
      <c r="AE6" s="2740">
        <f>ROUND(AVERAGE(J6:J$29)/100,4)</f>
        <v>1.4E-2</v>
      </c>
      <c r="AF6" s="2740">
        <f t="shared" ref="AF6" si="23">AE6</f>
        <v>1.4E-2</v>
      </c>
      <c r="AG6" s="2740">
        <f>ROUND(AVERAGE(K6:K$29)/100,4)</f>
        <v>2.1899999999999999E-2</v>
      </c>
      <c r="AH6" s="2740">
        <f>ROUND(AVERAGE(L6:L$29)/100,4)</f>
        <v>1.4E-2</v>
      </c>
    </row>
    <row r="7" spans="1:34" s="2741" customFormat="1" ht="14.4" customHeight="1" thickBot="1">
      <c r="A7" s="1557" t="s">
        <v>2821</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0">
        <v>3</v>
      </c>
      <c r="I7" s="1560">
        <v>0.61</v>
      </c>
      <c r="J7" s="1560">
        <v>0.67</v>
      </c>
      <c r="K7" s="1560">
        <v>0.6</v>
      </c>
      <c r="L7" s="1575">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 customHeight="1">
      <c r="A8" s="1557" t="s">
        <v>2815</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8">
        <v>2</v>
      </c>
      <c r="I8" s="1558">
        <v>1.53</v>
      </c>
      <c r="J8" s="1558">
        <v>1.01</v>
      </c>
      <c r="K8" s="1558">
        <v>1.62</v>
      </c>
      <c r="L8" s="1559">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 customHeight="1" thickBot="1">
      <c r="A9" s="1557" t="s">
        <v>2816</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0">
        <v>1</v>
      </c>
      <c r="I9" s="1560">
        <v>0.6</v>
      </c>
      <c r="J9" s="1560">
        <v>0.37</v>
      </c>
      <c r="K9" s="1560">
        <v>0.63</v>
      </c>
      <c r="L9" s="1575">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28">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28"/>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28"/>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7"/>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3">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28"/>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 customHeight="1">
      <c r="A16" s="1557" t="s">
        <v>1253</v>
      </c>
      <c r="B16" s="1574">
        <f t="shared" si="69"/>
        <v>419.31181600000002</v>
      </c>
      <c r="C16" s="1574">
        <f t="shared" ref="C16" si="98">C17*(1+O16)</f>
        <v>313.95436800000004</v>
      </c>
      <c r="D16" s="1574">
        <f t="shared" si="81"/>
        <v>313.95436800000004</v>
      </c>
      <c r="E16" s="1574">
        <f t="shared" si="94"/>
        <v>596.63028431999999</v>
      </c>
      <c r="F16" s="1574">
        <f t="shared" si="94"/>
        <v>274.74220703999998</v>
      </c>
      <c r="G16" s="3128"/>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7"/>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3">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28"/>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28"/>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29"/>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27">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28"/>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28"/>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29"/>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27">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28"/>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28"/>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29"/>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4">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5"/>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5"/>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6"/>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27">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28"/>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28"/>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29"/>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27">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28">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28">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29">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27">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28">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28">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29">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27">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28">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28">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29">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27">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28">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28">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29">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27">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28">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28">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29">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27">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28">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28">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29">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27">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28">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28">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29">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27">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28">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28">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29">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27">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28">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28">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29">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27">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28">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28">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29">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F41:F42"/>
  <sheetViews>
    <sheetView workbookViewId="0">
      <selection activeCell="H45" sqref="H45"/>
    </sheetView>
  </sheetViews>
  <sheetFormatPr defaultRowHeight="14.4"/>
  <sheetData>
    <row r="41" spans="6:6">
      <c r="F41">
        <f>3939840/155.56</f>
        <v>25326.81923373618</v>
      </c>
    </row>
    <row r="42" spans="6:6">
      <c r="F42">
        <f>5006645/188.93</f>
        <v>26500</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43924</v>
      </c>
      <c r="D1" s="1796" t="s">
        <v>1180</v>
      </c>
      <c r="E1" s="1802">
        <f>'数据-取费表'!B23</f>
        <v>2</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5" customWidth="1"/>
    <col min="2" max="9" width="12.21875" style="1905" customWidth="1"/>
    <col min="10" max="16384" width="9" style="1905"/>
  </cols>
  <sheetData>
    <row r="1" spans="1:9" ht="16.2"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1269</v>
      </c>
      <c r="B2" s="2806" t="s">
        <v>1270</v>
      </c>
      <c r="C2" s="2806" t="s">
        <v>1271</v>
      </c>
      <c r="D2" s="2806" t="str">
        <f>IF('数据-取费表'!E3="否",'结果表（2901）'!D119,'结果表 (1修多)'!D122)</f>
        <v>出让国有建设用地使用权价值</v>
      </c>
      <c r="E2" s="2806"/>
      <c r="F2" s="2806" t="s">
        <v>1272</v>
      </c>
      <c r="G2" s="2806"/>
      <c r="H2" s="2806" t="s">
        <v>1273</v>
      </c>
      <c r="I2" s="2806"/>
    </row>
    <row r="3" spans="1:9" ht="15.6">
      <c r="A3" s="2801"/>
      <c r="B3" s="2801"/>
      <c r="C3" s="2801"/>
      <c r="D3" s="1044" t="s">
        <v>1274</v>
      </c>
      <c r="E3" s="1044" t="s">
        <v>1275</v>
      </c>
      <c r="F3" s="1044" t="s">
        <v>1274</v>
      </c>
      <c r="G3" s="1044" t="s">
        <v>1276</v>
      </c>
      <c r="H3" s="1044" t="s">
        <v>1274</v>
      </c>
      <c r="I3" s="1044" t="s">
        <v>1276</v>
      </c>
    </row>
    <row r="4" spans="1:9" ht="46.5" customHeight="1">
      <c r="A4" s="1044" t="str">
        <f>项目基本情况!I1</f>
        <v>北京市海淀区花园东路15号9层2901至2903、2905至2907共6套办公用房房地产</v>
      </c>
      <c r="B4" s="1044">
        <f>'结果表（2901）'!B121</f>
        <v>1134.33</v>
      </c>
      <c r="C4" s="1044">
        <f>'结果表（2901）'!C121</f>
        <v>0</v>
      </c>
      <c r="D4" s="1044">
        <f>IF('数据-取费表'!E3="否",'结果表（2901）'!D121,'结果表 (1修多)'!D124)</f>
        <v>0</v>
      </c>
      <c r="E4" s="1044">
        <f>IF('数据-取费表'!E3="否",'结果表（2901）'!E121,'结果表 (1修多)'!E124)</f>
        <v>0</v>
      </c>
      <c r="F4" s="1044">
        <f>IF('数据-取费表'!E3="否",'结果表（2901）'!F121,'结果表 (1修多)'!F124)</f>
        <v>0</v>
      </c>
      <c r="G4" s="1044">
        <f>IF('数据-取费表'!E3="否",'结果表（2901）'!G121,'结果表 (1修多)'!G124)</f>
        <v>0</v>
      </c>
      <c r="H4" s="1044">
        <f ca="1">IF('数据-取费表'!E3="否",'结果表（2901）'!H121,'结果表 (1修多)'!H124)</f>
        <v>39246684</v>
      </c>
      <c r="I4" s="1044">
        <f ca="1">IF('数据-取费表'!E3="否",'结果表（2901）'!I121,'结果表 (1修多)'!I124)</f>
        <v>34599</v>
      </c>
    </row>
    <row r="5" spans="1:9" ht="15">
      <c r="A5" s="2801" t="s">
        <v>1277</v>
      </c>
      <c r="B5" s="2801"/>
      <c r="C5" s="2801"/>
      <c r="D5" s="2799" t="str">
        <f>IF('数据-取费表'!E3="否",'结果表（2901）'!D122,'结果表 (1修多)'!D125)</f>
        <v>零元整</v>
      </c>
      <c r="E5" s="2799"/>
      <c r="F5" s="2799" t="str">
        <f>IF('数据-取费表'!E3="否",'结果表（2901）'!F122,'结果表 (1修多)'!F125)</f>
        <v>零元整</v>
      </c>
      <c r="G5" s="2799"/>
      <c r="H5" s="2799" t="str">
        <f ca="1">IF('数据-取费表'!E3="否",'结果表（2901）'!H122,'结果表 (1修多)'!H125)</f>
        <v>叁仟玖佰贰拾肆万陆仟陆佰捌拾肆元整</v>
      </c>
      <c r="I5" s="2799"/>
    </row>
    <row r="6" spans="1:9" ht="15.6">
      <c r="A6" s="2800" t="str">
        <f>IF('数据-取费表'!E3="否",'结果表（2901）'!A123,'结果表 (1修多)'!A126)</f>
        <v>估价师所知悉的法定优先受偿款</v>
      </c>
      <c r="B6" s="2800"/>
      <c r="C6" s="2800"/>
      <c r="D6" s="2800">
        <f>IF('数据-取费表'!E3="否",'结果表（2901）'!D123,'结果表 (1修多)'!D126)</f>
        <v>0</v>
      </c>
      <c r="E6" s="2800"/>
      <c r="F6" s="2800"/>
      <c r="G6" s="2800"/>
      <c r="H6" s="2800"/>
      <c r="I6" s="2800"/>
    </row>
    <row r="7" spans="1:9" ht="15">
      <c r="A7" s="2801" t="s">
        <v>1277</v>
      </c>
      <c r="B7" s="2801"/>
      <c r="C7" s="2801"/>
      <c r="D7" s="2802">
        <f>IF('数据-取费表'!E3="否",'结果表（2901）'!D124,'结果表 (1修多)'!D127)</f>
        <v>0</v>
      </c>
      <c r="E7" s="2803"/>
      <c r="F7" s="2803"/>
      <c r="G7" s="2803"/>
      <c r="H7" s="2803"/>
      <c r="I7" s="2804"/>
    </row>
    <row r="8" spans="1:9" ht="15.6">
      <c r="A8" s="2800" t="str">
        <f>IF('数据-取费表'!E3="否",'结果表（2901）'!A125,'结果表 (1修多)'!A128)</f>
        <v>房地产抵押价值</v>
      </c>
      <c r="B8" s="2800"/>
      <c r="C8" s="2800"/>
      <c r="D8" s="2800">
        <f ca="1">IF('数据-取费表'!E3="否",'结果表（2901）'!D125,'结果表 (1修多)'!D128)</f>
        <v>39246684</v>
      </c>
      <c r="E8" s="2800"/>
      <c r="F8" s="2800"/>
      <c r="G8" s="2800"/>
      <c r="H8" s="2800"/>
      <c r="I8" s="2800"/>
    </row>
    <row r="9" spans="1:9" ht="15">
      <c r="A9" s="2801" t="s">
        <v>1277</v>
      </c>
      <c r="B9" s="2801"/>
      <c r="C9" s="2801"/>
      <c r="D9" s="2799">
        <f ca="1">IF('数据-取费表'!E3="否",'结果表（2901）'!D126,'结果表 (1修多)'!D129)</f>
        <v>34599</v>
      </c>
      <c r="E9" s="2799"/>
      <c r="F9" s="2799"/>
      <c r="G9" s="2799"/>
      <c r="H9" s="2799"/>
      <c r="I9" s="2799"/>
    </row>
    <row r="10" spans="1:9" ht="15.6">
      <c r="A10" s="2800" t="str">
        <f>IF('数据-取费表'!E3="否",'结果表（2901）'!A127,'结果表 (1修多)'!A130)</f>
        <v/>
      </c>
      <c r="B10" s="2800"/>
      <c r="C10" s="2800"/>
      <c r="D10" s="2800">
        <f ca="1">IF('数据-取费表'!E3="否",'结果表（2901）'!D127,'结果表 (1修多)'!D129)</f>
        <v>34599</v>
      </c>
      <c r="E10" s="2800"/>
      <c r="F10" s="2800"/>
      <c r="G10" s="2800"/>
      <c r="H10" s="2800"/>
      <c r="I10" s="2800"/>
    </row>
    <row r="11" spans="1:9" ht="15">
      <c r="A11" s="2801" t="s">
        <v>1277</v>
      </c>
      <c r="B11" s="2801"/>
      <c r="C11" s="2801"/>
      <c r="D11" s="2799" t="str">
        <f>IF('数据-取费表'!E3="否",'结果表（2901）'!D128,'结果表 (1修多)'!D131)</f>
        <v>——</v>
      </c>
      <c r="E11" s="2799"/>
      <c r="F11" s="2799"/>
      <c r="G11" s="2799"/>
      <c r="H11" s="2799"/>
      <c r="I11" s="2799"/>
    </row>
    <row r="12" spans="1:9" ht="15.6">
      <c r="A12" s="2800" t="str">
        <f>IF('数据-取费表'!E3="否",'结果表（2901）'!A129,'结果表 (1修多)'!A132)</f>
        <v/>
      </c>
      <c r="B12" s="2800"/>
      <c r="C12" s="2800"/>
      <c r="D12" s="2800" t="str">
        <f>IF('数据-取费表'!E3="否",'结果表（2901）'!D129,'结果表 (1修多)'!D132)</f>
        <v>——</v>
      </c>
      <c r="E12" s="2800"/>
      <c r="F12" s="2800"/>
      <c r="G12" s="2800"/>
      <c r="H12" s="2800"/>
      <c r="I12" s="2800"/>
    </row>
    <row r="13" spans="1:9" ht="15.6" thickBot="1">
      <c r="A13" s="2807" t="s">
        <v>1277</v>
      </c>
      <c r="B13" s="2807"/>
      <c r="C13" s="2807"/>
      <c r="D13" s="2808">
        <f>IF('数据-取费表'!E3="否",'结果表（2901）'!D130,'结果表 (1修多)'!D133)</f>
        <v>0</v>
      </c>
      <c r="E13" s="2808"/>
      <c r="F13" s="2808"/>
      <c r="G13" s="2808"/>
      <c r="H13" s="2808"/>
      <c r="I13" s="2808"/>
    </row>
    <row r="14" spans="1:9" ht="14.4" thickTop="1">
      <c r="A14" s="2809" t="str">
        <f>IF('数据-取费表'!E3="否",'结果表（2901）'!A131,'结果表 (1修多)'!A134)</f>
        <v>单位：平方米、元、元/平方米（币种：人民币）</v>
      </c>
      <c r="B14" s="2809"/>
      <c r="C14" s="2809"/>
      <c r="D14" s="2809"/>
      <c r="E14" s="2809"/>
      <c r="F14" s="2809"/>
      <c r="G14" s="2809"/>
      <c r="H14" s="2809"/>
      <c r="I14" s="2809"/>
    </row>
    <row r="15" spans="1:9">
      <c r="A15" s="714"/>
      <c r="B15" s="714"/>
      <c r="C15" s="714"/>
      <c r="D15" s="714"/>
      <c r="E15" s="714"/>
      <c r="F15" s="714"/>
      <c r="G15" s="714"/>
      <c r="H15" s="714"/>
      <c r="I15" s="714"/>
    </row>
    <row r="16" spans="1:9" ht="17.399999999999999">
      <c r="A16" s="1948"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5" customWidth="1"/>
    <col min="2" max="2" width="24" style="1905" customWidth="1"/>
    <col min="3" max="3" width="23.21875" style="1905" customWidth="1"/>
    <col min="4" max="4" width="21" style="1905" customWidth="1"/>
    <col min="5" max="16384" width="9" style="1905"/>
  </cols>
  <sheetData>
    <row r="1" spans="1:4" ht="17.399999999999999">
      <c r="A1" s="2814" t="s">
        <v>1291</v>
      </c>
      <c r="B1" s="2814"/>
      <c r="C1" s="2814"/>
      <c r="D1" s="2814"/>
    </row>
    <row r="2" spans="1:4" ht="17.399999999999999">
      <c r="A2" s="2813" t="s">
        <v>1279</v>
      </c>
      <c r="B2" s="2813"/>
      <c r="C2" s="2813"/>
      <c r="D2" s="2813"/>
    </row>
    <row r="3" spans="1:4" ht="17.399999999999999">
      <c r="A3" s="1949" t="s">
        <v>1280</v>
      </c>
      <c r="B3" s="1949" t="s">
        <v>1281</v>
      </c>
      <c r="C3" s="1949" t="s">
        <v>1282</v>
      </c>
      <c r="D3" s="1949" t="s">
        <v>1283</v>
      </c>
    </row>
    <row r="4" spans="1:4" ht="56.25" customHeight="1">
      <c r="A4" s="1950" t="str">
        <f>项目基本情况!B3</f>
        <v>郑燚</v>
      </c>
      <c r="B4" s="1951">
        <f ca="1">项目基本情况!C3</f>
        <v>1120070131</v>
      </c>
      <c r="C4" s="1952"/>
      <c r="D4" s="1953" t="s">
        <v>1292</v>
      </c>
    </row>
    <row r="5" spans="1:4" ht="56.25" customHeight="1">
      <c r="A5" s="1950" t="str">
        <f>项目基本情况!D3</f>
        <v>崔锴</v>
      </c>
      <c r="B5" s="1951">
        <f ca="1">项目基本情况!E3</f>
        <v>1120100036</v>
      </c>
      <c r="C5" s="1954"/>
      <c r="D5" s="1953" t="s">
        <v>1292</v>
      </c>
    </row>
    <row r="6" spans="1:4" ht="12" customHeight="1">
      <c r="A6" s="1950"/>
      <c r="B6" s="1951"/>
      <c r="C6" s="1955"/>
      <c r="D6" s="1953"/>
    </row>
    <row r="7" spans="1:4" ht="17.399999999999999">
      <c r="A7" s="2813" t="s">
        <v>1284</v>
      </c>
      <c r="B7" s="2813"/>
      <c r="C7" s="2813"/>
      <c r="D7" s="2813"/>
    </row>
    <row r="8" spans="1:4" ht="17.399999999999999">
      <c r="A8" s="1949" t="s">
        <v>1280</v>
      </c>
      <c r="B8" s="1951" t="s">
        <v>1285</v>
      </c>
      <c r="C8" s="1949" t="s">
        <v>1282</v>
      </c>
      <c r="D8" s="1949" t="s">
        <v>1283</v>
      </c>
    </row>
    <row r="9" spans="1:4" ht="56.25" customHeight="1">
      <c r="A9" s="1956" t="s">
        <v>781</v>
      </c>
      <c r="B9" s="1956" t="s">
        <v>782</v>
      </c>
      <c r="C9" s="1952"/>
      <c r="D9" s="1953" t="s">
        <v>1292</v>
      </c>
    </row>
    <row r="11" spans="1:4" ht="17.399999999999999">
      <c r="A11" s="1957" t="s">
        <v>1286</v>
      </c>
    </row>
    <row r="12" spans="1:4" ht="30" customHeight="1">
      <c r="A12" s="2810" t="s">
        <v>1293</v>
      </c>
      <c r="B12" s="2812"/>
      <c r="C12" s="2812"/>
      <c r="D12" s="2812"/>
    </row>
    <row r="13" spans="1:4" ht="15.6">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0" t="str">
        <f>IF(项目基本情况!D4="抵押","4.本次评估估价师所知悉的法定优先受偿款情况说明如下：","——")</f>
        <v>4.本次评估估价师所知悉的法定优先受偿款情况说明如下：</v>
      </c>
      <c r="B15" s="2812"/>
      <c r="C15" s="2812"/>
      <c r="D15" s="2812"/>
    </row>
    <row r="16" spans="1:4" ht="75" customHeight="1">
      <c r="A16" s="2810" t="str">
        <f>IF(项目基本情况!D4="抵押",CONCATENATE(项目基本情况!J13,项目基本情况!J14,项目基本情况!J15),"——")</f>
        <v>根据估价对象《不动产权证书》复印件，截至价值时点，估价对象抵押权未见登记。</v>
      </c>
      <c r="B16" s="2810"/>
      <c r="C16" s="2810"/>
      <c r="D16" s="2810"/>
    </row>
    <row r="17" spans="1:4" ht="63.75" customHeight="1">
      <c r="A17" s="2811" t="s">
        <v>1294</v>
      </c>
      <c r="B17" s="2811"/>
      <c r="C17" s="2811"/>
      <c r="D17" s="2811"/>
    </row>
    <row r="18" spans="1:4" ht="15.75" customHeight="1">
      <c r="A18" s="2810" t="str">
        <f>IF(项目基本情况!D4="抵押",'结果表（2901）'!K106,"——")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1287</v>
      </c>
      <c r="B20" s="2811"/>
      <c r="C20" s="2811"/>
      <c r="D20" s="2811"/>
    </row>
    <row r="21" spans="1:4">
      <c r="A21" s="1958"/>
      <c r="B21" s="1285"/>
      <c r="C21" s="1285"/>
      <c r="D21" s="1285"/>
    </row>
    <row r="22" spans="1:4">
      <c r="A22" s="1958"/>
      <c r="B22" s="1285"/>
      <c r="C22" s="1285"/>
      <c r="D22" s="1285"/>
    </row>
    <row r="23" spans="1:4" ht="17.399999999999999">
      <c r="A23" s="1919" t="s">
        <v>1288</v>
      </c>
    </row>
    <row r="24" spans="1:4" ht="17.399999999999999">
      <c r="A24" s="1919"/>
    </row>
    <row r="25" spans="1:4" ht="17.399999999999999">
      <c r="A25" s="1919" t="s">
        <v>1289</v>
      </c>
    </row>
    <row r="28" spans="1:4" ht="21" customHeight="1">
      <c r="D28" s="1959" t="s">
        <v>1290</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7" customWidth="1"/>
    <col min="2" max="16384" width="14.44140625" style="714"/>
  </cols>
  <sheetData>
    <row r="1" spans="1:7" s="1948" customFormat="1" ht="17.399999999999999">
      <c r="A1" s="712" t="s">
        <v>1361</v>
      </c>
    </row>
    <row r="3" spans="1:7">
      <c r="A3" s="1965" t="s">
        <v>1362</v>
      </c>
      <c r="B3" s="714" t="s">
        <v>1363</v>
      </c>
      <c r="G3" s="1966"/>
    </row>
    <row r="4" spans="1:7">
      <c r="G4" s="1966"/>
    </row>
    <row r="5" spans="1:7">
      <c r="A5" s="1968" t="s">
        <v>1364</v>
      </c>
      <c r="B5" s="714" t="s">
        <v>1365</v>
      </c>
      <c r="G5" s="1966"/>
    </row>
    <row r="6" spans="1:7">
      <c r="G6" s="1966"/>
    </row>
    <row r="7" spans="1:7">
      <c r="A7" s="1969" t="s">
        <v>1366</v>
      </c>
      <c r="B7" s="714" t="s">
        <v>1367</v>
      </c>
      <c r="G7" s="1966"/>
    </row>
    <row r="8" spans="1:7">
      <c r="G8" s="1966"/>
    </row>
    <row r="9" spans="1:7">
      <c r="A9" s="1970" t="s">
        <v>1368</v>
      </c>
      <c r="B9" s="714" t="s">
        <v>1369</v>
      </c>
    </row>
    <row r="11" spans="1:7">
      <c r="A11" s="1971" t="s">
        <v>1370</v>
      </c>
      <c r="B11" s="1972" t="s">
        <v>1371</v>
      </c>
    </row>
    <row r="13" spans="1:7">
      <c r="A13" s="1675" t="s">
        <v>1372</v>
      </c>
    </row>
    <row r="15" spans="1:7" ht="14.4">
      <c r="A15" s="2820" t="s">
        <v>1373</v>
      </c>
      <c r="B15" s="2815" t="s">
        <v>1374</v>
      </c>
      <c r="C15" s="2816"/>
    </row>
    <row r="16" spans="1:7" ht="14.4">
      <c r="A16" s="2821"/>
      <c r="B16" s="2815" t="s">
        <v>1375</v>
      </c>
      <c r="C16" s="2816"/>
    </row>
    <row r="17" spans="1:3" ht="14.4">
      <c r="A17" s="2821"/>
      <c r="B17" s="2815" t="s">
        <v>1376</v>
      </c>
      <c r="C17" s="2816"/>
    </row>
    <row r="18" spans="1:3" ht="14.4">
      <c r="A18" s="2822"/>
      <c r="B18" s="2817" t="s">
        <v>1377</v>
      </c>
      <c r="C18" s="2816"/>
    </row>
    <row r="19" spans="1:3" ht="14.4">
      <c r="A19" s="1973" t="s">
        <v>1378</v>
      </c>
      <c r="B19" s="1974"/>
      <c r="C19" s="1975"/>
    </row>
    <row r="20" spans="1:3" ht="14.4">
      <c r="A20" s="2818" t="s">
        <v>1379</v>
      </c>
      <c r="B20" s="2817" t="s">
        <v>1380</v>
      </c>
      <c r="C20" s="2816"/>
    </row>
    <row r="21" spans="1:3" ht="14.4">
      <c r="A21" s="2818"/>
      <c r="B21" s="2817" t="s">
        <v>1381</v>
      </c>
      <c r="C21" s="2816"/>
    </row>
    <row r="22" spans="1:3" ht="14.4">
      <c r="A22" s="2818"/>
      <c r="B22" s="2817" t="s">
        <v>1382</v>
      </c>
      <c r="C22" s="2816"/>
    </row>
    <row r="23" spans="1:3" ht="14.4">
      <c r="A23" s="2818"/>
      <c r="B23" s="2819" t="s">
        <v>1383</v>
      </c>
      <c r="C23" s="1976" t="s">
        <v>1384</v>
      </c>
    </row>
    <row r="24" spans="1:3" ht="14.4">
      <c r="A24" s="2818"/>
      <c r="B24" s="2819"/>
      <c r="C24" s="1976" t="s">
        <v>1385</v>
      </c>
    </row>
    <row r="25" spans="1:3" ht="14.4">
      <c r="A25" s="2818"/>
      <c r="B25" s="2819"/>
      <c r="C25" s="1976" t="s">
        <v>1386</v>
      </c>
    </row>
    <row r="26" spans="1:3" ht="14.4">
      <c r="A26" s="2818"/>
      <c r="B26" s="2819"/>
      <c r="C26" s="1976" t="s">
        <v>1387</v>
      </c>
    </row>
    <row r="27" spans="1:3" ht="14.4">
      <c r="A27" s="2818"/>
      <c r="B27" s="2819"/>
      <c r="C27" s="1976" t="s">
        <v>1388</v>
      </c>
    </row>
    <row r="28" spans="1:3" ht="14.4">
      <c r="A28" s="2818"/>
      <c r="B28" s="2819"/>
      <c r="C28" s="1976" t="s">
        <v>1389</v>
      </c>
    </row>
    <row r="29" spans="1:3" ht="14.4">
      <c r="A29" s="2818"/>
      <c r="B29" s="2819"/>
      <c r="C29" s="1976" t="s">
        <v>1390</v>
      </c>
    </row>
    <row r="30" spans="1:3" ht="14.4">
      <c r="A30" s="2818"/>
      <c r="B30" s="2819"/>
      <c r="C30" s="1976" t="s">
        <v>1391</v>
      </c>
    </row>
    <row r="31" spans="1:3" ht="14.4">
      <c r="A31" s="2818"/>
      <c r="B31" s="2819"/>
      <c r="C31" s="1976" t="s">
        <v>1392</v>
      </c>
    </row>
    <row r="32" spans="1:3">
      <c r="A32" s="1977"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5546875" style="1022" bestFit="1" customWidth="1"/>
    <col min="9" max="16384" width="22.6640625" style="1022"/>
  </cols>
  <sheetData>
    <row r="2" spans="1:8" ht="24" customHeight="1">
      <c r="A2" s="1019" t="s">
        <v>746</v>
      </c>
      <c r="B2" s="1020">
        <f ca="1">TODAY()</f>
        <v>43928</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4" t="s">
        <v>753</v>
      </c>
      <c r="B4" s="1026">
        <f ca="1">IF(C4&lt;B2,"已过期",1119970066)</f>
        <v>1119970066</v>
      </c>
      <c r="C4" s="1805">
        <v>44876</v>
      </c>
      <c r="D4" s="1806" t="str">
        <f ca="1">A4&amp;"（注册号："&amp;B4&amp;"）"</f>
        <v>梁津（注册号：1119970066）</v>
      </c>
      <c r="E4" s="1804" t="s">
        <v>753</v>
      </c>
      <c r="F4" s="1026">
        <f ca="1">IF(G4&lt;B2,"已过期",96010014)</f>
        <v>96010014</v>
      </c>
      <c r="G4" s="1034">
        <v>47118</v>
      </c>
      <c r="H4" s="1807" t="str">
        <f ca="1">E4&amp;"（注册号："&amp;F4&amp;"）"</f>
        <v>梁津（注册号：96010014）</v>
      </c>
    </row>
    <row r="5" spans="1:8" ht="24" customHeight="1">
      <c r="A5" s="1804"/>
      <c r="B5" s="1026"/>
      <c r="C5" s="1805"/>
      <c r="D5" s="1806" t="str">
        <f t="shared" ref="D5:D23" si="0">A5&amp;"（注册号："&amp;B5&amp;"）"</f>
        <v>（注册号：）</v>
      </c>
      <c r="E5" s="1804"/>
      <c r="F5" s="1026"/>
      <c r="G5" s="1034"/>
      <c r="H5" s="1807" t="str">
        <f t="shared" ref="H5:H24" si="1">E5&amp;"（注册号："&amp;F5&amp;"）"</f>
        <v>（注册号：）</v>
      </c>
    </row>
    <row r="6" spans="1:8" ht="24" customHeight="1">
      <c r="A6" s="1804" t="s">
        <v>754</v>
      </c>
      <c r="B6" s="1026">
        <f ca="1">IF(C6&lt;B2,"已过期",1119970111)</f>
        <v>1119970111</v>
      </c>
      <c r="C6" s="1805">
        <v>44876</v>
      </c>
      <c r="D6" s="1806" t="str">
        <f t="shared" ca="1" si="0"/>
        <v>叶凌（注册号：1119970111）</v>
      </c>
      <c r="E6" s="1804" t="s">
        <v>754</v>
      </c>
      <c r="F6" s="1026">
        <f ca="1">IF(G6&lt;B2,"已过期",94010078)</f>
        <v>94010078</v>
      </c>
      <c r="G6" s="1034">
        <v>46387</v>
      </c>
      <c r="H6" s="1807" t="str">
        <f t="shared" ca="1" si="1"/>
        <v>叶凌（注册号：94010078）</v>
      </c>
    </row>
    <row r="7" spans="1:8" ht="24" customHeight="1">
      <c r="A7" s="1804" t="s">
        <v>755</v>
      </c>
      <c r="B7" s="1026">
        <f ca="1">IF(C7&lt;B2,"已过期",1120050019)</f>
        <v>1120050019</v>
      </c>
      <c r="C7" s="1805">
        <v>44395</v>
      </c>
      <c r="D7" s="1806" t="str">
        <f t="shared" ca="1" si="0"/>
        <v>王鹏（注册号：1120050019）</v>
      </c>
      <c r="E7" s="1804" t="s">
        <v>755</v>
      </c>
      <c r="F7" s="1026">
        <f ca="1">IF(G7&lt;B2,"已过期",2002110030)</f>
        <v>2002110030</v>
      </c>
      <c r="G7" s="1034">
        <v>46387</v>
      </c>
      <c r="H7" s="1807" t="str">
        <f t="shared" ca="1" si="1"/>
        <v>王鹏（注册号：2002110030）</v>
      </c>
    </row>
    <row r="8" spans="1:8" ht="24" customHeight="1">
      <c r="A8" s="1804" t="s">
        <v>756</v>
      </c>
      <c r="B8" s="1026">
        <f ca="1">IF(C8&lt;B2,"已过期",1120000080)</f>
        <v>1120000080</v>
      </c>
      <c r="C8" s="1805">
        <v>44876</v>
      </c>
      <c r="D8" s="1806" t="str">
        <f t="shared" ca="1" si="0"/>
        <v>欧红伟（注册号：1120000080）</v>
      </c>
      <c r="E8" s="1804" t="s">
        <v>756</v>
      </c>
      <c r="F8" s="1026">
        <f ca="1">IF(G8&lt;B2,"已过期",2000110082)</f>
        <v>2000110082</v>
      </c>
      <c r="G8" s="1034">
        <v>46387</v>
      </c>
      <c r="H8" s="1807" t="str">
        <f t="shared" ca="1" si="1"/>
        <v>欧红伟（注册号：2000110082）</v>
      </c>
    </row>
    <row r="9" spans="1:8" ht="24" customHeight="1">
      <c r="A9" s="1804" t="s">
        <v>757</v>
      </c>
      <c r="B9" s="1026">
        <f ca="1">IF(C9&lt;B2,"已过期",1419970001)</f>
        <v>1419970001</v>
      </c>
      <c r="C9" s="1805">
        <v>44899</v>
      </c>
      <c r="D9" s="1806" t="str">
        <f t="shared" ca="1" si="0"/>
        <v>吴薇（注册号：1419970001）</v>
      </c>
      <c r="E9" s="1804" t="s">
        <v>757</v>
      </c>
      <c r="F9" s="1026">
        <f ca="1">IF(G9&lt;B2,"已过期",2002110125)</f>
        <v>2002110125</v>
      </c>
      <c r="G9" s="1034">
        <v>47118</v>
      </c>
      <c r="H9" s="1807" t="str">
        <f t="shared" ca="1" si="1"/>
        <v>吴薇（注册号：2002110125）</v>
      </c>
    </row>
    <row r="10" spans="1:8" ht="24" customHeight="1">
      <c r="A10" s="1804" t="s">
        <v>758</v>
      </c>
      <c r="B10" s="1026">
        <f ca="1">IF(C10&lt;B2,"已过期",1120060040)</f>
        <v>1120060040</v>
      </c>
      <c r="C10" s="2712">
        <v>44554</v>
      </c>
      <c r="D10" s="1806" t="str">
        <f t="shared" ca="1" si="0"/>
        <v>陈颖（注册号：1120060040）</v>
      </c>
      <c r="E10" s="1804" t="s">
        <v>758</v>
      </c>
      <c r="F10" s="1026">
        <f ca="1">IF(G10&lt;B2,"已过期",2004110096)</f>
        <v>2004110096</v>
      </c>
      <c r="G10" s="1034">
        <v>47118</v>
      </c>
      <c r="H10" s="1807" t="str">
        <f t="shared" ca="1" si="1"/>
        <v>陈颖（注册号：2004110096）</v>
      </c>
    </row>
    <row r="11" spans="1:8" ht="24" customHeight="1">
      <c r="A11" s="1804" t="s">
        <v>759</v>
      </c>
      <c r="B11" s="1026">
        <f ca="1">IF(C11&lt;B2,"已过期",1120100036)</f>
        <v>1120100036</v>
      </c>
      <c r="C11" s="2712">
        <v>44675</v>
      </c>
      <c r="D11" s="1806" t="str">
        <f t="shared" ca="1" si="0"/>
        <v>崔锴（注册号：1120100036）</v>
      </c>
      <c r="E11" s="1804" t="s">
        <v>759</v>
      </c>
      <c r="F11" s="1026">
        <f ca="1">IF(G11&lt;B2,"已过期",2010110070)</f>
        <v>2010110070</v>
      </c>
      <c r="G11" s="1034">
        <v>47907</v>
      </c>
      <c r="H11" s="1807" t="str">
        <f t="shared" ca="1" si="1"/>
        <v>崔锴（注册号：2010110070）</v>
      </c>
    </row>
    <row r="12" spans="1:8" ht="24" customHeight="1">
      <c r="A12" s="1804"/>
      <c r="B12" s="1026"/>
      <c r="C12" s="1805"/>
      <c r="D12" s="1806"/>
      <c r="E12" s="1804"/>
      <c r="F12" s="1026"/>
      <c r="G12" s="1034"/>
      <c r="H12" s="1807"/>
    </row>
    <row r="13" spans="1:8" ht="24" customHeight="1">
      <c r="A13" s="1804" t="s">
        <v>760</v>
      </c>
      <c r="B13" s="1026">
        <f ca="1">IF(C13&lt;B2,"已过期",1120070131)</f>
        <v>1120070131</v>
      </c>
      <c r="C13" s="1805">
        <v>44849</v>
      </c>
      <c r="D13" s="1806" t="str">
        <f t="shared" ca="1" si="0"/>
        <v>郑燚（注册号：1120070131）</v>
      </c>
      <c r="E13" s="1804" t="s">
        <v>760</v>
      </c>
      <c r="F13" s="1026">
        <f ca="1">IF(G13&lt;B2,"已过期",2014110011)</f>
        <v>2014110011</v>
      </c>
      <c r="G13" s="1034">
        <v>49302</v>
      </c>
      <c r="H13" s="1807" t="str">
        <f t="shared" ca="1" si="1"/>
        <v>郑燚（注册号：2014110011）</v>
      </c>
    </row>
    <row r="14" spans="1:8" ht="24" customHeight="1">
      <c r="A14" s="1804" t="s">
        <v>2807</v>
      </c>
      <c r="B14" s="1026">
        <f ca="1">IF(C14&lt;B2,"已过期",1120040230)</f>
        <v>1120040230</v>
      </c>
      <c r="C14" s="2712">
        <v>44864</v>
      </c>
      <c r="D14" s="1806" t="str">
        <f t="shared" ca="1" si="0"/>
        <v>苏海（注册号：1120040230）</v>
      </c>
      <c r="E14" s="2713" t="s">
        <v>2807</v>
      </c>
      <c r="F14" s="1026">
        <f ca="1">IF(G14&lt;B2,"已过期",98030020)</f>
        <v>98030020</v>
      </c>
      <c r="G14" s="1034">
        <v>47118</v>
      </c>
      <c r="H14" s="1807" t="str">
        <f t="shared" ca="1" si="1"/>
        <v>苏海（注册号：98030020）</v>
      </c>
    </row>
    <row r="15" spans="1:8" ht="24" customHeight="1">
      <c r="A15" s="1808"/>
      <c r="B15" s="1026"/>
      <c r="C15" s="2712"/>
      <c r="D15" s="1806" t="str">
        <f t="shared" si="0"/>
        <v>（注册号：）</v>
      </c>
      <c r="E15" s="1808"/>
      <c r="F15" s="1026"/>
      <c r="G15" s="1027"/>
      <c r="H15" s="1807" t="str">
        <f t="shared" si="1"/>
        <v>（注册号：）</v>
      </c>
    </row>
    <row r="16" spans="1:8" s="1028" customFormat="1" ht="24" customHeight="1">
      <c r="A16" s="1804"/>
      <c r="B16" s="1026"/>
      <c r="C16" s="1805"/>
      <c r="D16" s="1806" t="str">
        <f t="shared" si="0"/>
        <v>（注册号：）</v>
      </c>
      <c r="E16" s="1804"/>
      <c r="F16" s="1026"/>
      <c r="G16" s="1034"/>
      <c r="H16" s="1807" t="str">
        <f t="shared" si="1"/>
        <v>（注册号：）</v>
      </c>
    </row>
    <row r="17" spans="1:8" ht="24" customHeight="1">
      <c r="A17" s="1804"/>
      <c r="B17" s="1026"/>
      <c r="C17" s="1805"/>
      <c r="D17" s="1806"/>
      <c r="E17" s="2713"/>
      <c r="F17" s="1026"/>
      <c r="G17" s="1034"/>
      <c r="H17" s="1807" t="str">
        <f t="shared" si="1"/>
        <v>（注册号：）</v>
      </c>
    </row>
    <row r="18" spans="1:8" ht="24" customHeight="1">
      <c r="A18" s="1804" t="s">
        <v>2822</v>
      </c>
      <c r="B18" s="1026">
        <v>1120190079</v>
      </c>
      <c r="C18" s="1805">
        <v>44826</v>
      </c>
      <c r="D18" s="1806" t="str">
        <f t="shared" si="0"/>
        <v>赵璠（注册号：1120190079）</v>
      </c>
      <c r="E18" s="1804"/>
      <c r="F18" s="1026"/>
      <c r="G18" s="1034"/>
      <c r="H18" s="1807"/>
    </row>
    <row r="19" spans="1:8" ht="24" customHeight="1">
      <c r="A19" s="1804"/>
      <c r="B19" s="1026"/>
      <c r="C19" s="1805"/>
      <c r="D19" s="1806"/>
      <c r="E19" s="1804"/>
      <c r="F19" s="1026"/>
      <c r="G19" s="1026"/>
      <c r="H19" s="1807"/>
    </row>
    <row r="20" spans="1:8" ht="24" customHeight="1">
      <c r="A20" s="1804"/>
      <c r="B20" s="1026"/>
      <c r="C20" s="1805"/>
      <c r="D20" s="1806"/>
      <c r="E20" s="1804"/>
      <c r="F20" s="1026"/>
      <c r="G20" s="1026"/>
      <c r="H20" s="1807"/>
    </row>
    <row r="21" spans="1:8" ht="24" customHeight="1">
      <c r="A21" s="1804"/>
      <c r="B21" s="1026"/>
      <c r="C21" s="1805"/>
      <c r="D21" s="1806" t="str">
        <f t="shared" si="0"/>
        <v>（注册号：）</v>
      </c>
      <c r="E21" s="1804" t="s">
        <v>762</v>
      </c>
      <c r="F21" s="1026">
        <f ca="1">IF(G21&lt;B2,"已过期",2011110090)</f>
        <v>2011110090</v>
      </c>
      <c r="G21" s="1034">
        <v>48302</v>
      </c>
      <c r="H21" s="1807" t="str">
        <f t="shared" ca="1" si="1"/>
        <v>赵雯（注册号：2011110090）</v>
      </c>
    </row>
    <row r="22" spans="1:8" ht="24" customHeight="1">
      <c r="A22" s="1804" t="s">
        <v>763</v>
      </c>
      <c r="B22" s="1026">
        <f ca="1">IF(C22&lt;B2,"已过期",1120020033)</f>
        <v>1120020033</v>
      </c>
      <c r="C22" s="1805">
        <v>44339</v>
      </c>
      <c r="D22" s="1806" t="str">
        <f t="shared" ca="1" si="0"/>
        <v>刘敬东（注册号：1120020033）</v>
      </c>
      <c r="E22" s="1804" t="s">
        <v>763</v>
      </c>
      <c r="F22" s="1026">
        <f ca="1">IF(G22&lt;B2,"已过期",2000110137)</f>
        <v>2000110137</v>
      </c>
      <c r="G22" s="1034">
        <v>46387</v>
      </c>
      <c r="H22" s="1807" t="str">
        <f t="shared" ca="1" si="1"/>
        <v>刘敬东（注册号：2000110137）</v>
      </c>
    </row>
    <row r="23" spans="1:8" ht="24" customHeight="1">
      <c r="A23" s="1804" t="s">
        <v>2824</v>
      </c>
      <c r="B23" s="1026">
        <v>1119980106</v>
      </c>
      <c r="C23" s="2712">
        <v>44969</v>
      </c>
      <c r="D23" s="1806" t="str">
        <f t="shared" si="0"/>
        <v>刘俊财（注册号：1119980106）</v>
      </c>
      <c r="E23" s="1804"/>
      <c r="F23" s="1026"/>
      <c r="G23" s="1026"/>
      <c r="H23" s="1807" t="str">
        <f t="shared" si="1"/>
        <v>（注册号：）</v>
      </c>
    </row>
    <row r="24" spans="1:8" s="1028" customFormat="1" ht="24" customHeight="1">
      <c r="A24" s="1026" t="s">
        <v>761</v>
      </c>
      <c r="B24" s="1026" t="s">
        <v>761</v>
      </c>
      <c r="C24" s="1026" t="s">
        <v>761</v>
      </c>
      <c r="D24" s="1806" t="str">
        <f>A24&amp;"（注册号："&amp;B24&amp;"）"</f>
        <v>——（注册号：——）</v>
      </c>
      <c r="E24" s="1026" t="s">
        <v>761</v>
      </c>
      <c r="F24" s="1026" t="s">
        <v>761</v>
      </c>
      <c r="G24" s="1026" t="s">
        <v>761</v>
      </c>
      <c r="H24" s="1807" t="str">
        <f t="shared" si="1"/>
        <v>——（注册号：——）</v>
      </c>
    </row>
    <row r="25" spans="1:8" ht="24" customHeight="1">
      <c r="A25" s="2823" t="s">
        <v>764</v>
      </c>
      <c r="B25" s="2823"/>
      <c r="C25" s="2823"/>
      <c r="D25" s="2823"/>
      <c r="E25" s="2823"/>
      <c r="F25" s="2823"/>
      <c r="G25" s="2823"/>
      <c r="H25" s="2823"/>
    </row>
    <row r="26" spans="1:8" s="1029" customFormat="1" ht="24" customHeight="1">
      <c r="A26" s="2824" t="s">
        <v>765</v>
      </c>
      <c r="B26" s="2824"/>
      <c r="C26" s="2824"/>
      <c r="D26" s="1057"/>
      <c r="E26" s="1057"/>
      <c r="F26" s="2824" t="s">
        <v>766</v>
      </c>
      <c r="G26" s="2824"/>
      <c r="H26" s="2824"/>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2823</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73" priority="96">
      <formula>AND($C24-TODAY()&lt;30,TODAY()&lt;$C24)</formula>
    </cfRule>
  </conditionalFormatting>
  <conditionalFormatting sqref="C28:E28">
    <cfRule type="expression" dxfId="272" priority="95">
      <formula>AND($C28-TODAY()&lt;30,TODAY()&lt;$C28)</formula>
    </cfRule>
  </conditionalFormatting>
  <conditionalFormatting sqref="C28:E28 G4">
    <cfRule type="cellIs" dxfId="271" priority="97" stopIfTrue="1" operator="lessThan">
      <formula>$B$2</formula>
    </cfRule>
  </conditionalFormatting>
  <conditionalFormatting sqref="D5">
    <cfRule type="expression" dxfId="270" priority="92">
      <formula>AND($C5-TODAY()&lt;30,TODAY()&lt;$C5)</formula>
    </cfRule>
  </conditionalFormatting>
  <conditionalFormatting sqref="D5 G5">
    <cfRule type="cellIs" dxfId="269" priority="93" stopIfTrue="1" operator="lessThan">
      <formula>$B$2</formula>
    </cfRule>
  </conditionalFormatting>
  <conditionalFormatting sqref="G6 G8 G10">
    <cfRule type="cellIs" dxfId="268" priority="91" stopIfTrue="1" operator="lessThan">
      <formula>$B$2</formula>
    </cfRule>
  </conditionalFormatting>
  <conditionalFormatting sqref="C7:D7 D4:D6 C12:D12 D13:D15 D8:D11 C16:D22 D23:D24">
    <cfRule type="expression" dxfId="267" priority="89">
      <formula>AND($C4-TODAY()&lt;30,TODAY()&lt;$C4)</formula>
    </cfRule>
  </conditionalFormatting>
  <conditionalFormatting sqref="G7 G9 G11 C7:D7 D4:D6 C12:D12 D13:D15 D8:D11 C16:D22 D23:D24">
    <cfRule type="cellIs" dxfId="266" priority="90" stopIfTrue="1" operator="lessThan">
      <formula>$B$2</formula>
    </cfRule>
  </conditionalFormatting>
  <conditionalFormatting sqref="C12:D12">
    <cfRule type="expression" dxfId="265" priority="87">
      <formula>AND($C12-TODAY()&lt;30,TODAY()&lt;$C12)</formula>
    </cfRule>
  </conditionalFormatting>
  <conditionalFormatting sqref="C12:D12">
    <cfRule type="cellIs" dxfId="264" priority="88" stopIfTrue="1" operator="lessThan">
      <formula>$B$2</formula>
    </cfRule>
  </conditionalFormatting>
  <conditionalFormatting sqref="D14">
    <cfRule type="expression" dxfId="263" priority="83">
      <formula>AND($C14-TODAY()&lt;30,TODAY()&lt;$C14)</formula>
    </cfRule>
  </conditionalFormatting>
  <conditionalFormatting sqref="D14">
    <cfRule type="cellIs" dxfId="262" priority="84" stopIfTrue="1" operator="lessThan">
      <formula>$B$2</formula>
    </cfRule>
  </conditionalFormatting>
  <conditionalFormatting sqref="C16:D16">
    <cfRule type="expression" dxfId="261" priority="81">
      <formula>AND($C16-TODAY()&lt;30,TODAY()&lt;$C16)</formula>
    </cfRule>
  </conditionalFormatting>
  <conditionalFormatting sqref="C16:D16">
    <cfRule type="cellIs" dxfId="260" priority="82" stopIfTrue="1" operator="lessThan">
      <formula>$B$2</formula>
    </cfRule>
  </conditionalFormatting>
  <conditionalFormatting sqref="C18:D18">
    <cfRule type="expression" dxfId="259" priority="79">
      <formula>AND($C18-TODAY()&lt;30,TODAY()&lt;$C18)</formula>
    </cfRule>
  </conditionalFormatting>
  <conditionalFormatting sqref="C18:D18">
    <cfRule type="cellIs" dxfId="258" priority="80" stopIfTrue="1" operator="lessThan">
      <formula>$B$2</formula>
    </cfRule>
  </conditionalFormatting>
  <conditionalFormatting sqref="C20:D20">
    <cfRule type="expression" dxfId="257" priority="77">
      <formula>AND($C20-TODAY()&lt;30,TODAY()&lt;$C20)</formula>
    </cfRule>
  </conditionalFormatting>
  <conditionalFormatting sqref="C20:D20">
    <cfRule type="cellIs" dxfId="256" priority="78" stopIfTrue="1" operator="lessThan">
      <formula>$B$2</formula>
    </cfRule>
  </conditionalFormatting>
  <conditionalFormatting sqref="C22:D22">
    <cfRule type="expression" dxfId="255" priority="75">
      <formula>AND($C22-TODAY()&lt;30,TODAY()&lt;$C22)</formula>
    </cfRule>
  </conditionalFormatting>
  <conditionalFormatting sqref="C22:D22">
    <cfRule type="cellIs" dxfId="254" priority="76" stopIfTrue="1" operator="lessThan">
      <formula>$B$2</formula>
    </cfRule>
  </conditionalFormatting>
  <conditionalFormatting sqref="D15">
    <cfRule type="expression" dxfId="253" priority="73">
      <formula>AND($C15-TODAY()&lt;30,TODAY()&lt;$C15)</formula>
    </cfRule>
  </conditionalFormatting>
  <conditionalFormatting sqref="D15">
    <cfRule type="cellIs" dxfId="252" priority="74" stopIfTrue="1" operator="lessThan">
      <formula>$B$2</formula>
    </cfRule>
  </conditionalFormatting>
  <conditionalFormatting sqref="C17:D17">
    <cfRule type="expression" dxfId="251" priority="71">
      <formula>AND($C17-TODAY()&lt;30,TODAY()&lt;$C17)</formula>
    </cfRule>
  </conditionalFormatting>
  <conditionalFormatting sqref="C17:D17">
    <cfRule type="cellIs" dxfId="250" priority="72" stopIfTrue="1" operator="lessThan">
      <formula>$B$2</formula>
    </cfRule>
  </conditionalFormatting>
  <conditionalFormatting sqref="C19:D19">
    <cfRule type="expression" dxfId="249" priority="69">
      <formula>AND($C19-TODAY()&lt;30,TODAY()&lt;$C19)</formula>
    </cfRule>
  </conditionalFormatting>
  <conditionalFormatting sqref="C19:D19">
    <cfRule type="cellIs" dxfId="248" priority="70" stopIfTrue="1" operator="lessThan">
      <formula>$B$2</formula>
    </cfRule>
  </conditionalFormatting>
  <conditionalFormatting sqref="C21:D21">
    <cfRule type="expression" dxfId="247" priority="67">
      <formula>AND($C21-TODAY()&lt;30,TODAY()&lt;$C21)</formula>
    </cfRule>
  </conditionalFormatting>
  <conditionalFormatting sqref="C21:D21">
    <cfRule type="cellIs" dxfId="246" priority="68" stopIfTrue="1" operator="lessThan">
      <formula>$B$2</formula>
    </cfRule>
  </conditionalFormatting>
  <conditionalFormatting sqref="D23">
    <cfRule type="expression" dxfId="245" priority="65">
      <formula>AND($C23-TODAY()&lt;30,TODAY()&lt;$C23)</formula>
    </cfRule>
  </conditionalFormatting>
  <conditionalFormatting sqref="D23">
    <cfRule type="cellIs" dxfId="244" priority="66" stopIfTrue="1" operator="lessThan">
      <formula>$B$2</formula>
    </cfRule>
  </conditionalFormatting>
  <conditionalFormatting sqref="G16">
    <cfRule type="cellIs" dxfId="243" priority="63" stopIfTrue="1" operator="lessThan">
      <formula>$B$2</formula>
    </cfRule>
  </conditionalFormatting>
  <conditionalFormatting sqref="G18">
    <cfRule type="cellIs" dxfId="242" priority="62" stopIfTrue="1" operator="lessThan">
      <formula>$B$2</formula>
    </cfRule>
  </conditionalFormatting>
  <conditionalFormatting sqref="G22">
    <cfRule type="cellIs" dxfId="241" priority="61" stopIfTrue="1" operator="lessThan">
      <formula>$B$2</formula>
    </cfRule>
  </conditionalFormatting>
  <conditionalFormatting sqref="G21">
    <cfRule type="cellIs" dxfId="240" priority="60" stopIfTrue="1" operator="lessThan">
      <formula>$B$2</formula>
    </cfRule>
  </conditionalFormatting>
  <conditionalFormatting sqref="B4:B13 F4:F13 B16:B22 F16 F18:F23">
    <cfRule type="cellIs" dxfId="239" priority="58" stopIfTrue="1" operator="equal">
      <formula>"已过期"</formula>
    </cfRule>
  </conditionalFormatting>
  <conditionalFormatting sqref="H28">
    <cfRule type="expression" dxfId="238" priority="56">
      <formula>AND($F28-TODAY()&lt;30,TODAY()&lt;$F28)</formula>
    </cfRule>
  </conditionalFormatting>
  <conditionalFormatting sqref="H28">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cfRule type="cellIs" dxfId="235" priority="53" stopIfTrue="1" operator="lessThan">
      <formula>$B$2</formula>
    </cfRule>
  </conditionalFormatting>
  <conditionalFormatting sqref="C4:C6">
    <cfRule type="expression" dxfId="234" priority="50">
      <formula>AND($C4-TODAY()&lt;30,TODAY()&lt;$C4)</formula>
    </cfRule>
  </conditionalFormatting>
  <conditionalFormatting sqref="C4:C6">
    <cfRule type="cellIs" dxfId="233" priority="51" stopIfTrue="1" operator="lessThan">
      <formula>$B$2</formula>
    </cfRule>
  </conditionalFormatting>
  <conditionalFormatting sqref="C8">
    <cfRule type="expression" dxfId="232" priority="48">
      <formula>AND($C8-TODAY()&lt;30,TODAY()&lt;$C8)</formula>
    </cfRule>
  </conditionalFormatting>
  <conditionalFormatting sqref="C8">
    <cfRule type="cellIs" dxfId="231" priority="49" stopIfTrue="1" operator="lessThan">
      <formula>$B$2</formula>
    </cfRule>
  </conditionalFormatting>
  <conditionalFormatting sqref="C9">
    <cfRule type="expression" dxfId="230" priority="46">
      <formula>AND($C9-TODAY()&lt;30,TODAY()&lt;$C9)</formula>
    </cfRule>
  </conditionalFormatting>
  <conditionalFormatting sqref="C9">
    <cfRule type="cellIs" dxfId="229" priority="47" stopIfTrue="1" operator="lessThan">
      <formula>$B$2</formula>
    </cfRule>
  </conditionalFormatting>
  <conditionalFormatting sqref="C13">
    <cfRule type="expression" dxfId="228" priority="44">
      <formula>AND($C13-TODAY()&lt;30,TODAY()&lt;$C13)</formula>
    </cfRule>
  </conditionalFormatting>
  <conditionalFormatting sqref="C13">
    <cfRule type="cellIs" dxfId="227" priority="45" stopIfTrue="1" operator="lessThan">
      <formula>$B$2</formula>
    </cfRule>
  </conditionalFormatting>
  <conditionalFormatting sqref="F15">
    <cfRule type="cellIs" dxfId="226" priority="36" stopIfTrue="1" operator="equal">
      <formula>"已过期"</formula>
    </cfRule>
  </conditionalFormatting>
  <conditionalFormatting sqref="E15">
    <cfRule type="cellIs" dxfId="225" priority="35" stopIfTrue="1" operator="equal">
      <formula>"已过期"</formula>
    </cfRule>
  </conditionalFormatting>
  <conditionalFormatting sqref="A24:C24">
    <cfRule type="cellIs" dxfId="224" priority="34" stopIfTrue="1" operator="equal">
      <formula>"已过期"</formula>
    </cfRule>
  </conditionalFormatting>
  <conditionalFormatting sqref="E24:G24">
    <cfRule type="cellIs" dxfId="223" priority="33" stopIfTrue="1" operator="equal">
      <formula>"已过期"</formula>
    </cfRule>
  </conditionalFormatting>
  <conditionalFormatting sqref="G13">
    <cfRule type="cellIs" dxfId="222" priority="32" stopIfTrue="1" operator="lessThan">
      <formula>$B$2</formula>
    </cfRule>
  </conditionalFormatting>
  <conditionalFormatting sqref="G12">
    <cfRule type="cellIs" dxfId="221" priority="31" stopIfTrue="1" operator="lessThan">
      <formula>$B$2</formula>
    </cfRule>
  </conditionalFormatting>
  <conditionalFormatting sqref="G17">
    <cfRule type="cellIs" dxfId="220" priority="25" stopIfTrue="1" operator="lessThan">
      <formula>$B$2</formula>
    </cfRule>
  </conditionalFormatting>
  <conditionalFormatting sqref="F17">
    <cfRule type="cellIs" dxfId="219" priority="24" stopIfTrue="1" operator="equal">
      <formula>"已过期"</formula>
    </cfRule>
  </conditionalFormatting>
  <conditionalFormatting sqref="F14">
    <cfRule type="cellIs" dxfId="218" priority="23" stopIfTrue="1" operator="equal">
      <formula>"已过期"</formula>
    </cfRule>
  </conditionalFormatting>
  <conditionalFormatting sqref="G14">
    <cfRule type="cellIs" dxfId="217" priority="22" stopIfTrue="1" operator="lessThan">
      <formula>$B$2</formula>
    </cfRule>
  </conditionalFormatting>
  <conditionalFormatting sqref="C14:C15">
    <cfRule type="expression" dxfId="216" priority="20">
      <formula>AND($C14-TODAY()&lt;30,TODAY()&lt;$C14)</formula>
    </cfRule>
  </conditionalFormatting>
  <conditionalFormatting sqref="C14:C15">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5">
    <cfRule type="expression" dxfId="212" priority="16">
      <formula>AND($C15-TODAY()&lt;30,TODAY()&lt;$C15)</formula>
    </cfRule>
  </conditionalFormatting>
  <conditionalFormatting sqref="C15">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B15">
    <cfRule type="cellIs" dxfId="209" priority="14" stopIfTrue="1" operator="equal">
      <formula>"已过期"</formula>
    </cfRule>
  </conditionalFormatting>
  <conditionalFormatting sqref="A15">
    <cfRule type="cellIs" dxfId="208" priority="13" stopIfTrue="1" operator="equal">
      <formula>"已过期"</formula>
    </cfRule>
  </conditionalFormatting>
  <conditionalFormatting sqref="C15">
    <cfRule type="expression" dxfId="207" priority="12">
      <formula>AND($C15-TODAY()&lt;30,TODAY()&lt;$C15)</formula>
    </cfRule>
  </conditionalFormatting>
  <conditionalFormatting sqref="C10:C11">
    <cfRule type="expression" dxfId="206" priority="10">
      <formula>AND($C10-TODAY()&lt;30,TODAY()&lt;$C10)</formula>
    </cfRule>
  </conditionalFormatting>
  <conditionalFormatting sqref="C10:C11">
    <cfRule type="cellIs" dxfId="205" priority="11" stopIfTrue="1" operator="lessThan">
      <formula>$B$2</formula>
    </cfRule>
  </conditionalFormatting>
  <conditionalFormatting sqref="H29">
    <cfRule type="expression" dxfId="204" priority="8" stopIfTrue="1">
      <formula>AND($E29-TODAY()&lt;30,TODAY()&lt;$E29)</formula>
    </cfRule>
  </conditionalFormatting>
  <conditionalFormatting sqref="H29">
    <cfRule type="cellIs" dxfId="203" priority="9" stopIfTrue="1" operator="lessThan">
      <formula>$B$2</formula>
    </cfRule>
  </conditionalFormatting>
  <conditionalFormatting sqref="D18">
    <cfRule type="expression" dxfId="202" priority="6">
      <formula>AND($C18-TODAY()&lt;30,TODAY()&lt;$C18)</formula>
    </cfRule>
  </conditionalFormatting>
  <conditionalFormatting sqref="D18">
    <cfRule type="cellIs" dxfId="201" priority="7" stopIfTrue="1" operator="lessThan">
      <formula>$B$2</formula>
    </cfRule>
  </conditionalFormatting>
  <conditionalFormatting sqref="C23">
    <cfRule type="expression" dxfId="200" priority="4">
      <formula>AND($C23-TODAY()&lt;30,TODAY()&lt;$C23)</formula>
    </cfRule>
  </conditionalFormatting>
  <conditionalFormatting sqref="C23">
    <cfRule type="cellIs" dxfId="199" priority="5" stopIfTrue="1" operator="lessThan">
      <formula>$B$2</formula>
    </cfRule>
  </conditionalFormatting>
  <conditionalFormatting sqref="C23">
    <cfRule type="expression" dxfId="198" priority="2">
      <formula>AND($C23-TODAY()&lt;30,TODAY()&lt;$C23)</formula>
    </cfRule>
  </conditionalFormatting>
  <conditionalFormatting sqref="C23">
    <cfRule type="cellIs" dxfId="197" priority="3" stopIfTrue="1" operator="lessThan">
      <formula>$B$2</formula>
    </cfRule>
  </conditionalFormatting>
  <conditionalFormatting sqref="B23">
    <cfRule type="cellIs" dxfId="196"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8" t="s">
        <v>1394</v>
      </c>
      <c r="B1" s="4" t="s">
        <v>1395</v>
      </c>
      <c r="C1" s="1979" t="s">
        <v>1396</v>
      </c>
      <c r="D1" s="5" t="s">
        <v>1397</v>
      </c>
      <c r="E1" s="5" t="s">
        <v>1398</v>
      </c>
      <c r="F1" s="5" t="s">
        <v>1399</v>
      </c>
      <c r="G1" s="5" t="s">
        <v>1400</v>
      </c>
      <c r="H1" s="5" t="s">
        <v>1401</v>
      </c>
      <c r="I1" s="5" t="s">
        <v>1402</v>
      </c>
      <c r="J1" s="5" t="s">
        <v>1403</v>
      </c>
      <c r="K1" s="5" t="s">
        <v>1404</v>
      </c>
      <c r="L1" s="5" t="s">
        <v>1405</v>
      </c>
      <c r="M1" s="5" t="s">
        <v>1406</v>
      </c>
      <c r="N1" s="5" t="s">
        <v>1407</v>
      </c>
      <c r="O1" s="5" t="s">
        <v>1408</v>
      </c>
      <c r="P1" s="1980" t="s">
        <v>1409</v>
      </c>
      <c r="Q1" s="1980" t="s">
        <v>1410</v>
      </c>
      <c r="R1" s="1980" t="s">
        <v>1411</v>
      </c>
      <c r="S1" s="5" t="s">
        <v>1412</v>
      </c>
      <c r="T1" s="6" t="s">
        <v>1413</v>
      </c>
      <c r="U1" s="5" t="s">
        <v>1414</v>
      </c>
      <c r="V1" s="5" t="s">
        <v>1415</v>
      </c>
      <c r="W1" s="5" t="s">
        <v>1416</v>
      </c>
      <c r="X1" s="5" t="s">
        <v>1417</v>
      </c>
      <c r="Y1" s="5" t="s">
        <v>1418</v>
      </c>
    </row>
    <row r="2" spans="1:25" ht="14.4">
      <c r="A2" s="1981" t="s">
        <v>33</v>
      </c>
      <c r="B2" s="1981" t="s">
        <v>1419</v>
      </c>
      <c r="C2" s="1982"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81" t="s">
        <v>1432</v>
      </c>
      <c r="B3" s="1983"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81" t="s">
        <v>1445</v>
      </c>
      <c r="B4" s="1983" t="s">
        <v>1446</v>
      </c>
      <c r="C4" s="1982"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81" t="s">
        <v>1456</v>
      </c>
      <c r="B5" s="1981" t="s">
        <v>1457</v>
      </c>
      <c r="C5" s="1982"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4"/>
    </row>
    <row r="6" spans="1:25" ht="14.4">
      <c r="A6" s="1981" t="s">
        <v>1465</v>
      </c>
      <c r="B6" s="1981"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4"/>
    </row>
    <row r="7" spans="1:25" ht="14.4">
      <c r="A7" s="1981" t="s">
        <v>1473</v>
      </c>
      <c r="B7" s="1983" t="s">
        <v>1474</v>
      </c>
      <c r="C7" s="1982" t="s">
        <v>1475</v>
      </c>
      <c r="F7" s="7" t="s">
        <v>1476</v>
      </c>
      <c r="H7" s="7" t="s">
        <v>1477</v>
      </c>
      <c r="I7" s="7" t="s">
        <v>1478</v>
      </c>
      <c r="X7" s="1984"/>
    </row>
    <row r="8" spans="1:25" ht="14.4">
      <c r="A8" s="1981" t="s">
        <v>1479</v>
      </c>
      <c r="B8" s="1983" t="s">
        <v>1480</v>
      </c>
      <c r="C8" s="1982" t="s">
        <v>1481</v>
      </c>
      <c r="F8" s="7" t="s">
        <v>1482</v>
      </c>
      <c r="H8" s="7" t="s">
        <v>1483</v>
      </c>
      <c r="I8" s="7" t="s">
        <v>1484</v>
      </c>
      <c r="X8" s="1984"/>
    </row>
    <row r="9" spans="1:25" ht="14.4">
      <c r="A9" s="1981" t="s">
        <v>1485</v>
      </c>
      <c r="B9" s="1981" t="s">
        <v>1486</v>
      </c>
      <c r="C9" s="1982" t="s">
        <v>1487</v>
      </c>
      <c r="F9" s="7" t="s">
        <v>1488</v>
      </c>
      <c r="H9" s="7" t="s">
        <v>1489</v>
      </c>
    </row>
    <row r="10" spans="1:25" ht="14.4">
      <c r="A10" s="1981" t="s">
        <v>1490</v>
      </c>
      <c r="B10" s="1981" t="s">
        <v>1491</v>
      </c>
      <c r="C10" s="1982" t="s">
        <v>1492</v>
      </c>
      <c r="F10" s="7" t="s">
        <v>13</v>
      </c>
    </row>
    <row r="11" spans="1:25" ht="14.4">
      <c r="A11" s="1981" t="s">
        <v>1493</v>
      </c>
      <c r="B11" s="1981" t="s">
        <v>1494</v>
      </c>
      <c r="C11" s="1982" t="s">
        <v>1495</v>
      </c>
    </row>
    <row r="12" spans="1:25" ht="14.4">
      <c r="A12" s="1981" t="s">
        <v>1496</v>
      </c>
      <c r="B12" s="1981" t="s">
        <v>1497</v>
      </c>
      <c r="C12" s="1982" t="s">
        <v>1498</v>
      </c>
    </row>
    <row r="13" spans="1:25" ht="14.4">
      <c r="A13" s="1981" t="s">
        <v>1499</v>
      </c>
      <c r="B13" s="1981" t="s">
        <v>1500</v>
      </c>
      <c r="C13" s="1982" t="s">
        <v>1501</v>
      </c>
    </row>
    <row r="14" spans="1:25" ht="14.4">
      <c r="A14" s="1981" t="s">
        <v>1502</v>
      </c>
      <c r="B14" s="1981" t="s">
        <v>1503</v>
      </c>
      <c r="C14" s="1982"/>
    </row>
    <row r="15" spans="1:25" ht="14.4">
      <c r="A15" s="1981" t="s">
        <v>1504</v>
      </c>
      <c r="B15" s="1981" t="s">
        <v>1505</v>
      </c>
      <c r="C15" s="1982"/>
    </row>
    <row r="16" spans="1:25" ht="14.4">
      <c r="A16" s="1981" t="s">
        <v>1506</v>
      </c>
      <c r="B16" s="1981" t="s">
        <v>1507</v>
      </c>
      <c r="C16" s="1982"/>
    </row>
    <row r="17" spans="1:3" ht="14.4">
      <c r="A17" s="1981" t="s">
        <v>1508</v>
      </c>
      <c r="B17" s="1981" t="s">
        <v>1509</v>
      </c>
      <c r="C17" s="1982"/>
    </row>
    <row r="18" spans="1:3" ht="14.4">
      <c r="A18" s="1981" t="s">
        <v>1510</v>
      </c>
      <c r="B18" s="1981" t="s">
        <v>1511</v>
      </c>
      <c r="C18" s="1982"/>
    </row>
    <row r="19" spans="1:3" ht="14.4">
      <c r="A19" s="1981" t="s">
        <v>1512</v>
      </c>
      <c r="B19" s="1981" t="s">
        <v>1513</v>
      </c>
      <c r="C19" s="1982"/>
    </row>
    <row r="20" spans="1:3" ht="14.4">
      <c r="A20" s="1981" t="s">
        <v>1514</v>
      </c>
      <c r="B20" s="1981" t="s">
        <v>740</v>
      </c>
      <c r="C20" s="1982"/>
    </row>
    <row r="21" spans="1:3" ht="14.4">
      <c r="A21" s="1981" t="s">
        <v>1515</v>
      </c>
      <c r="B21" s="1981" t="s">
        <v>740</v>
      </c>
      <c r="C21" s="1982"/>
    </row>
    <row r="22" spans="1:3" ht="14.4">
      <c r="A22" s="1981" t="s">
        <v>1516</v>
      </c>
      <c r="B22" s="1981" t="s">
        <v>740</v>
      </c>
      <c r="C22" s="1982"/>
    </row>
    <row r="23" spans="1:3" ht="14.4">
      <c r="A23" s="1981" t="s">
        <v>1517</v>
      </c>
      <c r="B23" s="1981" t="s">
        <v>740</v>
      </c>
      <c r="C23" s="1982"/>
    </row>
    <row r="24" spans="1:3" ht="14.4">
      <c r="A24" s="1981" t="s">
        <v>1518</v>
      </c>
      <c r="B24" s="1981" t="s">
        <v>740</v>
      </c>
      <c r="C24" s="1982"/>
    </row>
    <row r="25" spans="1:3" ht="14.4">
      <c r="A25" s="1981" t="s">
        <v>1519</v>
      </c>
      <c r="B25" s="1981" t="s">
        <v>740</v>
      </c>
      <c r="C25" s="1982"/>
    </row>
    <row r="26" spans="1:3" ht="14.4">
      <c r="A26" s="1981" t="s">
        <v>1520</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ht="14.4">
      <c r="A51" s="1985" t="s">
        <v>1521</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梅网通信科技有限公司拟使用北京市海淀区花园东路15号9层2901至2903、2905至2907共6套办公用房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7" t="s">
        <v>1522</v>
      </c>
    </row>
    <row r="52" spans="1:4" ht="14.4">
      <c r="A52" s="1985" t="s">
        <v>1523</v>
      </c>
      <c r="B52" s="1985" t="s">
        <v>1524</v>
      </c>
      <c r="C52" s="9" t="s">
        <v>1525</v>
      </c>
      <c r="D52" s="9" t="s">
        <v>1526</v>
      </c>
    </row>
    <row r="53" spans="1:4" ht="14.25" customHeight="1">
      <c r="A53" s="2825"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row>
    <row r="54" spans="1:4" ht="14.4">
      <c r="A54" s="2825"/>
      <c r="B54" s="9" t="s">
        <v>1529</v>
      </c>
      <c r="C54" s="9" t="s">
        <v>1530</v>
      </c>
    </row>
    <row r="55" spans="1:4" ht="14.4">
      <c r="A55" s="2825"/>
      <c r="B55" s="9" t="s">
        <v>1531</v>
      </c>
      <c r="C55" s="9" t="s">
        <v>1532</v>
      </c>
    </row>
    <row r="56" spans="1:4" ht="14.4">
      <c r="A56" s="2825"/>
      <c r="B56" s="9" t="s">
        <v>1533</v>
      </c>
      <c r="C56" s="9" t="s">
        <v>1534</v>
      </c>
    </row>
    <row r="57" spans="1:4" ht="14.4">
      <c r="A57" s="2825"/>
      <c r="B57" s="9" t="s">
        <v>1535</v>
      </c>
      <c r="C57" s="9" t="s">
        <v>1536</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结果表（2901）</vt:lpstr>
      <vt:lpstr>结果表 (2902)</vt:lpstr>
      <vt:lpstr>结果表 (2903)</vt:lpstr>
      <vt:lpstr>结果表 (2905)</vt:lpstr>
      <vt:lpstr>结果表 (2906)</vt:lpstr>
      <vt:lpstr>结果表 (2907)</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2019-07-15T08:24:43Z</cp:lastPrinted>
  <dcterms:created xsi:type="dcterms:W3CDTF">2015-07-13T07:17:23Z</dcterms:created>
  <dcterms:modified xsi:type="dcterms:W3CDTF">2020-04-07T08:32:39Z</dcterms:modified>
</cp:coreProperties>
</file>