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655" yWindow="12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state="hidden" r:id="rId19"/>
    <sheet name="土地比较法-住宅、综合" sheetId="39" state="hidden" r:id="rId20"/>
    <sheet name="基准地价修正" sheetId="43" r:id="rId21"/>
    <sheet name="成本法" sheetId="68" r:id="rId22"/>
    <sheet name="成本法 (元)" sheetId="69" state="hidden" r:id="rId23"/>
    <sheet name="假设开发法" sheetId="12" state="hidden" r:id="rId24"/>
    <sheet name="比较法-办公" sheetId="34" state="hidden" r:id="rId25"/>
    <sheet name="比较法-商业" sheetId="33" state="hidden" r:id="rId26"/>
    <sheet name="收益法" sheetId="15" r:id="rId27"/>
    <sheet name="收益法 (元)" sheetId="67" state="hidden" r:id="rId28"/>
    <sheet name="收益法（汇总）" sheetId="70" state="hidden" r:id="rId29"/>
    <sheet name="酒店收入计算" sheetId="66" state="hidden" r:id="rId30"/>
    <sheet name="比较法-住宅" sheetId="21"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租金" sheetId="78" r:id="rId46"/>
  </sheet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D33" i="43"/>
  <c r="AH5" i="71" l="1"/>
  <c r="AG5" i="71"/>
  <c r="AE5" i="71"/>
  <c r="AF5" i="71" s="1"/>
  <c r="AD5" i="71"/>
  <c r="Q5" i="71"/>
  <c r="Q6" i="71"/>
  <c r="P5" i="71"/>
  <c r="P6" i="71"/>
  <c r="AA5" i="71" s="1"/>
  <c r="O5" i="71"/>
  <c r="O6" i="71"/>
  <c r="N5" i="71"/>
  <c r="N6" i="71"/>
  <c r="A3" i="3"/>
  <c r="G19" i="6"/>
  <c r="I36" i="33"/>
  <c r="G36" i="33"/>
  <c r="E36" i="33"/>
  <c r="A120" i="79"/>
  <c r="E111" i="79"/>
  <c r="H111" i="79" s="1"/>
  <c r="D126" i="79" s="1"/>
  <c r="D127" i="79" s="1"/>
  <c r="E109" i="79"/>
  <c r="A124" i="79" s="1"/>
  <c r="E107" i="79"/>
  <c r="A122" i="79" s="1"/>
  <c r="H106" i="79"/>
  <c r="H105" i="79"/>
  <c r="H103" i="79" s="1"/>
  <c r="D120" i="79" s="1"/>
  <c r="H104" i="79"/>
  <c r="D101" i="79"/>
  <c r="C101" i="79"/>
  <c r="C91" i="79"/>
  <c r="E90" i="79"/>
  <c r="D89" i="79"/>
  <c r="C89" i="79"/>
  <c r="C87" i="79" s="1"/>
  <c r="H77" i="79"/>
  <c r="D77" i="79"/>
  <c r="C76" i="79"/>
  <c r="F59" i="79"/>
  <c r="E59" i="79"/>
  <c r="D59" i="79"/>
  <c r="F56" i="79"/>
  <c r="O54" i="79" s="1"/>
  <c r="O55" i="79"/>
  <c r="N55" i="79"/>
  <c r="M55" i="79"/>
  <c r="K55" i="79"/>
  <c r="J55" i="79"/>
  <c r="I55" i="79"/>
  <c r="F55" i="79" s="1"/>
  <c r="O53" i="79" s="1"/>
  <c r="N54" i="79"/>
  <c r="N53" i="79"/>
  <c r="K49" i="79"/>
  <c r="F48" i="79"/>
  <c r="O52" i="79"/>
  <c r="E48" i="79"/>
  <c r="N52" i="79"/>
  <c r="D48" i="79"/>
  <c r="M52" i="79"/>
  <c r="F33" i="79"/>
  <c r="D27" i="79"/>
  <c r="C25" i="79"/>
  <c r="C24" i="79"/>
  <c r="D17" i="79"/>
  <c r="C17" i="79"/>
  <c r="L4" i="79"/>
  <c r="K4" i="79"/>
  <c r="H1" i="79"/>
  <c r="C5" i="33"/>
  <c r="C36" i="33"/>
  <c r="N6" i="1"/>
  <c r="C13" i="3"/>
  <c r="C18" i="79"/>
  <c r="D18" i="79"/>
  <c r="H109" i="79"/>
  <c r="H112" i="79"/>
  <c r="I7" i="33"/>
  <c r="G7" i="33"/>
  <c r="D124" i="79"/>
  <c r="D125" i="79"/>
  <c r="H110" i="79"/>
  <c r="C37" i="34"/>
  <c r="I37" i="34" s="1"/>
  <c r="E46" i="39"/>
  <c r="R46" i="39" s="1"/>
  <c r="R47" i="39" s="1"/>
  <c r="R48" i="39" s="1"/>
  <c r="C48" i="39" s="1"/>
  <c r="BB22" i="3"/>
  <c r="BB13" i="3"/>
  <c r="I7" i="39"/>
  <c r="G7" i="39"/>
  <c r="E7" i="39"/>
  <c r="I46" i="39"/>
  <c r="G46" i="39"/>
  <c r="I38" i="39"/>
  <c r="G38" i="39"/>
  <c r="E38" i="39"/>
  <c r="I5" i="3"/>
  <c r="C38" i="39"/>
  <c r="I6" i="66"/>
  <c r="Y6" i="1"/>
  <c r="B29" i="1"/>
  <c r="C19" i="6"/>
  <c r="A6" i="1"/>
  <c r="D3" i="4"/>
  <c r="B2" i="1"/>
  <c r="M47" i="79" s="1"/>
  <c r="N7" i="71"/>
  <c r="X6" i="71" s="1"/>
  <c r="N8" i="71"/>
  <c r="N9" i="71"/>
  <c r="N10" i="71"/>
  <c r="N11" i="71"/>
  <c r="N12" i="71"/>
  <c r="N13" i="71"/>
  <c r="N14" i="71"/>
  <c r="N15" i="71"/>
  <c r="N16" i="71"/>
  <c r="N17" i="71"/>
  <c r="B18" i="71" s="1"/>
  <c r="B19" i="71" s="1"/>
  <c r="B20" i="71" s="1"/>
  <c r="N18" i="71"/>
  <c r="N19" i="71"/>
  <c r="N20" i="71"/>
  <c r="N21" i="71"/>
  <c r="N22" i="71"/>
  <c r="N23" i="71"/>
  <c r="AH6" i="71"/>
  <c r="AG6" i="71"/>
  <c r="AE6" i="71"/>
  <c r="AF6" i="71" s="1"/>
  <c r="AD6" i="71"/>
  <c r="Q7" i="71"/>
  <c r="AB5" i="71" s="1"/>
  <c r="Q8" i="71"/>
  <c r="Q9" i="71"/>
  <c r="Q10" i="71"/>
  <c r="Q11" i="71"/>
  <c r="Q12" i="71"/>
  <c r="Q13" i="71"/>
  <c r="Q14" i="71"/>
  <c r="Q15" i="71"/>
  <c r="Q16" i="71"/>
  <c r="Q17" i="71"/>
  <c r="Q18" i="71"/>
  <c r="Q19" i="71"/>
  <c r="Q20" i="71"/>
  <c r="Q21" i="71"/>
  <c r="Q22" i="71"/>
  <c r="Q23" i="71"/>
  <c r="AB6" i="71"/>
  <c r="P7" i="71"/>
  <c r="P8" i="71"/>
  <c r="P9" i="71"/>
  <c r="AA6" i="71" s="1"/>
  <c r="P10" i="71"/>
  <c r="P11" i="71"/>
  <c r="P12" i="71"/>
  <c r="P13" i="71"/>
  <c r="E14" i="71" s="1"/>
  <c r="E15" i="71" s="1"/>
  <c r="E16" i="71" s="1"/>
  <c r="P14" i="71"/>
  <c r="P15" i="71"/>
  <c r="P16" i="71"/>
  <c r="P17" i="71"/>
  <c r="E18" i="71"/>
  <c r="E19" i="71" s="1"/>
  <c r="E20" i="71" s="1"/>
  <c r="P18" i="71"/>
  <c r="P19" i="71"/>
  <c r="P20" i="71"/>
  <c r="P21" i="71"/>
  <c r="E22" i="71" s="1"/>
  <c r="E23" i="71" s="1"/>
  <c r="E24" i="71" s="1"/>
  <c r="P22" i="71"/>
  <c r="P23" i="71"/>
  <c r="O7" i="71"/>
  <c r="Y5" i="71" s="1"/>
  <c r="Z5" i="71" s="1"/>
  <c r="O8" i="71"/>
  <c r="O9" i="71"/>
  <c r="O10" i="71"/>
  <c r="O11" i="71"/>
  <c r="O12" i="71"/>
  <c r="C12" i="71"/>
  <c r="O13" i="71"/>
  <c r="O14" i="71"/>
  <c r="O15" i="71"/>
  <c r="O16" i="71"/>
  <c r="O17" i="71"/>
  <c r="O18" i="71"/>
  <c r="O19" i="71"/>
  <c r="O20" i="71"/>
  <c r="O21" i="71"/>
  <c r="O22" i="71"/>
  <c r="O23" i="71"/>
  <c r="Y6" i="71"/>
  <c r="Z6" i="71" s="1"/>
  <c r="F8" i="71"/>
  <c r="F7" i="71" s="1"/>
  <c r="F6" i="71" s="1"/>
  <c r="F5" i="71" s="1"/>
  <c r="E8" i="71"/>
  <c r="E7" i="71" s="1"/>
  <c r="E6" i="71" s="1"/>
  <c r="E5" i="71" s="1"/>
  <c r="C8" i="71"/>
  <c r="C7" i="71" s="1"/>
  <c r="C6" i="71" s="1"/>
  <c r="C5" i="71" s="1"/>
  <c r="D5" i="71" s="1"/>
  <c r="B8" i="71"/>
  <c r="B7" i="71" s="1"/>
  <c r="B6" i="71" s="1"/>
  <c r="B5" i="71" s="1"/>
  <c r="D8" i="71"/>
  <c r="D9" i="71"/>
  <c r="B12" i="71"/>
  <c r="B11" i="71" s="1"/>
  <c r="B10" i="71" s="1"/>
  <c r="E12" i="71"/>
  <c r="E11" i="71"/>
  <c r="E10" i="71" s="1"/>
  <c r="F12" i="71"/>
  <c r="F11" i="71" s="1"/>
  <c r="F10" i="71" s="1"/>
  <c r="D13" i="71"/>
  <c r="B14" i="71"/>
  <c r="B15" i="71" s="1"/>
  <c r="B16" i="71" s="1"/>
  <c r="C14" i="71"/>
  <c r="D14" i="71"/>
  <c r="F14" i="71"/>
  <c r="F15" i="71"/>
  <c r="F16" i="71" s="1"/>
  <c r="C15" i="71"/>
  <c r="D15" i="71" s="1"/>
  <c r="D17" i="71"/>
  <c r="C18" i="71"/>
  <c r="D18" i="71" s="1"/>
  <c r="F18" i="71"/>
  <c r="F19" i="71" s="1"/>
  <c r="F20" i="71" s="1"/>
  <c r="D21" i="71"/>
  <c r="B22" i="71"/>
  <c r="B23" i="71" s="1"/>
  <c r="B24" i="71" s="1"/>
  <c r="C22" i="71"/>
  <c r="D22" i="71"/>
  <c r="F22" i="71"/>
  <c r="F23" i="71"/>
  <c r="F24" i="71" s="1"/>
  <c r="C23" i="71"/>
  <c r="D23" i="71" s="1"/>
  <c r="M19" i="43"/>
  <c r="G2" i="43"/>
  <c r="G17" i="43"/>
  <c r="I17" i="43"/>
  <c r="C17" i="43"/>
  <c r="J20" i="43"/>
  <c r="I20" i="43"/>
  <c r="F39" i="43"/>
  <c r="F38" i="43"/>
  <c r="F37" i="43"/>
  <c r="F36" i="43"/>
  <c r="F35" i="43"/>
  <c r="F34" i="43"/>
  <c r="M47" i="67"/>
  <c r="J53" i="67" s="1"/>
  <c r="M47" i="15"/>
  <c r="C18" i="43"/>
  <c r="AD5" i="3"/>
  <c r="AH5" i="3"/>
  <c r="AL5" i="3"/>
  <c r="AP5" i="3"/>
  <c r="F33" i="43"/>
  <c r="H33" i="43"/>
  <c r="D1" i="43"/>
  <c r="C10" i="43"/>
  <c r="C11" i="43" s="1"/>
  <c r="C9" i="43"/>
  <c r="C15" i="43"/>
  <c r="D15" i="43"/>
  <c r="C12" i="43" s="1"/>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H113" i="43"/>
  <c r="AH7" i="71"/>
  <c r="AG7" i="71"/>
  <c r="AE7" i="71"/>
  <c r="AF7" i="71"/>
  <c r="AD7" i="71"/>
  <c r="L3" i="71"/>
  <c r="K3" i="71"/>
  <c r="I3" i="71"/>
  <c r="J3" i="71"/>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M21" i="3"/>
  <c r="BN21" i="3"/>
  <c r="BO21" i="3"/>
  <c r="BP21" i="3"/>
  <c r="BQ21" i="3"/>
  <c r="BR21" i="3"/>
  <c r="BS21" i="3"/>
  <c r="BT21"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L145" i="3" s="1"/>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L147" i="3" s="1"/>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L169" i="3" s="1"/>
  <c r="BO169" i="3"/>
  <c r="BP169" i="3"/>
  <c r="BQ169" i="3"/>
  <c r="BR169" i="3"/>
  <c r="BS169" i="3"/>
  <c r="BT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BD177" i="3"/>
  <c r="BE177" i="3"/>
  <c r="BF177" i="3"/>
  <c r="BG177" i="3"/>
  <c r="BH177" i="3"/>
  <c r="BI177" i="3"/>
  <c r="BJ177" i="3"/>
  <c r="BK177" i="3"/>
  <c r="BM177" i="3"/>
  <c r="BN177" i="3"/>
  <c r="BL177" i="3" s="1"/>
  <c r="BO177" i="3"/>
  <c r="BP177" i="3"/>
  <c r="BQ177" i="3"/>
  <c r="BR177" i="3"/>
  <c r="BS177" i="3"/>
  <c r="BT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BD183" i="3"/>
  <c r="BE183" i="3"/>
  <c r="BF183" i="3"/>
  <c r="BG183" i="3"/>
  <c r="BH183" i="3"/>
  <c r="BI183" i="3"/>
  <c r="BJ183" i="3"/>
  <c r="BK183" i="3"/>
  <c r="BM183" i="3"/>
  <c r="BN183" i="3"/>
  <c r="BL183" i="3" s="1"/>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L185" i="3" s="1"/>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L195" i="3" s="1"/>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L197" i="3" s="1"/>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L203" i="3" s="1"/>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L219" i="3" s="1"/>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L369" i="3" s="1"/>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L378" i="3" s="1"/>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L380" i="3" s="1"/>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L400" i="3" s="1"/>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L402" i="3" s="1"/>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L406" i="3" s="1"/>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A457" i="3" s="1"/>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A459" i="3" s="1"/>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A461" i="3" s="1"/>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A463" i="3" s="1"/>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A465" i="3" s="1"/>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A467" i="3" s="1"/>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A469" i="3" s="1"/>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A471" i="3" s="1"/>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A473" i="3" s="1"/>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A475" i="3" s="1"/>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A477" i="3" s="1"/>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A479" i="3" s="1"/>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A483" i="3" s="1"/>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A487" i="3" s="1"/>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A491" i="3" s="1"/>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A499" i="3" s="1"/>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A503" i="3" s="1"/>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A507" i="3" s="1"/>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A515" i="3" s="1"/>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A519" i="3" s="1"/>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A523" i="3" s="1"/>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A531" i="3" s="1"/>
  <c r="BD531" i="3"/>
  <c r="BE531" i="3"/>
  <c r="BF531" i="3"/>
  <c r="BG531" i="3"/>
  <c r="BH531" i="3"/>
  <c r="BI531" i="3"/>
  <c r="BJ531" i="3"/>
  <c r="BK531" i="3"/>
  <c r="BM531" i="3"/>
  <c r="BN531" i="3"/>
  <c r="BO531" i="3"/>
  <c r="BP531" i="3"/>
  <c r="BQ531" i="3"/>
  <c r="BR531" i="3"/>
  <c r="BS531" i="3"/>
  <c r="BT531" i="3"/>
  <c r="BB532" i="3"/>
  <c r="BC532" i="3"/>
  <c r="BD532" i="3"/>
  <c r="BA532" i="3" s="1"/>
  <c r="AZ532" i="3" s="1"/>
  <c r="BE532" i="3"/>
  <c r="BF532" i="3"/>
  <c r="BG532" i="3"/>
  <c r="BH532" i="3"/>
  <c r="BI532" i="3"/>
  <c r="BJ532" i="3"/>
  <c r="BK532" i="3"/>
  <c r="BM532" i="3"/>
  <c r="BN532" i="3"/>
  <c r="BO532" i="3"/>
  <c r="BP532" i="3"/>
  <c r="BQ532" i="3"/>
  <c r="BR532" i="3"/>
  <c r="BS532" i="3"/>
  <c r="BT532" i="3"/>
  <c r="BL532" i="3"/>
  <c r="BB533" i="3"/>
  <c r="BC533" i="3"/>
  <c r="BA533" i="3" s="1"/>
  <c r="AZ533" i="3" s="1"/>
  <c r="BD533" i="3"/>
  <c r="BE533" i="3"/>
  <c r="BF533" i="3"/>
  <c r="BG533" i="3"/>
  <c r="BH533" i="3"/>
  <c r="BI533" i="3"/>
  <c r="BJ533" i="3"/>
  <c r="BK533" i="3"/>
  <c r="BM533" i="3"/>
  <c r="BN533" i="3"/>
  <c r="BO533" i="3"/>
  <c r="BL533" i="3" s="1"/>
  <c r="BP533" i="3"/>
  <c r="BQ533" i="3"/>
  <c r="BR533" i="3"/>
  <c r="BS533" i="3"/>
  <c r="BT533" i="3"/>
  <c r="BB534" i="3"/>
  <c r="BC534" i="3"/>
  <c r="BD534" i="3"/>
  <c r="BA534" i="3" s="1"/>
  <c r="AZ534" i="3" s="1"/>
  <c r="BE534" i="3"/>
  <c r="BF534" i="3"/>
  <c r="BG534" i="3"/>
  <c r="BH534" i="3"/>
  <c r="BI534" i="3"/>
  <c r="BJ534" i="3"/>
  <c r="BK534" i="3"/>
  <c r="BM534" i="3"/>
  <c r="BN534" i="3"/>
  <c r="BO534" i="3"/>
  <c r="BP534" i="3"/>
  <c r="BQ534" i="3"/>
  <c r="BR534" i="3"/>
  <c r="BS534" i="3"/>
  <c r="BT534" i="3"/>
  <c r="BL534" i="3"/>
  <c r="BB535" i="3"/>
  <c r="BC535" i="3"/>
  <c r="BA535" i="3" s="1"/>
  <c r="BD535" i="3"/>
  <c r="BE535" i="3"/>
  <c r="BF535" i="3"/>
  <c r="BG535" i="3"/>
  <c r="BH535" i="3"/>
  <c r="BI535" i="3"/>
  <c r="BJ535" i="3"/>
  <c r="BK535" i="3"/>
  <c r="BM535" i="3"/>
  <c r="BN535" i="3"/>
  <c r="BO535" i="3"/>
  <c r="BL535" i="3" s="1"/>
  <c r="BP535" i="3"/>
  <c r="BQ535" i="3"/>
  <c r="BR535" i="3"/>
  <c r="BS535" i="3"/>
  <c r="BT535" i="3"/>
  <c r="BB536" i="3"/>
  <c r="BC536" i="3"/>
  <c r="BD536" i="3"/>
  <c r="BA536" i="3" s="1"/>
  <c r="AZ536" i="3" s="1"/>
  <c r="BE536" i="3"/>
  <c r="BF536" i="3"/>
  <c r="BG536" i="3"/>
  <c r="BH536" i="3"/>
  <c r="BI536" i="3"/>
  <c r="BJ536" i="3"/>
  <c r="BK536" i="3"/>
  <c r="BM536" i="3"/>
  <c r="BN536" i="3"/>
  <c r="BO536" i="3"/>
  <c r="BP536" i="3"/>
  <c r="BQ536" i="3"/>
  <c r="BR536" i="3"/>
  <c r="BS536" i="3"/>
  <c r="BT536" i="3"/>
  <c r="BL536" i="3"/>
  <c r="BB537" i="3"/>
  <c r="BC537" i="3"/>
  <c r="BA537" i="3" s="1"/>
  <c r="BD537" i="3"/>
  <c r="BE537" i="3"/>
  <c r="BF537" i="3"/>
  <c r="BG537" i="3"/>
  <c r="BH537" i="3"/>
  <c r="BI537" i="3"/>
  <c r="BJ537" i="3"/>
  <c r="BK537" i="3"/>
  <c r="BM537" i="3"/>
  <c r="BN537" i="3"/>
  <c r="BO537" i="3"/>
  <c r="BL537" i="3" s="1"/>
  <c r="BP537" i="3"/>
  <c r="BQ537" i="3"/>
  <c r="BR537" i="3"/>
  <c r="BS537" i="3"/>
  <c r="BT537" i="3"/>
  <c r="BB538" i="3"/>
  <c r="BC538" i="3"/>
  <c r="BD538" i="3"/>
  <c r="BA538" i="3" s="1"/>
  <c r="AZ538" i="3" s="1"/>
  <c r="BE538" i="3"/>
  <c r="BF538" i="3"/>
  <c r="BG538" i="3"/>
  <c r="BH538" i="3"/>
  <c r="BI538" i="3"/>
  <c r="BJ538" i="3"/>
  <c r="BK538" i="3"/>
  <c r="BM538" i="3"/>
  <c r="BN538" i="3"/>
  <c r="BO538" i="3"/>
  <c r="BP538" i="3"/>
  <c r="BQ538" i="3"/>
  <c r="BR538" i="3"/>
  <c r="BS538" i="3"/>
  <c r="BT538" i="3"/>
  <c r="BL538" i="3"/>
  <c r="BB539" i="3"/>
  <c r="BC539" i="3"/>
  <c r="BA539" i="3" s="1"/>
  <c r="AZ539" i="3" s="1"/>
  <c r="BD539" i="3"/>
  <c r="BE539" i="3"/>
  <c r="BF539" i="3"/>
  <c r="BG539" i="3"/>
  <c r="BH539" i="3"/>
  <c r="BI539" i="3"/>
  <c r="BJ539" i="3"/>
  <c r="BK539" i="3"/>
  <c r="BM539" i="3"/>
  <c r="BN539" i="3"/>
  <c r="BO539" i="3"/>
  <c r="BL539" i="3" s="1"/>
  <c r="BP539" i="3"/>
  <c r="BQ539" i="3"/>
  <c r="BR539" i="3"/>
  <c r="BS539" i="3"/>
  <c r="BT539" i="3"/>
  <c r="BB540" i="3"/>
  <c r="BC540" i="3"/>
  <c r="BD540" i="3"/>
  <c r="BA540" i="3" s="1"/>
  <c r="AZ540" i="3" s="1"/>
  <c r="BE540" i="3"/>
  <c r="BF540" i="3"/>
  <c r="BG540" i="3"/>
  <c r="BH540" i="3"/>
  <c r="BI540" i="3"/>
  <c r="BJ540" i="3"/>
  <c r="BK540" i="3"/>
  <c r="BM540" i="3"/>
  <c r="BN540" i="3"/>
  <c r="BO540" i="3"/>
  <c r="BP540" i="3"/>
  <c r="BQ540" i="3"/>
  <c r="BR540" i="3"/>
  <c r="BS540" i="3"/>
  <c r="BT540" i="3"/>
  <c r="BL540" i="3"/>
  <c r="BB541" i="3"/>
  <c r="BC541" i="3"/>
  <c r="BA541" i="3" s="1"/>
  <c r="BD541" i="3"/>
  <c r="BE541" i="3"/>
  <c r="BF541" i="3"/>
  <c r="BG541" i="3"/>
  <c r="BH541" i="3"/>
  <c r="BI541" i="3"/>
  <c r="BJ541" i="3"/>
  <c r="BK541" i="3"/>
  <c r="BM541" i="3"/>
  <c r="BN541" i="3"/>
  <c r="BO541" i="3"/>
  <c r="BL541" i="3" s="1"/>
  <c r="BP541" i="3"/>
  <c r="BQ541" i="3"/>
  <c r="BR541" i="3"/>
  <c r="BS541" i="3"/>
  <c r="BT541" i="3"/>
  <c r="BB542" i="3"/>
  <c r="BC542" i="3"/>
  <c r="BD542" i="3"/>
  <c r="BA542" i="3" s="1"/>
  <c r="AZ542" i="3" s="1"/>
  <c r="BE542" i="3"/>
  <c r="BF542" i="3"/>
  <c r="BG542" i="3"/>
  <c r="BH542" i="3"/>
  <c r="BI542" i="3"/>
  <c r="BJ542" i="3"/>
  <c r="BK542" i="3"/>
  <c r="BM542" i="3"/>
  <c r="BN542" i="3"/>
  <c r="BO542" i="3"/>
  <c r="BP542" i="3"/>
  <c r="BQ542" i="3"/>
  <c r="BR542" i="3"/>
  <c r="BS542" i="3"/>
  <c r="BT542" i="3"/>
  <c r="BL542" i="3"/>
  <c r="BB543" i="3"/>
  <c r="BC543" i="3"/>
  <c r="BA543" i="3" s="1"/>
  <c r="AZ543" i="3" s="1"/>
  <c r="BD543" i="3"/>
  <c r="BE543" i="3"/>
  <c r="BF543" i="3"/>
  <c r="BG543" i="3"/>
  <c r="BH543" i="3"/>
  <c r="BI543" i="3"/>
  <c r="BJ543" i="3"/>
  <c r="BK543" i="3"/>
  <c r="BM543" i="3"/>
  <c r="BN543" i="3"/>
  <c r="BO543" i="3"/>
  <c r="BL543" i="3" s="1"/>
  <c r="BP543" i="3"/>
  <c r="BQ543" i="3"/>
  <c r="BR543" i="3"/>
  <c r="BS543" i="3"/>
  <c r="BT543" i="3"/>
  <c r="BB544" i="3"/>
  <c r="BC544" i="3"/>
  <c r="BD544" i="3"/>
  <c r="BA544" i="3" s="1"/>
  <c r="AZ544" i="3" s="1"/>
  <c r="BE544" i="3"/>
  <c r="BF544" i="3"/>
  <c r="BG544" i="3"/>
  <c r="BH544" i="3"/>
  <c r="BI544" i="3"/>
  <c r="BJ544" i="3"/>
  <c r="BK544" i="3"/>
  <c r="BM544" i="3"/>
  <c r="BN544" i="3"/>
  <c r="BO544" i="3"/>
  <c r="BP544" i="3"/>
  <c r="BQ544" i="3"/>
  <c r="BR544" i="3"/>
  <c r="BS544" i="3"/>
  <c r="BT544" i="3"/>
  <c r="BL544" i="3"/>
  <c r="BB545" i="3"/>
  <c r="BC545" i="3"/>
  <c r="BA545" i="3" s="1"/>
  <c r="BD545" i="3"/>
  <c r="BE545" i="3"/>
  <c r="BF545" i="3"/>
  <c r="BG545" i="3"/>
  <c r="BH545" i="3"/>
  <c r="BI545" i="3"/>
  <c r="BJ545" i="3"/>
  <c r="BK545" i="3"/>
  <c r="BM545" i="3"/>
  <c r="BN545" i="3"/>
  <c r="BO545" i="3"/>
  <c r="BL545" i="3" s="1"/>
  <c r="BP545" i="3"/>
  <c r="BQ545" i="3"/>
  <c r="BR545" i="3"/>
  <c r="BS545" i="3"/>
  <c r="BT545" i="3"/>
  <c r="BB546" i="3"/>
  <c r="BC546" i="3"/>
  <c r="BD546" i="3"/>
  <c r="BA546" i="3" s="1"/>
  <c r="AZ546" i="3" s="1"/>
  <c r="BE546" i="3"/>
  <c r="BF546" i="3"/>
  <c r="BG546" i="3"/>
  <c r="BH546" i="3"/>
  <c r="BI546" i="3"/>
  <c r="BJ546" i="3"/>
  <c r="BK546" i="3"/>
  <c r="BM546" i="3"/>
  <c r="BN546" i="3"/>
  <c r="BO546" i="3"/>
  <c r="BP546" i="3"/>
  <c r="BQ546" i="3"/>
  <c r="BR546" i="3"/>
  <c r="BS546" i="3"/>
  <c r="BT546" i="3"/>
  <c r="BL546" i="3"/>
  <c r="BB547" i="3"/>
  <c r="BC547" i="3"/>
  <c r="BA547" i="3" s="1"/>
  <c r="AZ547" i="3" s="1"/>
  <c r="BD547" i="3"/>
  <c r="BE547" i="3"/>
  <c r="BF547" i="3"/>
  <c r="BG547" i="3"/>
  <c r="BH547" i="3"/>
  <c r="BI547" i="3"/>
  <c r="BJ547" i="3"/>
  <c r="BK547" i="3"/>
  <c r="BM547" i="3"/>
  <c r="BN547" i="3"/>
  <c r="BO547" i="3"/>
  <c r="BL547" i="3" s="1"/>
  <c r="BP547" i="3"/>
  <c r="BQ547" i="3"/>
  <c r="BR547" i="3"/>
  <c r="BS547" i="3"/>
  <c r="BT547" i="3"/>
  <c r="BB548" i="3"/>
  <c r="BC548" i="3"/>
  <c r="BD548" i="3"/>
  <c r="BA548" i="3" s="1"/>
  <c r="AZ548" i="3" s="1"/>
  <c r="BE548" i="3"/>
  <c r="BF548" i="3"/>
  <c r="BG548" i="3"/>
  <c r="BH548" i="3"/>
  <c r="BI548" i="3"/>
  <c r="BJ548" i="3"/>
  <c r="BK548" i="3"/>
  <c r="BM548" i="3"/>
  <c r="BN548" i="3"/>
  <c r="BO548" i="3"/>
  <c r="BP548" i="3"/>
  <c r="BQ548" i="3"/>
  <c r="BR548" i="3"/>
  <c r="BS548" i="3"/>
  <c r="BT548" i="3"/>
  <c r="BL548" i="3"/>
  <c r="BB549" i="3"/>
  <c r="BC549" i="3"/>
  <c r="BA549" i="3" s="1"/>
  <c r="BD549" i="3"/>
  <c r="BE549" i="3"/>
  <c r="BF549" i="3"/>
  <c r="BG549" i="3"/>
  <c r="BH549" i="3"/>
  <c r="BI549" i="3"/>
  <c r="BJ549" i="3"/>
  <c r="BK549" i="3"/>
  <c r="BM549" i="3"/>
  <c r="BN549" i="3"/>
  <c r="BO549" i="3"/>
  <c r="BL549" i="3" s="1"/>
  <c r="BP549" i="3"/>
  <c r="BQ549" i="3"/>
  <c r="BR549" i="3"/>
  <c r="BS549" i="3"/>
  <c r="BT549" i="3"/>
  <c r="BB550" i="3"/>
  <c r="BC550" i="3"/>
  <c r="BD550" i="3"/>
  <c r="BA550" i="3" s="1"/>
  <c r="AZ550" i="3" s="1"/>
  <c r="BE550" i="3"/>
  <c r="BF550" i="3"/>
  <c r="BG550" i="3"/>
  <c r="BH550" i="3"/>
  <c r="BI550" i="3"/>
  <c r="BJ550" i="3"/>
  <c r="BK550" i="3"/>
  <c r="BM550" i="3"/>
  <c r="BN550" i="3"/>
  <c r="BO550" i="3"/>
  <c r="BP550" i="3"/>
  <c r="BQ550" i="3"/>
  <c r="BR550" i="3"/>
  <c r="BS550" i="3"/>
  <c r="BT550" i="3"/>
  <c r="BL550" i="3"/>
  <c r="BB551" i="3"/>
  <c r="BC551" i="3"/>
  <c r="BA551" i="3" s="1"/>
  <c r="AZ551" i="3" s="1"/>
  <c r="BD551" i="3"/>
  <c r="BE551" i="3"/>
  <c r="BF551" i="3"/>
  <c r="BG551" i="3"/>
  <c r="BH551" i="3"/>
  <c r="BI551" i="3"/>
  <c r="BJ551" i="3"/>
  <c r="BK551" i="3"/>
  <c r="BM551" i="3"/>
  <c r="BN551" i="3"/>
  <c r="BO551" i="3"/>
  <c r="BL551" i="3" s="1"/>
  <c r="BP551" i="3"/>
  <c r="BQ551" i="3"/>
  <c r="BR551" i="3"/>
  <c r="BS551" i="3"/>
  <c r="BT551" i="3"/>
  <c r="BB552" i="3"/>
  <c r="BC552" i="3"/>
  <c r="BD552" i="3"/>
  <c r="BA552" i="3" s="1"/>
  <c r="AZ552" i="3" s="1"/>
  <c r="BE552" i="3"/>
  <c r="BF552" i="3"/>
  <c r="BG552" i="3"/>
  <c r="BH552" i="3"/>
  <c r="BI552" i="3"/>
  <c r="BJ552" i="3"/>
  <c r="BK552" i="3"/>
  <c r="BM552" i="3"/>
  <c r="BN552" i="3"/>
  <c r="BO552" i="3"/>
  <c r="BP552" i="3"/>
  <c r="BQ552" i="3"/>
  <c r="BR552" i="3"/>
  <c r="BS552" i="3"/>
  <c r="BT552" i="3"/>
  <c r="BL552" i="3"/>
  <c r="BB553" i="3"/>
  <c r="BC553" i="3"/>
  <c r="BA553" i="3" s="1"/>
  <c r="BD553" i="3"/>
  <c r="BE553" i="3"/>
  <c r="BF553" i="3"/>
  <c r="BG553" i="3"/>
  <c r="BH553" i="3"/>
  <c r="BI553" i="3"/>
  <c r="BJ553" i="3"/>
  <c r="BK553" i="3"/>
  <c r="BM553" i="3"/>
  <c r="BN553" i="3"/>
  <c r="BO553" i="3"/>
  <c r="BL553" i="3" s="1"/>
  <c r="BP553" i="3"/>
  <c r="BQ553" i="3"/>
  <c r="BR553" i="3"/>
  <c r="BS553" i="3"/>
  <c r="BT553" i="3"/>
  <c r="BB554" i="3"/>
  <c r="BC554" i="3"/>
  <c r="BD554" i="3"/>
  <c r="BA554" i="3" s="1"/>
  <c r="AZ554" i="3" s="1"/>
  <c r="BE554" i="3"/>
  <c r="BF554" i="3"/>
  <c r="BG554" i="3"/>
  <c r="BH554" i="3"/>
  <c r="BI554" i="3"/>
  <c r="BJ554" i="3"/>
  <c r="BK554" i="3"/>
  <c r="BM554" i="3"/>
  <c r="BN554" i="3"/>
  <c r="BO554" i="3"/>
  <c r="BP554" i="3"/>
  <c r="BQ554" i="3"/>
  <c r="BR554" i="3"/>
  <c r="BS554" i="3"/>
  <c r="BT554" i="3"/>
  <c r="BL554" i="3"/>
  <c r="BB555" i="3"/>
  <c r="BC555" i="3"/>
  <c r="BA555" i="3" s="1"/>
  <c r="AZ555" i="3" s="1"/>
  <c r="BD555" i="3"/>
  <c r="BE555" i="3"/>
  <c r="BF555" i="3"/>
  <c r="BG555" i="3"/>
  <c r="BH555" i="3"/>
  <c r="BI555" i="3"/>
  <c r="BJ555" i="3"/>
  <c r="BK555" i="3"/>
  <c r="BM555" i="3"/>
  <c r="BN555" i="3"/>
  <c r="BO555" i="3"/>
  <c r="BL555" i="3" s="1"/>
  <c r="BP555" i="3"/>
  <c r="BQ555" i="3"/>
  <c r="BR555" i="3"/>
  <c r="BS555" i="3"/>
  <c r="BT555" i="3"/>
  <c r="BB556" i="3"/>
  <c r="BC556" i="3"/>
  <c r="BD556" i="3"/>
  <c r="BA556" i="3" s="1"/>
  <c r="AZ556" i="3" s="1"/>
  <c r="BE556" i="3"/>
  <c r="BF556" i="3"/>
  <c r="BG556" i="3"/>
  <c r="BH556" i="3"/>
  <c r="BI556" i="3"/>
  <c r="BJ556" i="3"/>
  <c r="BK556" i="3"/>
  <c r="BM556" i="3"/>
  <c r="BN556" i="3"/>
  <c r="BO556" i="3"/>
  <c r="BP556" i="3"/>
  <c r="BQ556" i="3"/>
  <c r="BR556" i="3"/>
  <c r="BS556" i="3"/>
  <c r="BT556" i="3"/>
  <c r="BL556" i="3"/>
  <c r="BB557" i="3"/>
  <c r="BC557" i="3"/>
  <c r="BA557" i="3" s="1"/>
  <c r="BD557" i="3"/>
  <c r="BE557" i="3"/>
  <c r="BF557" i="3"/>
  <c r="BG557" i="3"/>
  <c r="BH557" i="3"/>
  <c r="BI557" i="3"/>
  <c r="BJ557" i="3"/>
  <c r="BK557" i="3"/>
  <c r="BM557" i="3"/>
  <c r="BN557" i="3"/>
  <c r="BO557" i="3"/>
  <c r="BL557" i="3" s="1"/>
  <c r="BP557" i="3"/>
  <c r="BQ557" i="3"/>
  <c r="BR557" i="3"/>
  <c r="BS557" i="3"/>
  <c r="BT557" i="3"/>
  <c r="BB558" i="3"/>
  <c r="BC558" i="3"/>
  <c r="BD558" i="3"/>
  <c r="BA558" i="3" s="1"/>
  <c r="AZ558" i="3" s="1"/>
  <c r="BE558" i="3"/>
  <c r="BF558" i="3"/>
  <c r="BG558" i="3"/>
  <c r="BH558" i="3"/>
  <c r="BI558" i="3"/>
  <c r="BJ558" i="3"/>
  <c r="BK558" i="3"/>
  <c r="BM558" i="3"/>
  <c r="BN558" i="3"/>
  <c r="BO558" i="3"/>
  <c r="BP558" i="3"/>
  <c r="BQ558" i="3"/>
  <c r="BR558" i="3"/>
  <c r="BS558" i="3"/>
  <c r="BT558" i="3"/>
  <c r="BL558" i="3"/>
  <c r="BB559" i="3"/>
  <c r="BC559" i="3"/>
  <c r="BA559" i="3" s="1"/>
  <c r="AZ559" i="3" s="1"/>
  <c r="BD559" i="3"/>
  <c r="BE559" i="3"/>
  <c r="BF559" i="3"/>
  <c r="BG559" i="3"/>
  <c r="BH559" i="3"/>
  <c r="BI559" i="3"/>
  <c r="BJ559" i="3"/>
  <c r="BK559" i="3"/>
  <c r="BM559" i="3"/>
  <c r="BN559" i="3"/>
  <c r="BO559" i="3"/>
  <c r="BL559" i="3" s="1"/>
  <c r="BP559" i="3"/>
  <c r="BQ559" i="3"/>
  <c r="BR559" i="3"/>
  <c r="BS559" i="3"/>
  <c r="BT559" i="3"/>
  <c r="BB560" i="3"/>
  <c r="BC560" i="3"/>
  <c r="BD560" i="3"/>
  <c r="BA560" i="3" s="1"/>
  <c r="AZ560" i="3" s="1"/>
  <c r="BE560" i="3"/>
  <c r="BF560" i="3"/>
  <c r="BG560" i="3"/>
  <c r="BH560" i="3"/>
  <c r="BI560" i="3"/>
  <c r="BJ560" i="3"/>
  <c r="BK560" i="3"/>
  <c r="BM560" i="3"/>
  <c r="BN560" i="3"/>
  <c r="BO560" i="3"/>
  <c r="BP560" i="3"/>
  <c r="BQ560" i="3"/>
  <c r="BR560" i="3"/>
  <c r="BS560" i="3"/>
  <c r="BT560" i="3"/>
  <c r="BL560" i="3"/>
  <c r="BB561" i="3"/>
  <c r="BC561" i="3"/>
  <c r="BA561" i="3" s="1"/>
  <c r="BD561" i="3"/>
  <c r="BE561" i="3"/>
  <c r="BF561" i="3"/>
  <c r="BG561" i="3"/>
  <c r="BH561" i="3"/>
  <c r="BI561" i="3"/>
  <c r="BJ561" i="3"/>
  <c r="BK561" i="3"/>
  <c r="BM561" i="3"/>
  <c r="BN561" i="3"/>
  <c r="BO561" i="3"/>
  <c r="BL561" i="3" s="1"/>
  <c r="BP561" i="3"/>
  <c r="BQ561" i="3"/>
  <c r="BR561" i="3"/>
  <c r="BS561" i="3"/>
  <c r="BT561" i="3"/>
  <c r="BB562" i="3"/>
  <c r="BC562" i="3"/>
  <c r="BD562" i="3"/>
  <c r="BA562" i="3" s="1"/>
  <c r="AZ562" i="3" s="1"/>
  <c r="BE562" i="3"/>
  <c r="BF562" i="3"/>
  <c r="BG562" i="3"/>
  <c r="BH562" i="3"/>
  <c r="BI562" i="3"/>
  <c r="BJ562" i="3"/>
  <c r="BK562" i="3"/>
  <c r="BM562" i="3"/>
  <c r="BN562" i="3"/>
  <c r="BO562" i="3"/>
  <c r="BP562" i="3"/>
  <c r="BQ562" i="3"/>
  <c r="BR562" i="3"/>
  <c r="BS562" i="3"/>
  <c r="BT562" i="3"/>
  <c r="BL562" i="3"/>
  <c r="BB563" i="3"/>
  <c r="BC563" i="3"/>
  <c r="BA563" i="3" s="1"/>
  <c r="AZ563" i="3" s="1"/>
  <c r="BD563" i="3"/>
  <c r="BE563" i="3"/>
  <c r="BF563" i="3"/>
  <c r="BG563" i="3"/>
  <c r="BH563" i="3"/>
  <c r="BI563" i="3"/>
  <c r="BJ563" i="3"/>
  <c r="BK563" i="3"/>
  <c r="BM563" i="3"/>
  <c r="BN563" i="3"/>
  <c r="BO563" i="3"/>
  <c r="BL563" i="3" s="1"/>
  <c r="BP563" i="3"/>
  <c r="BQ563" i="3"/>
  <c r="BR563" i="3"/>
  <c r="BS563" i="3"/>
  <c r="BT563" i="3"/>
  <c r="BB564" i="3"/>
  <c r="BC564" i="3"/>
  <c r="BD564" i="3"/>
  <c r="BA564" i="3" s="1"/>
  <c r="AZ564" i="3" s="1"/>
  <c r="BE564" i="3"/>
  <c r="BF564" i="3"/>
  <c r="BG564" i="3"/>
  <c r="BH564" i="3"/>
  <c r="BI564" i="3"/>
  <c r="BJ564" i="3"/>
  <c r="BK564" i="3"/>
  <c r="BM564" i="3"/>
  <c r="BN564" i="3"/>
  <c r="BO564" i="3"/>
  <c r="BP564" i="3"/>
  <c r="BQ564" i="3"/>
  <c r="BR564" i="3"/>
  <c r="BS564" i="3"/>
  <c r="BT564" i="3"/>
  <c r="BL564" i="3"/>
  <c r="BB565" i="3"/>
  <c r="BC565" i="3"/>
  <c r="BA565" i="3" s="1"/>
  <c r="BD565" i="3"/>
  <c r="BE565" i="3"/>
  <c r="BF565" i="3"/>
  <c r="BG565" i="3"/>
  <c r="BH565" i="3"/>
  <c r="BI565" i="3"/>
  <c r="BJ565" i="3"/>
  <c r="BK565" i="3"/>
  <c r="BM565" i="3"/>
  <c r="BN565" i="3"/>
  <c r="BO565" i="3"/>
  <c r="BL565" i="3" s="1"/>
  <c r="BP565" i="3"/>
  <c r="BQ565" i="3"/>
  <c r="BR565" i="3"/>
  <c r="BS565" i="3"/>
  <c r="BT565" i="3"/>
  <c r="BB566" i="3"/>
  <c r="BC566" i="3"/>
  <c r="BD566" i="3"/>
  <c r="BA566" i="3" s="1"/>
  <c r="AZ566" i="3" s="1"/>
  <c r="BE566" i="3"/>
  <c r="BF566" i="3"/>
  <c r="BG566" i="3"/>
  <c r="BH566" i="3"/>
  <c r="BI566" i="3"/>
  <c r="BJ566" i="3"/>
  <c r="BK566" i="3"/>
  <c r="BM566" i="3"/>
  <c r="BN566" i="3"/>
  <c r="BO566" i="3"/>
  <c r="BP566" i="3"/>
  <c r="BQ566" i="3"/>
  <c r="BR566" i="3"/>
  <c r="BS566" i="3"/>
  <c r="BT566" i="3"/>
  <c r="BL566" i="3"/>
  <c r="BB567" i="3"/>
  <c r="BC567" i="3"/>
  <c r="BA567" i="3" s="1"/>
  <c r="AZ567" i="3" s="1"/>
  <c r="BD567" i="3"/>
  <c r="BE567" i="3"/>
  <c r="BF567" i="3"/>
  <c r="BG567" i="3"/>
  <c r="BH567" i="3"/>
  <c r="BI567" i="3"/>
  <c r="BJ567" i="3"/>
  <c r="BK567" i="3"/>
  <c r="BM567" i="3"/>
  <c r="BN567" i="3"/>
  <c r="BO567" i="3"/>
  <c r="BL567" i="3" s="1"/>
  <c r="BP567" i="3"/>
  <c r="BQ567" i="3"/>
  <c r="BR567" i="3"/>
  <c r="BS567" i="3"/>
  <c r="BT567" i="3"/>
  <c r="BB568" i="3"/>
  <c r="BC568" i="3"/>
  <c r="BD568" i="3"/>
  <c r="BA568" i="3" s="1"/>
  <c r="AZ568" i="3" s="1"/>
  <c r="BE568" i="3"/>
  <c r="BF568" i="3"/>
  <c r="BG568" i="3"/>
  <c r="BH568" i="3"/>
  <c r="BI568" i="3"/>
  <c r="BJ568" i="3"/>
  <c r="BK568" i="3"/>
  <c r="BM568" i="3"/>
  <c r="BN568" i="3"/>
  <c r="BO568" i="3"/>
  <c r="BP568" i="3"/>
  <c r="BQ568" i="3"/>
  <c r="BR568" i="3"/>
  <c r="BS568" i="3"/>
  <c r="BT568" i="3"/>
  <c r="BL568" i="3"/>
  <c r="BB569" i="3"/>
  <c r="BC569" i="3"/>
  <c r="BA569" i="3" s="1"/>
  <c r="BD569" i="3"/>
  <c r="BE569" i="3"/>
  <c r="BF569" i="3"/>
  <c r="BG569" i="3"/>
  <c r="BH569" i="3"/>
  <c r="BI569" i="3"/>
  <c r="BJ569" i="3"/>
  <c r="BK569" i="3"/>
  <c r="BM569" i="3"/>
  <c r="BN569" i="3"/>
  <c r="BO569" i="3"/>
  <c r="BL569" i="3" s="1"/>
  <c r="BP569" i="3"/>
  <c r="BQ569" i="3"/>
  <c r="BR569" i="3"/>
  <c r="BS569" i="3"/>
  <c r="BT569" i="3"/>
  <c r="BB570" i="3"/>
  <c r="BC570" i="3"/>
  <c r="BD570" i="3"/>
  <c r="BA570" i="3" s="1"/>
  <c r="AZ570" i="3" s="1"/>
  <c r="BE570" i="3"/>
  <c r="BF570" i="3"/>
  <c r="BG570" i="3"/>
  <c r="BH570" i="3"/>
  <c r="BI570" i="3"/>
  <c r="BJ570" i="3"/>
  <c r="BK570" i="3"/>
  <c r="BM570" i="3"/>
  <c r="BN570" i="3"/>
  <c r="BO570" i="3"/>
  <c r="BP570" i="3"/>
  <c r="BQ570" i="3"/>
  <c r="BR570" i="3"/>
  <c r="BS570" i="3"/>
  <c r="BT570" i="3"/>
  <c r="BL570" i="3"/>
  <c r="BB571" i="3"/>
  <c r="BC571" i="3"/>
  <c r="BA571" i="3" s="1"/>
  <c r="AZ571" i="3" s="1"/>
  <c r="BD571" i="3"/>
  <c r="BE571" i="3"/>
  <c r="BF571" i="3"/>
  <c r="BG571" i="3"/>
  <c r="BH571" i="3"/>
  <c r="BI571" i="3"/>
  <c r="BJ571" i="3"/>
  <c r="BK571" i="3"/>
  <c r="BM571" i="3"/>
  <c r="BN571" i="3"/>
  <c r="BO571" i="3"/>
  <c r="BL571" i="3" s="1"/>
  <c r="BP571" i="3"/>
  <c r="BQ571" i="3"/>
  <c r="BR571" i="3"/>
  <c r="BS571" i="3"/>
  <c r="BT571" i="3"/>
  <c r="BB572" i="3"/>
  <c r="BC572" i="3"/>
  <c r="BD572" i="3"/>
  <c r="BA572" i="3" s="1"/>
  <c r="AZ572" i="3" s="1"/>
  <c r="BE572" i="3"/>
  <c r="BF572" i="3"/>
  <c r="BG572" i="3"/>
  <c r="BH572" i="3"/>
  <c r="BI572" i="3"/>
  <c r="BJ572" i="3"/>
  <c r="BK572" i="3"/>
  <c r="BM572" i="3"/>
  <c r="BN572" i="3"/>
  <c r="BO572" i="3"/>
  <c r="BP572" i="3"/>
  <c r="BQ572" i="3"/>
  <c r="BR572" i="3"/>
  <c r="BS572" i="3"/>
  <c r="BT572" i="3"/>
  <c r="BL572" i="3"/>
  <c r="BB573" i="3"/>
  <c r="BC573" i="3"/>
  <c r="BA573" i="3" s="1"/>
  <c r="BD573" i="3"/>
  <c r="BE573" i="3"/>
  <c r="BF573" i="3"/>
  <c r="BG573" i="3"/>
  <c r="BH573" i="3"/>
  <c r="BI573" i="3"/>
  <c r="BJ573" i="3"/>
  <c r="BK573" i="3"/>
  <c r="BM573" i="3"/>
  <c r="BN573" i="3"/>
  <c r="BO573" i="3"/>
  <c r="BL573" i="3" s="1"/>
  <c r="BP573" i="3"/>
  <c r="BQ573" i="3"/>
  <c r="BR573" i="3"/>
  <c r="BS573" i="3"/>
  <c r="BT573" i="3"/>
  <c r="BB574" i="3"/>
  <c r="BC574" i="3"/>
  <c r="BD574" i="3"/>
  <c r="BA574" i="3" s="1"/>
  <c r="AZ574" i="3" s="1"/>
  <c r="BE574" i="3"/>
  <c r="BF574" i="3"/>
  <c r="BG574" i="3"/>
  <c r="BH574" i="3"/>
  <c r="BI574" i="3"/>
  <c r="BJ574" i="3"/>
  <c r="BK574" i="3"/>
  <c r="BM574" i="3"/>
  <c r="BN574" i="3"/>
  <c r="BO574" i="3"/>
  <c r="BP574" i="3"/>
  <c r="BQ574" i="3"/>
  <c r="BR574" i="3"/>
  <c r="BS574" i="3"/>
  <c r="BT574" i="3"/>
  <c r="BL574" i="3"/>
  <c r="BB575" i="3"/>
  <c r="BC575" i="3"/>
  <c r="BA575" i="3" s="1"/>
  <c r="AZ575" i="3" s="1"/>
  <c r="BD575" i="3"/>
  <c r="BE575" i="3"/>
  <c r="BF575" i="3"/>
  <c r="BG575" i="3"/>
  <c r="BH575" i="3"/>
  <c r="BI575" i="3"/>
  <c r="BJ575" i="3"/>
  <c r="BK575" i="3"/>
  <c r="BM575" i="3"/>
  <c r="BN575" i="3"/>
  <c r="BO575" i="3"/>
  <c r="BL575" i="3" s="1"/>
  <c r="BP575" i="3"/>
  <c r="BQ575" i="3"/>
  <c r="BR575" i="3"/>
  <c r="BS575" i="3"/>
  <c r="BT575" i="3"/>
  <c r="BB576" i="3"/>
  <c r="BC576" i="3"/>
  <c r="BD576" i="3"/>
  <c r="BA576" i="3" s="1"/>
  <c r="AZ576" i="3" s="1"/>
  <c r="BE576" i="3"/>
  <c r="BF576" i="3"/>
  <c r="BG576" i="3"/>
  <c r="BH576" i="3"/>
  <c r="BI576" i="3"/>
  <c r="BJ576" i="3"/>
  <c r="BK576" i="3"/>
  <c r="BM576" i="3"/>
  <c r="BN576" i="3"/>
  <c r="BO576" i="3"/>
  <c r="BP576" i="3"/>
  <c r="BQ576" i="3"/>
  <c r="BR576" i="3"/>
  <c r="BS576" i="3"/>
  <c r="BT576" i="3"/>
  <c r="BL576" i="3"/>
  <c r="BB577" i="3"/>
  <c r="BC577" i="3"/>
  <c r="BA577" i="3" s="1"/>
  <c r="BD577" i="3"/>
  <c r="BE577" i="3"/>
  <c r="BF577" i="3"/>
  <c r="BG577" i="3"/>
  <c r="BH577" i="3"/>
  <c r="BI577" i="3"/>
  <c r="BJ577" i="3"/>
  <c r="BK577" i="3"/>
  <c r="BM577" i="3"/>
  <c r="BN577" i="3"/>
  <c r="BO577" i="3"/>
  <c r="BL577" i="3" s="1"/>
  <c r="BP577" i="3"/>
  <c r="BQ577" i="3"/>
  <c r="BR577" i="3"/>
  <c r="BS577" i="3"/>
  <c r="BT577" i="3"/>
  <c r="BB578" i="3"/>
  <c r="BC578" i="3"/>
  <c r="BD578" i="3"/>
  <c r="BA578" i="3" s="1"/>
  <c r="AZ578" i="3" s="1"/>
  <c r="BE578" i="3"/>
  <c r="BF578" i="3"/>
  <c r="BG578" i="3"/>
  <c r="BH578" i="3"/>
  <c r="BI578" i="3"/>
  <c r="BJ578" i="3"/>
  <c r="BK578" i="3"/>
  <c r="BM578" i="3"/>
  <c r="BN578" i="3"/>
  <c r="BO578" i="3"/>
  <c r="BP578" i="3"/>
  <c r="BQ578" i="3"/>
  <c r="BR578" i="3"/>
  <c r="BS578" i="3"/>
  <c r="BT578" i="3"/>
  <c r="BL578" i="3"/>
  <c r="BB579" i="3"/>
  <c r="BC579" i="3"/>
  <c r="BA579" i="3" s="1"/>
  <c r="AZ579" i="3" s="1"/>
  <c r="BD579" i="3"/>
  <c r="BE579" i="3"/>
  <c r="BF579" i="3"/>
  <c r="BG579" i="3"/>
  <c r="BH579" i="3"/>
  <c r="BI579" i="3"/>
  <c r="BJ579" i="3"/>
  <c r="BK579" i="3"/>
  <c r="BM579" i="3"/>
  <c r="BN579" i="3"/>
  <c r="BO579" i="3"/>
  <c r="BL579" i="3" s="1"/>
  <c r="BP579" i="3"/>
  <c r="BQ579" i="3"/>
  <c r="BR579" i="3"/>
  <c r="BS579" i="3"/>
  <c r="BT579" i="3"/>
  <c r="BB580" i="3"/>
  <c r="BC580" i="3"/>
  <c r="BD580" i="3"/>
  <c r="BA580" i="3" s="1"/>
  <c r="AZ580" i="3" s="1"/>
  <c r="BE580" i="3"/>
  <c r="BF580" i="3"/>
  <c r="BG580" i="3"/>
  <c r="BH580" i="3"/>
  <c r="BI580" i="3"/>
  <c r="BJ580" i="3"/>
  <c r="BK580" i="3"/>
  <c r="BM580" i="3"/>
  <c r="BN580" i="3"/>
  <c r="BO580" i="3"/>
  <c r="BP580" i="3"/>
  <c r="BQ580" i="3"/>
  <c r="BR580" i="3"/>
  <c r="BS580" i="3"/>
  <c r="BT580" i="3"/>
  <c r="BL580" i="3"/>
  <c r="BB581" i="3"/>
  <c r="BC581" i="3"/>
  <c r="BA581" i="3" s="1"/>
  <c r="BD581" i="3"/>
  <c r="BE581" i="3"/>
  <c r="BF581" i="3"/>
  <c r="BG581" i="3"/>
  <c r="BH581" i="3"/>
  <c r="BI581" i="3"/>
  <c r="BJ581" i="3"/>
  <c r="BK581" i="3"/>
  <c r="BM581" i="3"/>
  <c r="BN581" i="3"/>
  <c r="BO581" i="3"/>
  <c r="BL581" i="3" s="1"/>
  <c r="BP581" i="3"/>
  <c r="BQ581" i="3"/>
  <c r="BR581" i="3"/>
  <c r="BS581" i="3"/>
  <c r="BT581" i="3"/>
  <c r="BB582" i="3"/>
  <c r="BC582" i="3"/>
  <c r="BD582" i="3"/>
  <c r="BA582" i="3" s="1"/>
  <c r="AZ582" i="3" s="1"/>
  <c r="BE582" i="3"/>
  <c r="BF582" i="3"/>
  <c r="BG582" i="3"/>
  <c r="BH582" i="3"/>
  <c r="BI582" i="3"/>
  <c r="BJ582" i="3"/>
  <c r="BK582" i="3"/>
  <c r="BM582" i="3"/>
  <c r="BN582" i="3"/>
  <c r="BO582" i="3"/>
  <c r="BP582" i="3"/>
  <c r="BQ582" i="3"/>
  <c r="BR582" i="3"/>
  <c r="BS582" i="3"/>
  <c r="BT582" i="3"/>
  <c r="BL582" i="3"/>
  <c r="BB583" i="3"/>
  <c r="BC583" i="3"/>
  <c r="BA583" i="3" s="1"/>
  <c r="AZ583" i="3" s="1"/>
  <c r="BD583" i="3"/>
  <c r="BE583" i="3"/>
  <c r="BF583" i="3"/>
  <c r="BG583" i="3"/>
  <c r="BH583" i="3"/>
  <c r="BI583" i="3"/>
  <c r="BJ583" i="3"/>
  <c r="BK583" i="3"/>
  <c r="BM583" i="3"/>
  <c r="BN583" i="3"/>
  <c r="BO583" i="3"/>
  <c r="BL583" i="3" s="1"/>
  <c r="BP583" i="3"/>
  <c r="BQ583" i="3"/>
  <c r="BR583" i="3"/>
  <c r="BS583" i="3"/>
  <c r="BT583" i="3"/>
  <c r="BB584" i="3"/>
  <c r="BC584" i="3"/>
  <c r="BD584" i="3"/>
  <c r="BA584" i="3" s="1"/>
  <c r="AZ584" i="3" s="1"/>
  <c r="BE584" i="3"/>
  <c r="BF584" i="3"/>
  <c r="BG584" i="3"/>
  <c r="BH584" i="3"/>
  <c r="BI584" i="3"/>
  <c r="BJ584" i="3"/>
  <c r="BK584" i="3"/>
  <c r="BM584" i="3"/>
  <c r="BN584" i="3"/>
  <c r="BO584" i="3"/>
  <c r="BP584" i="3"/>
  <c r="BQ584" i="3"/>
  <c r="BR584" i="3"/>
  <c r="BS584" i="3"/>
  <c r="BT584" i="3"/>
  <c r="BL584" i="3"/>
  <c r="BB585" i="3"/>
  <c r="BC585" i="3"/>
  <c r="BA585" i="3" s="1"/>
  <c r="BD585" i="3"/>
  <c r="BE585" i="3"/>
  <c r="BF585" i="3"/>
  <c r="BG585" i="3"/>
  <c r="BH585" i="3"/>
  <c r="BI585" i="3"/>
  <c r="BJ585" i="3"/>
  <c r="BK585" i="3"/>
  <c r="BM585" i="3"/>
  <c r="BN585" i="3"/>
  <c r="BO585" i="3"/>
  <c r="BL585" i="3" s="1"/>
  <c r="BP585" i="3"/>
  <c r="BQ585" i="3"/>
  <c r="BR585" i="3"/>
  <c r="BS585" i="3"/>
  <c r="BT585" i="3"/>
  <c r="BB586" i="3"/>
  <c r="BC586" i="3"/>
  <c r="BD586" i="3"/>
  <c r="BA586" i="3" s="1"/>
  <c r="AZ586" i="3" s="1"/>
  <c r="BE586" i="3"/>
  <c r="BF586" i="3"/>
  <c r="BG586" i="3"/>
  <c r="BH586" i="3"/>
  <c r="BI586" i="3"/>
  <c r="BJ586" i="3"/>
  <c r="BK586" i="3"/>
  <c r="BM586" i="3"/>
  <c r="BN586" i="3"/>
  <c r="BO586" i="3"/>
  <c r="BP586" i="3"/>
  <c r="BQ586" i="3"/>
  <c r="BR586" i="3"/>
  <c r="BS586" i="3"/>
  <c r="BT586" i="3"/>
  <c r="BL586" i="3"/>
  <c r="BB587" i="3"/>
  <c r="BC587" i="3"/>
  <c r="BA587" i="3" s="1"/>
  <c r="AZ587" i="3" s="1"/>
  <c r="BD587" i="3"/>
  <c r="BE587" i="3"/>
  <c r="BF587" i="3"/>
  <c r="BG587" i="3"/>
  <c r="BH587" i="3"/>
  <c r="BI587" i="3"/>
  <c r="BJ587" i="3"/>
  <c r="BK587" i="3"/>
  <c r="BM587" i="3"/>
  <c r="BN587" i="3"/>
  <c r="BO587" i="3"/>
  <c r="BL587" i="3" s="1"/>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8" i="71"/>
  <c r="AG8" i="71"/>
  <c r="AH8" i="71"/>
  <c r="AE8" i="71"/>
  <c r="AF8" i="71" s="1"/>
  <c r="X7" i="71"/>
  <c r="AB7" i="71"/>
  <c r="AA7" i="71"/>
  <c r="Y7" i="71"/>
  <c r="Z7" i="71"/>
  <c r="T8" i="71"/>
  <c r="S8" i="71"/>
  <c r="V8" i="71"/>
  <c r="U8" i="71"/>
  <c r="AB8" i="71"/>
  <c r="Y8" i="71"/>
  <c r="Z8" i="71" s="1"/>
  <c r="X8" i="71"/>
  <c r="AA8" i="71"/>
  <c r="A2" i="53"/>
  <c r="K59" i="67"/>
  <c r="K59" i="15"/>
  <c r="P74" i="15" s="1"/>
  <c r="P61" i="15"/>
  <c r="D116" i="39"/>
  <c r="E116" i="39"/>
  <c r="F116" i="39"/>
  <c r="G116" i="39"/>
  <c r="H116" i="39"/>
  <c r="I116" i="39"/>
  <c r="J116" i="39"/>
  <c r="K116" i="39"/>
  <c r="L116" i="39"/>
  <c r="M116" i="39"/>
  <c r="C116" i="39"/>
  <c r="A21" i="62"/>
  <c r="A20" i="62"/>
  <c r="B66" i="72"/>
  <c r="A22" i="51"/>
  <c r="A21" i="51"/>
  <c r="B16" i="72" s="1"/>
  <c r="A20" i="51"/>
  <c r="L20" i="4"/>
  <c r="L21" i="4"/>
  <c r="A14" i="62"/>
  <c r="A13" i="62"/>
  <c r="A19" i="62"/>
  <c r="A12" i="62"/>
  <c r="B58" i="72" s="1"/>
  <c r="A120" i="9"/>
  <c r="H2" i="52"/>
  <c r="A1" i="52"/>
  <c r="A3" i="53"/>
  <c r="A15" i="5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c r="J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s="1"/>
  <c r="A8" i="52" s="1"/>
  <c r="B54" i="72" s="1"/>
  <c r="E111" i="9"/>
  <c r="A126" i="9" s="1"/>
  <c r="E109" i="9"/>
  <c r="A124" i="9" s="1"/>
  <c r="B44" i="72"/>
  <c r="B42" i="72"/>
  <c r="B69" i="72"/>
  <c r="B68" i="72"/>
  <c r="B63" i="72"/>
  <c r="B62" i="72"/>
  <c r="B65" i="72"/>
  <c r="B60" i="72"/>
  <c r="B59" i="72"/>
  <c r="B67" i="72"/>
  <c r="B12" i="72"/>
  <c r="B10" i="72"/>
  <c r="C53" i="10"/>
  <c r="B51" i="10"/>
  <c r="B19" i="72"/>
  <c r="A18" i="51"/>
  <c r="B13" i="72"/>
  <c r="C8" i="68"/>
  <c r="B49" i="48"/>
  <c r="B5" i="72" s="1"/>
  <c r="I19" i="43"/>
  <c r="D73" i="71"/>
  <c r="F72" i="71"/>
  <c r="F71" i="71" s="1"/>
  <c r="F70" i="71" s="1"/>
  <c r="E72" i="71"/>
  <c r="E71" i="71" s="1"/>
  <c r="E70" i="71" s="1"/>
  <c r="C72" i="71"/>
  <c r="D72" i="71"/>
  <c r="B72" i="71"/>
  <c r="B71" i="71"/>
  <c r="B70" i="71"/>
  <c r="D69" i="71"/>
  <c r="F68" i="71"/>
  <c r="F67" i="71" s="1"/>
  <c r="F66" i="71" s="1"/>
  <c r="E68" i="71"/>
  <c r="E67" i="71" s="1"/>
  <c r="E66" i="71" s="1"/>
  <c r="C68" i="71"/>
  <c r="B68" i="71"/>
  <c r="B67" i="71" s="1"/>
  <c r="B66" i="71" s="1"/>
  <c r="D65" i="71"/>
  <c r="Q64" i="71"/>
  <c r="P64" i="71"/>
  <c r="O64" i="71"/>
  <c r="N64" i="71"/>
  <c r="F64" i="71"/>
  <c r="V64" i="71"/>
  <c r="E64" i="71"/>
  <c r="U64" i="7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c r="Q55" i="71"/>
  <c r="P55" i="71"/>
  <c r="O55" i="71"/>
  <c r="N55" i="71"/>
  <c r="B55" i="71"/>
  <c r="B54" i="71"/>
  <c r="Q54" i="71"/>
  <c r="P54" i="71"/>
  <c r="O54" i="71"/>
  <c r="N54" i="71"/>
  <c r="Q53" i="71"/>
  <c r="P53" i="71"/>
  <c r="O53" i="71"/>
  <c r="N53" i="71"/>
  <c r="D53" i="71"/>
  <c r="F52" i="71"/>
  <c r="V52" i="71" s="1"/>
  <c r="E52" i="71"/>
  <c r="P52" i="71" s="1"/>
  <c r="C52" i="71"/>
  <c r="B52" i="71"/>
  <c r="F51" i="71"/>
  <c r="D49" i="71"/>
  <c r="Q48" i="71"/>
  <c r="P48" i="71"/>
  <c r="O48" i="71"/>
  <c r="N48" i="71"/>
  <c r="Q47" i="71"/>
  <c r="P47" i="71"/>
  <c r="O47" i="71"/>
  <c r="N47" i="71"/>
  <c r="Q46" i="71"/>
  <c r="P46" i="71"/>
  <c r="O46" i="71"/>
  <c r="N46" i="71"/>
  <c r="Q45" i="71"/>
  <c r="F46" i="71" s="1"/>
  <c r="F47" i="71" s="1"/>
  <c r="F48" i="71" s="1"/>
  <c r="V48" i="71" s="1"/>
  <c r="P45" i="71"/>
  <c r="E46" i="71"/>
  <c r="E47" i="71" s="1"/>
  <c r="E48" i="71" s="1"/>
  <c r="U48" i="71" s="1"/>
  <c r="O45" i="71"/>
  <c r="C46" i="71" s="1"/>
  <c r="C47" i="71" s="1"/>
  <c r="C48"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O37" i="71"/>
  <c r="C38" i="71" s="1"/>
  <c r="C39" i="71" s="1"/>
  <c r="D39" i="71" s="1"/>
  <c r="Q37" i="71"/>
  <c r="F38" i="71" s="1"/>
  <c r="F39" i="71" s="1"/>
  <c r="F40" i="71" s="1"/>
  <c r="V40" i="71" s="1"/>
  <c r="P37" i="71"/>
  <c r="E38" i="71"/>
  <c r="E39" i="71" s="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C34" i="71"/>
  <c r="C35" i="71" s="1"/>
  <c r="D35" i="71" s="1"/>
  <c r="N33" i="71"/>
  <c r="B34" i="71"/>
  <c r="B35" i="71" s="1"/>
  <c r="B36" i="71" s="1"/>
  <c r="S36" i="71" s="1"/>
  <c r="D33" i="71"/>
  <c r="T32" i="71"/>
  <c r="Q32" i="71"/>
  <c r="P32" i="71"/>
  <c r="O32" i="71"/>
  <c r="N32" i="71"/>
  <c r="D32" i="71"/>
  <c r="Q31" i="71"/>
  <c r="P31" i="71"/>
  <c r="O31" i="71"/>
  <c r="N31" i="71"/>
  <c r="Q30" i="71"/>
  <c r="P30" i="71"/>
  <c r="O30" i="71"/>
  <c r="N30" i="71"/>
  <c r="Q29" i="71"/>
  <c r="F30" i="71"/>
  <c r="F31" i="71" s="1"/>
  <c r="F32" i="71" s="1"/>
  <c r="V32" i="71" s="1"/>
  <c r="P29" i="71"/>
  <c r="E30" i="71" s="1"/>
  <c r="E31" i="71" s="1"/>
  <c r="E32" i="71" s="1"/>
  <c r="U32" i="71" s="1"/>
  <c r="O29" i="71"/>
  <c r="C30" i="71"/>
  <c r="C31" i="71" s="1"/>
  <c r="D31" i="71" s="1"/>
  <c r="N29" i="71"/>
  <c r="B30" i="71"/>
  <c r="B31" i="71" s="1"/>
  <c r="B32" i="71"/>
  <c r="S32" i="71" s="1"/>
  <c r="D29" i="71"/>
  <c r="Q28" i="71"/>
  <c r="P28" i="71"/>
  <c r="O28" i="71"/>
  <c r="N28" i="71"/>
  <c r="Q27" i="71"/>
  <c r="P27" i="71"/>
  <c r="O27" i="71"/>
  <c r="N27" i="71"/>
  <c r="Q26" i="71"/>
  <c r="P26" i="71"/>
  <c r="O26" i="71"/>
  <c r="N26" i="71"/>
  <c r="Q25" i="71"/>
  <c r="F26" i="71"/>
  <c r="F27" i="71" s="1"/>
  <c r="F28" i="71" s="1"/>
  <c r="V28" i="71" s="1"/>
  <c r="P25" i="71"/>
  <c r="E26" i="71" s="1"/>
  <c r="E27" i="71"/>
  <c r="E28" i="71" s="1"/>
  <c r="U28" i="71" s="1"/>
  <c r="O25" i="71"/>
  <c r="C26" i="71"/>
  <c r="D26" i="71" s="1"/>
  <c r="N25" i="71"/>
  <c r="B26" i="71" s="1"/>
  <c r="B27" i="71" s="1"/>
  <c r="B28" i="71" s="1"/>
  <c r="S28" i="71" s="1"/>
  <c r="D25" i="71"/>
  <c r="Q24" i="71"/>
  <c r="P24" i="71"/>
  <c r="O24" i="71"/>
  <c r="N24" i="71"/>
  <c r="AB23" i="71"/>
  <c r="AA23" i="71"/>
  <c r="Y23" i="71"/>
  <c r="Z23" i="71" s="1"/>
  <c r="X23" i="71"/>
  <c r="AB22" i="71"/>
  <c r="Y22" i="71"/>
  <c r="Z22" i="71" s="1"/>
  <c r="V24" i="71"/>
  <c r="AB20" i="71"/>
  <c r="Y20" i="71"/>
  <c r="Z20" i="71" s="1"/>
  <c r="AB19" i="71"/>
  <c r="Y19" i="71"/>
  <c r="Z19" i="71"/>
  <c r="AB18" i="71"/>
  <c r="Y18" i="71"/>
  <c r="Z18" i="71" s="1"/>
  <c r="V20" i="71"/>
  <c r="AB16" i="71"/>
  <c r="Y16" i="71"/>
  <c r="Z16" i="71" s="1"/>
  <c r="AB15" i="71"/>
  <c r="Y15" i="71"/>
  <c r="Z15" i="71"/>
  <c r="AB14" i="71"/>
  <c r="Y14" i="71"/>
  <c r="Z14" i="71" s="1"/>
  <c r="V16" i="71"/>
  <c r="S16" i="71"/>
  <c r="X13" i="71"/>
  <c r="U16" i="71"/>
  <c r="AA13" i="71"/>
  <c r="S20" i="71"/>
  <c r="X17" i="71"/>
  <c r="S24" i="71"/>
  <c r="X21" i="71"/>
  <c r="U24" i="71"/>
  <c r="AA21" i="71"/>
  <c r="N52" i="71"/>
  <c r="U20" i="71"/>
  <c r="AA17" i="71"/>
  <c r="Y13" i="71"/>
  <c r="Z13" i="71" s="1"/>
  <c r="AB13" i="71"/>
  <c r="X14" i="71"/>
  <c r="AA14" i="71"/>
  <c r="X15" i="71"/>
  <c r="AA15" i="71"/>
  <c r="X16" i="71"/>
  <c r="AA16" i="71"/>
  <c r="Y17" i="71"/>
  <c r="Z17" i="71"/>
  <c r="AB17" i="71"/>
  <c r="X18" i="71"/>
  <c r="AA18" i="71"/>
  <c r="X19" i="71"/>
  <c r="AA19" i="71"/>
  <c r="X20" i="71"/>
  <c r="AA20" i="71"/>
  <c r="Y21" i="71"/>
  <c r="Z21" i="71" s="1"/>
  <c r="AB21" i="71"/>
  <c r="X22" i="71"/>
  <c r="AA22" i="71"/>
  <c r="F35" i="71"/>
  <c r="F36" i="71" s="1"/>
  <c r="V36" i="71" s="1"/>
  <c r="Y3" i="71"/>
  <c r="Z3" i="71" s="1"/>
  <c r="Y9" i="71"/>
  <c r="Z9" i="71" s="1"/>
  <c r="Y10" i="71"/>
  <c r="Z10" i="71" s="1"/>
  <c r="Y11" i="71"/>
  <c r="Z11" i="71" s="1"/>
  <c r="Y12" i="71"/>
  <c r="Z12" i="71" s="1"/>
  <c r="X9" i="71"/>
  <c r="X10" i="71"/>
  <c r="X11" i="71"/>
  <c r="X3" i="71"/>
  <c r="X12" i="71"/>
  <c r="C27" i="71"/>
  <c r="D27" i="71"/>
  <c r="D30" i="71"/>
  <c r="E40" i="71"/>
  <c r="U40" i="71" s="1"/>
  <c r="U52" i="71"/>
  <c r="E51" i="71"/>
  <c r="E50" i="71"/>
  <c r="P49" i="71" s="1"/>
  <c r="D42" i="71"/>
  <c r="D46" i="71"/>
  <c r="T52" i="71"/>
  <c r="O52" i="71"/>
  <c r="D52" i="71"/>
  <c r="C51" i="71"/>
  <c r="Q52" i="71"/>
  <c r="E55" i="71"/>
  <c r="E54" i="71"/>
  <c r="D56" i="71"/>
  <c r="C59" i="71"/>
  <c r="E59" i="71"/>
  <c r="E58" i="71"/>
  <c r="D60" i="71"/>
  <c r="D64" i="71"/>
  <c r="T12" i="71"/>
  <c r="S12" i="71"/>
  <c r="AB3" i="71"/>
  <c r="AB9" i="71"/>
  <c r="AB10" i="71"/>
  <c r="AB11" i="71"/>
  <c r="AB12" i="71"/>
  <c r="AA3" i="71"/>
  <c r="AA9" i="71"/>
  <c r="AA10" i="71"/>
  <c r="AA11" i="71"/>
  <c r="AA12" i="71"/>
  <c r="C50" i="71"/>
  <c r="O50" i="71"/>
  <c r="O51" i="71"/>
  <c r="D51" i="71"/>
  <c r="D47" i="71"/>
  <c r="D59" i="71"/>
  <c r="C58" i="71"/>
  <c r="D58" i="71"/>
  <c r="C40" i="71"/>
  <c r="T40" i="71"/>
  <c r="C36" i="71"/>
  <c r="T36" i="71"/>
  <c r="V12" i="71"/>
  <c r="P50" i="71"/>
  <c r="D50" i="71"/>
  <c r="D36" i="71"/>
  <c r="D40" i="71"/>
  <c r="T48" i="71"/>
  <c r="D48"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C25" i="40"/>
  <c r="S25" i="40"/>
  <c r="S29" i="39"/>
  <c r="S18" i="36"/>
  <c r="U18" i="36"/>
  <c r="H25" i="40"/>
  <c r="J25" i="40"/>
  <c r="H29" i="39"/>
  <c r="AB29" i="39" s="1"/>
  <c r="J29" i="39"/>
  <c r="J18" i="36"/>
  <c r="AC18" i="36" s="1"/>
  <c r="F68" i="35"/>
  <c r="H18" i="35"/>
  <c r="AB18" i="35" s="1"/>
  <c r="S18" i="35"/>
  <c r="G68" i="35"/>
  <c r="J18" i="35"/>
  <c r="H21" i="37"/>
  <c r="F21" i="37"/>
  <c r="AA21" i="37" s="1"/>
  <c r="H21" i="34"/>
  <c r="U21" i="34"/>
  <c r="H21" i="33"/>
  <c r="F21" i="33"/>
  <c r="S21" i="33" s="1"/>
  <c r="E83" i="21"/>
  <c r="S21" i="21"/>
  <c r="H1" i="69"/>
  <c r="AC25" i="40"/>
  <c r="W25" i="40"/>
  <c r="AB25" i="40"/>
  <c r="U25" i="40"/>
  <c r="U29" i="39"/>
  <c r="AC29" i="39"/>
  <c r="W29" i="39"/>
  <c r="W18" i="36"/>
  <c r="AB21" i="37"/>
  <c r="U21" i="37"/>
  <c r="S21" i="37"/>
  <c r="AB21" i="34"/>
  <c r="U21" i="33"/>
  <c r="AB21" i="33"/>
  <c r="AA21" i="33"/>
  <c r="U18" i="35"/>
  <c r="AC18" i="35"/>
  <c r="W18" i="35"/>
  <c r="J21" i="37"/>
  <c r="AC21" i="37" s="1"/>
  <c r="J21" i="34"/>
  <c r="AC21" i="34" s="1"/>
  <c r="J21" i="33"/>
  <c r="W21" i="33" s="1"/>
  <c r="F83" i="21"/>
  <c r="H21" i="21"/>
  <c r="F38" i="69"/>
  <c r="E37" i="69"/>
  <c r="F36" i="69"/>
  <c r="F35" i="69"/>
  <c r="F21" i="69"/>
  <c r="C21" i="69" s="1"/>
  <c r="F20" i="69"/>
  <c r="E10" i="69"/>
  <c r="E9" i="69"/>
  <c r="F7" i="69"/>
  <c r="C7" i="69"/>
  <c r="W21" i="34"/>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s="1"/>
  <c r="F23" i="67"/>
  <c r="D24" i="67" s="1"/>
  <c r="F21" i="67"/>
  <c r="F20" i="67"/>
  <c r="M19" i="67"/>
  <c r="F18" i="67"/>
  <c r="F17" i="67"/>
  <c r="F15" i="67"/>
  <c r="D22" i="67"/>
  <c r="S2" i="4"/>
  <c r="S1" i="4"/>
  <c r="B1" i="4"/>
  <c r="C31" i="66"/>
  <c r="I23" i="66"/>
  <c r="D20" i="66"/>
  <c r="I19" i="66"/>
  <c r="I18" i="66"/>
  <c r="I17" i="66"/>
  <c r="I20" i="66"/>
  <c r="E15" i="66"/>
  <c r="I14" i="66"/>
  <c r="I13" i="66"/>
  <c r="I12" i="66"/>
  <c r="I15" i="66" s="1"/>
  <c r="I9" i="66"/>
  <c r="I8" i="66"/>
  <c r="I7" i="66"/>
  <c r="I5" i="66"/>
  <c r="I4" i="66"/>
  <c r="I3" i="66"/>
  <c r="I10"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B11" i="1"/>
  <c r="E11" i="1" s="1"/>
  <c r="B7" i="1"/>
  <c r="E7" i="1" s="1"/>
  <c r="K10" i="1"/>
  <c r="M10" i="1"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B58" i="39" s="1"/>
  <c r="F58" i="39" s="1"/>
  <c r="H57" i="39"/>
  <c r="I57" i="39" s="1"/>
  <c r="C57" i="39" s="1"/>
  <c r="H61" i="39"/>
  <c r="I61" i="39"/>
  <c r="C61" i="39" s="1"/>
  <c r="H63" i="39"/>
  <c r="I63" i="39" s="1"/>
  <c r="C63" i="39" s="1"/>
  <c r="H62" i="39"/>
  <c r="I62" i="39" s="1"/>
  <c r="C62" i="39" s="1"/>
  <c r="B62" i="39" s="1"/>
  <c r="C145" i="21"/>
  <c r="K139" i="21" s="1"/>
  <c r="J142" i="21"/>
  <c r="J140" i="21"/>
  <c r="M87" i="21"/>
  <c r="L87" i="21"/>
  <c r="K87" i="21"/>
  <c r="J87" i="21"/>
  <c r="I87" i="21"/>
  <c r="H87" i="21"/>
  <c r="G87" i="21"/>
  <c r="F87" i="21"/>
  <c r="E87" i="21"/>
  <c r="D87" i="21"/>
  <c r="X7" i="43"/>
  <c r="R29" i="31"/>
  <c r="R30" i="31"/>
  <c r="S30" i="31" s="1"/>
  <c r="R31" i="31"/>
  <c r="R32" i="31"/>
  <c r="R33" i="31"/>
  <c r="R34" i="31"/>
  <c r="R35" i="31"/>
  <c r="R36" i="31"/>
  <c r="R37" i="31"/>
  <c r="R38" i="31"/>
  <c r="R39" i="31"/>
  <c r="R40" i="31"/>
  <c r="R41" i="31"/>
  <c r="R42" i="31"/>
  <c r="R43" i="31"/>
  <c r="R44" i="31"/>
  <c r="R45" i="31"/>
  <c r="R46" i="31"/>
  <c r="R47" i="31"/>
  <c r="R48" i="31"/>
  <c r="S48" i="31"/>
  <c r="R49" i="31"/>
  <c r="R50" i="31"/>
  <c r="S50" i="31" s="1"/>
  <c r="R51" i="31"/>
  <c r="R52" i="31"/>
  <c r="S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S224" i="31" s="1"/>
  <c r="R225" i="31"/>
  <c r="R226" i="31"/>
  <c r="S226" i="31"/>
  <c r="R227" i="31"/>
  <c r="R228" i="31"/>
  <c r="S228" i="31" s="1"/>
  <c r="R229" i="31"/>
  <c r="R230" i="31"/>
  <c r="S230" i="31"/>
  <c r="R231" i="31"/>
  <c r="R232" i="31"/>
  <c r="S232" i="31" s="1"/>
  <c r="R233" i="31"/>
  <c r="R234" i="31"/>
  <c r="S234" i="31"/>
  <c r="R235" i="31"/>
  <c r="R236" i="31"/>
  <c r="S236" i="31" s="1"/>
  <c r="R237" i="31"/>
  <c r="R238" i="31"/>
  <c r="S238" i="31"/>
  <c r="R239" i="31"/>
  <c r="R240" i="31"/>
  <c r="S240" i="31" s="1"/>
  <c r="R241" i="31"/>
  <c r="R242" i="31"/>
  <c r="S242" i="31"/>
  <c r="R243" i="31"/>
  <c r="R244" i="31"/>
  <c r="S244" i="31" s="1"/>
  <c r="R245" i="31"/>
  <c r="R246" i="31"/>
  <c r="S246" i="31"/>
  <c r="R247" i="31"/>
  <c r="R248" i="31"/>
  <c r="S248" i="31" s="1"/>
  <c r="R249" i="31"/>
  <c r="R250" i="31"/>
  <c r="S250" i="31"/>
  <c r="R251" i="31"/>
  <c r="R252" i="31"/>
  <c r="S252" i="31" s="1"/>
  <c r="R253" i="31"/>
  <c r="R254" i="31"/>
  <c r="S254" i="31"/>
  <c r="R255" i="31"/>
  <c r="S255" i="31"/>
  <c r="R256" i="31"/>
  <c r="S256" i="31"/>
  <c r="R257" i="31"/>
  <c r="S257" i="31"/>
  <c r="R258" i="31"/>
  <c r="S258" i="31"/>
  <c r="R259" i="31"/>
  <c r="S259" i="31"/>
  <c r="R260" i="31"/>
  <c r="S260" i="31"/>
  <c r="R261" i="31"/>
  <c r="S261" i="31"/>
  <c r="R262" i="31"/>
  <c r="S262" i="31"/>
  <c r="R263" i="31"/>
  <c r="S263" i="3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R423" i="31"/>
  <c r="S423" i="31" s="1"/>
  <c r="R424" i="31"/>
  <c r="S424" i="31" s="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R447" i="31"/>
  <c r="R448" i="3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S474" i="31"/>
  <c r="R475" i="31"/>
  <c r="R476" i="31"/>
  <c r="S476" i="31" s="1"/>
  <c r="R477" i="31"/>
  <c r="R478" i="31"/>
  <c r="S478" i="31"/>
  <c r="R479" i="31"/>
  <c r="R480" i="31"/>
  <c r="S480" i="31" s="1"/>
  <c r="R481" i="31"/>
  <c r="R482" i="31"/>
  <c r="S482" i="31"/>
  <c r="R483" i="31"/>
  <c r="R484" i="31"/>
  <c r="S484" i="31" s="1"/>
  <c r="R485" i="31"/>
  <c r="R486" i="31"/>
  <c r="S486" i="31"/>
  <c r="R487" i="31"/>
  <c r="R488" i="31"/>
  <c r="S488" i="31" s="1"/>
  <c r="R489" i="31"/>
  <c r="R490" i="31"/>
  <c r="S490" i="31"/>
  <c r="R491" i="31"/>
  <c r="R492" i="31"/>
  <c r="S492" i="31" s="1"/>
  <c r="R493" i="31"/>
  <c r="R494" i="31"/>
  <c r="S494" i="31"/>
  <c r="R495" i="31"/>
  <c r="R496" i="31"/>
  <c r="S496" i="31" s="1"/>
  <c r="R497" i="31"/>
  <c r="R498" i="31"/>
  <c r="S498" i="31"/>
  <c r="R499" i="31"/>
  <c r="R500" i="31"/>
  <c r="S500" i="31" s="1"/>
  <c r="R501" i="31"/>
  <c r="R502" i="3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s="1"/>
  <c r="B61" i="72" s="1"/>
  <c r="A5" i="62"/>
  <c r="B72" i="72"/>
  <c r="A4" i="62"/>
  <c r="B70" i="72"/>
  <c r="F33" i="9"/>
  <c r="B37" i="48"/>
  <c r="B2" i="72" s="1"/>
  <c r="B13" i="53"/>
  <c r="B29" i="72" s="1"/>
  <c r="R35" i="4"/>
  <c r="Q35" i="4"/>
  <c r="P35" i="4"/>
  <c r="O35" i="4"/>
  <c r="N35" i="4"/>
  <c r="M35" i="4"/>
  <c r="L35" i="4"/>
  <c r="K34" i="4"/>
  <c r="T34" i="4"/>
  <c r="G13" i="1"/>
  <c r="I15" i="4"/>
  <c r="H15" i="4"/>
  <c r="G15" i="4"/>
  <c r="E15" i="4"/>
  <c r="D15" i="4"/>
  <c r="F7" i="1"/>
  <c r="G7" i="1"/>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A7" i="43"/>
  <c r="F33" i="15"/>
  <c r="F61" i="15" s="1"/>
  <c r="M19" i="15"/>
  <c r="O10" i="1"/>
  <c r="B22" i="1"/>
  <c r="B23" i="1"/>
  <c r="B24" i="1"/>
  <c r="B43" i="1"/>
  <c r="D78" i="9"/>
  <c r="E19" i="6"/>
  <c r="E20" i="6"/>
  <c r="E21" i="6"/>
  <c r="K8" i="1"/>
  <c r="M8" i="1" s="1"/>
  <c r="F23" i="15"/>
  <c r="D24" i="15" s="1"/>
  <c r="O8" i="1"/>
  <c r="P8" i="1"/>
  <c r="M13" i="1"/>
  <c r="O13" i="1"/>
  <c r="P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12" i="31"/>
  <c r="S296" i="31"/>
  <c r="S280"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29" i="31"/>
  <c r="S99" i="31"/>
  <c r="S101" i="31"/>
  <c r="S103" i="31"/>
  <c r="S105" i="31"/>
  <c r="S107" i="31"/>
  <c r="S109" i="31"/>
  <c r="S111" i="31"/>
  <c r="S445" i="31"/>
  <c r="S446" i="31"/>
  <c r="S447" i="31"/>
  <c r="S448"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AC30" i="36" s="1"/>
  <c r="H30" i="36"/>
  <c r="F30" i="36"/>
  <c r="AA30" i="36" s="1"/>
  <c r="C26" i="35"/>
  <c r="C79" i="35" s="1"/>
  <c r="J31" i="35"/>
  <c r="W31" i="35" s="1"/>
  <c r="H31" i="35"/>
  <c r="AB31" i="35" s="1"/>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F88" i="40" s="1"/>
  <c r="G88" i="40" s="1"/>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B108" i="37"/>
  <c r="C23" i="37"/>
  <c r="C19" i="37"/>
  <c r="C17" i="37"/>
  <c r="C15" i="37"/>
  <c r="B112" i="37"/>
  <c r="D107" i="37"/>
  <c r="E107" i="37"/>
  <c r="D105" i="37"/>
  <c r="E105" i="37"/>
  <c r="D103" i="37"/>
  <c r="J35" i="37"/>
  <c r="W35" i="37" s="1"/>
  <c r="F97" i="37"/>
  <c r="E97" i="37"/>
  <c r="D97" i="37"/>
  <c r="C97" i="37"/>
  <c r="D96" i="37"/>
  <c r="E96" i="37" s="1"/>
  <c r="F96" i="37"/>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F79" i="37" s="1"/>
  <c r="G79" i="37"/>
  <c r="D75" i="37"/>
  <c r="E75" i="37"/>
  <c r="F75" i="37" s="1"/>
  <c r="D73" i="37"/>
  <c r="E73" i="37" s="1"/>
  <c r="F73" i="37"/>
  <c r="G73" i="37" s="1"/>
  <c r="D71" i="37"/>
  <c r="H15" i="37"/>
  <c r="AB15" i="37"/>
  <c r="B68" i="37"/>
  <c r="H14" i="37"/>
  <c r="B66" i="37"/>
  <c r="B64" i="37"/>
  <c r="D63" i="37"/>
  <c r="E63" i="37"/>
  <c r="M61" i="37"/>
  <c r="L61" i="37"/>
  <c r="K61" i="37"/>
  <c r="J61" i="37"/>
  <c r="I61" i="37"/>
  <c r="H61" i="37"/>
  <c r="G61" i="37"/>
  <c r="F61" i="37"/>
  <c r="E61" i="37"/>
  <c r="D61" i="37"/>
  <c r="C61" i="37"/>
  <c r="F60" i="37"/>
  <c r="G60" i="37" s="1"/>
  <c r="H60" i="37"/>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J9" i="34"/>
  <c r="AC9" i="34" s="1"/>
  <c r="H9" i="34"/>
  <c r="F9" i="34"/>
  <c r="AA9" i="34"/>
  <c r="J8" i="34"/>
  <c r="AC8" i="34"/>
  <c r="H8" i="34"/>
  <c r="U8" i="34" s="1"/>
  <c r="F8" i="34"/>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s="1"/>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B126" i="21"/>
  <c r="B98" i="21"/>
  <c r="H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AC31" i="36"/>
  <c r="W31" i="36"/>
  <c r="U31" i="36"/>
  <c r="J33" i="36"/>
  <c r="W33" i="36" s="1"/>
  <c r="H22" i="35"/>
  <c r="AB22" i="35" s="1"/>
  <c r="AC27" i="35"/>
  <c r="W28" i="35"/>
  <c r="U31" i="35"/>
  <c r="W34" i="35"/>
  <c r="W22" i="35"/>
  <c r="S31" i="35"/>
  <c r="U34" i="35"/>
  <c r="F36" i="34"/>
  <c r="J35" i="34"/>
  <c r="S34" i="34"/>
  <c r="H39" i="33"/>
  <c r="AB39" i="33" s="1"/>
  <c r="U33" i="33"/>
  <c r="U35"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S34" i="37"/>
  <c r="AA34" i="37"/>
  <c r="J43" i="34"/>
  <c r="AB42" i="34"/>
  <c r="J40" i="34"/>
  <c r="F114" i="34"/>
  <c r="G114" i="34"/>
  <c r="H114" i="34" s="1"/>
  <c r="I114" i="34" s="1"/>
  <c r="J114" i="34" s="1"/>
  <c r="K114" i="34" s="1"/>
  <c r="L114" i="34" s="1"/>
  <c r="M114" i="34" s="1"/>
  <c r="H38" i="34"/>
  <c r="AB38" i="34"/>
  <c r="J36" i="34"/>
  <c r="W36" i="34"/>
  <c r="H25" i="34"/>
  <c r="AB25" i="34"/>
  <c r="J25" i="34"/>
  <c r="AC25" i="34"/>
  <c r="F23" i="34"/>
  <c r="AA23" i="34" s="1"/>
  <c r="J19" i="34"/>
  <c r="AC19" i="34" s="1"/>
  <c r="F17" i="34"/>
  <c r="AA17" i="34" s="1"/>
  <c r="J17" i="34"/>
  <c r="W17" i="34" s="1"/>
  <c r="AB17" i="34"/>
  <c r="S15" i="34"/>
  <c r="F113" i="33"/>
  <c r="G113" i="33"/>
  <c r="H113" i="33" s="1"/>
  <c r="I113" i="33" s="1"/>
  <c r="J113" i="33" s="1"/>
  <c r="K113" i="33" s="1"/>
  <c r="L113" i="33" s="1"/>
  <c r="M113" i="33" s="1"/>
  <c r="H37" i="33"/>
  <c r="AB37" i="33"/>
  <c r="H15" i="33"/>
  <c r="AB15" i="33"/>
  <c r="H11" i="33"/>
  <c r="AB11" i="33"/>
  <c r="F28" i="40"/>
  <c r="AA28" i="40"/>
  <c r="AA42" i="34"/>
  <c r="S42" i="34"/>
  <c r="AC38" i="34"/>
  <c r="AA38" i="34"/>
  <c r="J11" i="33"/>
  <c r="W11" i="33"/>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46" i="33"/>
  <c r="J36" i="37"/>
  <c r="AC36" i="37"/>
  <c r="AB11" i="36"/>
  <c r="J10" i="36"/>
  <c r="AC10" i="36" s="1"/>
  <c r="AB30" i="21"/>
  <c r="AA14" i="37"/>
  <c r="AC13" i="36"/>
  <c r="S11" i="36"/>
  <c r="W11" i="35"/>
  <c r="AC30" i="34"/>
  <c r="S45" i="33"/>
  <c r="AB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c r="H17" i="37"/>
  <c r="U17" i="37"/>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AC8" i="37"/>
  <c r="W47" i="34"/>
  <c r="AB13" i="34"/>
  <c r="AC36" i="34"/>
  <c r="AA13" i="33"/>
  <c r="AC31"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c r="F19" i="40"/>
  <c r="S19" i="40"/>
  <c r="S14" i="40"/>
  <c r="AC13" i="40"/>
  <c r="AB33" i="40"/>
  <c r="W23" i="39"/>
  <c r="G101" i="39"/>
  <c r="H37" i="39"/>
  <c r="AB37" i="39" s="1"/>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c r="W35" i="40"/>
  <c r="A118" i="9"/>
  <c r="A4" i="52"/>
  <c r="B41" i="72"/>
  <c r="A12" i="52"/>
  <c r="B56" i="72"/>
  <c r="G4" i="4"/>
  <c r="I4" i="4"/>
  <c r="K5" i="4"/>
  <c r="B47" i="48"/>
  <c r="A2" i="9"/>
  <c r="N2" i="43"/>
  <c r="F59" i="43"/>
  <c r="BO5" i="3"/>
  <c r="BM5" i="3"/>
  <c r="F29" i="6"/>
  <c r="BJ5" i="3"/>
  <c r="BH5" i="3"/>
  <c r="BF5" i="3"/>
  <c r="BD5" i="3"/>
  <c r="BQ5" i="3"/>
  <c r="AC5" i="3"/>
  <c r="BS5" i="3"/>
  <c r="BP5" i="3"/>
  <c r="G29" i="6" s="1"/>
  <c r="E29" i="6" s="1"/>
  <c r="K15" i="1" s="1"/>
  <c r="BN5" i="3"/>
  <c r="BK5" i="3"/>
  <c r="BI5" i="3"/>
  <c r="BG5" i="3"/>
  <c r="BE5" i="3"/>
  <c r="BC5" i="3"/>
  <c r="BT5" i="3"/>
  <c r="BR5" i="3"/>
  <c r="G28" i="6" s="1"/>
  <c r="U36" i="40"/>
  <c r="N4" i="43"/>
  <c r="F81" i="43"/>
  <c r="H83" i="43" s="1"/>
  <c r="F48" i="43"/>
  <c r="H52" i="43" s="1"/>
  <c r="N7" i="43"/>
  <c r="F70" i="43"/>
  <c r="H73" i="43" s="1"/>
  <c r="M6" i="43"/>
  <c r="M11" i="43"/>
  <c r="E17" i="43"/>
  <c r="F6" i="1"/>
  <c r="G6" i="1" s="1"/>
  <c r="U17" i="39"/>
  <c r="S14" i="35"/>
  <c r="U43" i="21"/>
  <c r="U35" i="21"/>
  <c r="AC35" i="21"/>
  <c r="U10" i="21"/>
  <c r="G8" i="1"/>
  <c r="G9" i="1"/>
  <c r="G10" i="1"/>
  <c r="F48" i="9"/>
  <c r="O52" i="9"/>
  <c r="W37" i="37"/>
  <c r="W44" i="34"/>
  <c r="AC44" i="34"/>
  <c r="S15" i="37"/>
  <c r="U13" i="37"/>
  <c r="U12" i="40"/>
  <c r="AA12" i="40"/>
  <c r="J37" i="33"/>
  <c r="W37" i="33" s="1"/>
  <c r="AC17" i="34"/>
  <c r="J34" i="33"/>
  <c r="W34" i="33"/>
  <c r="F33" i="34"/>
  <c r="S33" i="34"/>
  <c r="H20" i="36"/>
  <c r="U20" i="36"/>
  <c r="J20" i="36"/>
  <c r="W20"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F23" i="39"/>
  <c r="AA23" i="39" s="1"/>
  <c r="H27" i="36"/>
  <c r="U27" i="36" s="1"/>
  <c r="F27" i="36"/>
  <c r="AA27" i="36" s="1"/>
  <c r="H33" i="34"/>
  <c r="U33" i="34" s="1"/>
  <c r="F32" i="37"/>
  <c r="AA32" i="37" s="1"/>
  <c r="F20" i="36"/>
  <c r="AA20" i="36" s="1"/>
  <c r="J33" i="34"/>
  <c r="AC33" i="34" s="1"/>
  <c r="H23" i="39"/>
  <c r="U23" i="39" s="1"/>
  <c r="D48" i="9"/>
  <c r="M52" i="9" s="1"/>
  <c r="H82" i="43"/>
  <c r="K9" i="1"/>
  <c r="M9" i="1"/>
  <c r="O9" i="1"/>
  <c r="P9" i="1"/>
  <c r="AE9" i="1"/>
  <c r="D93" i="9"/>
  <c r="AB34" i="36"/>
  <c r="U34" i="36"/>
  <c r="AB33" i="36"/>
  <c r="U33" i="36"/>
  <c r="AC12" i="39"/>
  <c r="W12" i="39"/>
  <c r="AA32" i="36"/>
  <c r="S32" i="36"/>
  <c r="F28" i="6"/>
  <c r="F30" i="6"/>
  <c r="AC13" i="34"/>
  <c r="AA47" i="34"/>
  <c r="W28" i="37"/>
  <c r="S19" i="39"/>
  <c r="F12" i="33"/>
  <c r="H12" i="39"/>
  <c r="AB12" i="39" s="1"/>
  <c r="F39" i="40"/>
  <c r="S39" i="40" s="1"/>
  <c r="S12" i="1"/>
  <c r="R12" i="1"/>
  <c r="B12" i="1"/>
  <c r="E12" i="1"/>
  <c r="S10" i="1"/>
  <c r="AQ10" i="1"/>
  <c r="R10" i="1"/>
  <c r="B10" i="1"/>
  <c r="E10" i="1" s="1"/>
  <c r="K12" i="1"/>
  <c r="M12" i="1" s="1"/>
  <c r="O12" i="1"/>
  <c r="P12" i="1"/>
  <c r="S13" i="1"/>
  <c r="AR13" i="1" s="1"/>
  <c r="R13" i="1"/>
  <c r="S11" i="1"/>
  <c r="AQ11" i="1"/>
  <c r="R11" i="1"/>
  <c r="S9" i="1"/>
  <c r="AR9" i="1" s="1"/>
  <c r="R9" i="1"/>
  <c r="J51" i="67"/>
  <c r="H100" i="43"/>
  <c r="AC34" i="33"/>
  <c r="AA34" i="33"/>
  <c r="B41" i="1"/>
  <c r="F53" i="9"/>
  <c r="J100" i="43"/>
  <c r="AB37" i="40"/>
  <c r="S35" i="40"/>
  <c r="U35" i="40"/>
  <c r="AC36" i="40"/>
  <c r="AA32" i="40"/>
  <c r="S17" i="40"/>
  <c r="S23" i="40"/>
  <c r="AC17" i="40"/>
  <c r="AC15" i="40"/>
  <c r="AA19" i="40"/>
  <c r="S28" i="40"/>
  <c r="AA27" i="40"/>
  <c r="U21" i="40"/>
  <c r="AB19" i="40"/>
  <c r="W42" i="39"/>
  <c r="U37" i="39"/>
  <c r="W39" i="39"/>
  <c r="S43" i="39"/>
  <c r="S37" i="39"/>
  <c r="U35" i="39"/>
  <c r="F32" i="39"/>
  <c r="F107" i="39"/>
  <c r="G107" i="39" s="1"/>
  <c r="H107" i="39" s="1"/>
  <c r="I107" i="39" s="1"/>
  <c r="J107" i="39" s="1"/>
  <c r="K107" i="39" s="1"/>
  <c r="L107" i="39" s="1"/>
  <c r="M107" i="39" s="1"/>
  <c r="AB27" i="39"/>
  <c r="U31" i="39"/>
  <c r="S25" i="39"/>
  <c r="J21" i="39"/>
  <c r="F21" i="39"/>
  <c r="S21" i="39" s="1"/>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12" i="35"/>
  <c r="W13" i="35"/>
  <c r="F9" i="35"/>
  <c r="H9" i="35"/>
  <c r="AB9" i="35" s="1"/>
  <c r="AB40" i="37"/>
  <c r="W27" i="37"/>
  <c r="AC9" i="37"/>
  <c r="AC29" i="37"/>
  <c r="U29" i="37"/>
  <c r="AB31" i="37"/>
  <c r="W30" i="37"/>
  <c r="S36" i="37"/>
  <c r="AA38" i="37"/>
  <c r="U32" i="37"/>
  <c r="W38" i="37"/>
  <c r="AC35" i="37"/>
  <c r="S30" i="37"/>
  <c r="S37" i="37"/>
  <c r="AC15" i="37"/>
  <c r="J17" i="37"/>
  <c r="W17" i="37" s="1"/>
  <c r="F17" i="37"/>
  <c r="AA17" i="37" s="1"/>
  <c r="AB17" i="37"/>
  <c r="F19" i="37"/>
  <c r="S19" i="37"/>
  <c r="F23" i="37"/>
  <c r="S23" i="37"/>
  <c r="U23" i="37"/>
  <c r="U15" i="37"/>
  <c r="AC13" i="37"/>
  <c r="U9" i="37"/>
  <c r="AA13" i="37"/>
  <c r="AA12" i="37"/>
  <c r="AA9" i="37"/>
  <c r="H10" i="37"/>
  <c r="U10" i="37" s="1"/>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10" i="34"/>
  <c r="F11" i="34"/>
  <c r="S11" i="34" s="1"/>
  <c r="W42" i="33"/>
  <c r="S27" i="33"/>
  <c r="S32" i="33"/>
  <c r="AA29" i="33"/>
  <c r="AB29" i="33"/>
  <c r="W38" i="33"/>
  <c r="H41" i="33"/>
  <c r="AB41" i="33"/>
  <c r="U42" i="33"/>
  <c r="S42" i="33"/>
  <c r="J35" i="33"/>
  <c r="AC35" i="33"/>
  <c r="S37" i="33"/>
  <c r="AA37" i="33"/>
  <c r="S39" i="33"/>
  <c r="J32" i="33"/>
  <c r="W32" i="33" s="1"/>
  <c r="S46" i="33"/>
  <c r="W43" i="33"/>
  <c r="H27" i="33"/>
  <c r="U27" i="33" s="1"/>
  <c r="H25" i="33"/>
  <c r="U25" i="33" s="1"/>
  <c r="F25" i="33"/>
  <c r="AA25" i="33" s="1"/>
  <c r="J23" i="33"/>
  <c r="AC23" i="33" s="1"/>
  <c r="H23" i="33"/>
  <c r="AB23" i="33" s="1"/>
  <c r="F19" i="33"/>
  <c r="S19" i="33" s="1"/>
  <c r="W19" i="33"/>
  <c r="J17" i="33"/>
  <c r="AC17" i="33"/>
  <c r="S15" i="33"/>
  <c r="W15" i="33"/>
  <c r="U9" i="33"/>
  <c r="J10" i="33"/>
  <c r="W10" i="33" s="1"/>
  <c r="H10" i="33"/>
  <c r="U10" i="33" s="1"/>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D6" i="52" s="1"/>
  <c r="C18" i="9"/>
  <c r="D18" i="9" s="1"/>
  <c r="F34" i="67"/>
  <c r="F62" i="67" s="1"/>
  <c r="M20" i="67"/>
  <c r="F34" i="15"/>
  <c r="F62" i="15"/>
  <c r="J56" i="9"/>
  <c r="J57" i="9"/>
  <c r="J59" i="9" s="1"/>
  <c r="J61" i="9" s="1"/>
  <c r="A24" i="51"/>
  <c r="B18" i="72" s="1"/>
  <c r="U29" i="34"/>
  <c r="E5" i="6"/>
  <c r="D9" i="11"/>
  <c r="C9" i="11" s="1"/>
  <c r="P10" i="1"/>
  <c r="E32" i="6"/>
  <c r="L19" i="6"/>
  <c r="L27" i="6" s="1"/>
  <c r="AR12" i="1"/>
  <c r="AQ12" i="1"/>
  <c r="T12" i="1"/>
  <c r="AR10" i="1"/>
  <c r="T10" i="1"/>
  <c r="E19" i="69"/>
  <c r="E19" i="68"/>
  <c r="E19" i="11"/>
  <c r="E1" i="73"/>
  <c r="K1" i="73"/>
  <c r="G41" i="69"/>
  <c r="G22" i="69"/>
  <c r="G41" i="68"/>
  <c r="G22" i="68"/>
  <c r="G27" i="12"/>
  <c r="G26" i="12"/>
  <c r="G41" i="11"/>
  <c r="G22" i="11"/>
  <c r="G25" i="12"/>
  <c r="E81" i="43"/>
  <c r="B79" i="43" s="1"/>
  <c r="E48" i="43"/>
  <c r="B46" i="43" s="1"/>
  <c r="C24" i="43" s="1"/>
  <c r="E70" i="43"/>
  <c r="B68" i="43" s="1"/>
  <c r="F100" i="43"/>
  <c r="D9" i="53"/>
  <c r="B25" i="72"/>
  <c r="B24" i="72"/>
  <c r="H85" i="43"/>
  <c r="H81" i="43"/>
  <c r="H84" i="43"/>
  <c r="H88" i="43"/>
  <c r="H53" i="43"/>
  <c r="H54" i="43"/>
  <c r="H78" i="43"/>
  <c r="H70" i="43"/>
  <c r="H71" i="43"/>
  <c r="M7" i="43"/>
  <c r="N6" i="43"/>
  <c r="M2" i="43"/>
  <c r="M10" i="43"/>
  <c r="N3" i="43"/>
  <c r="N11" i="43"/>
  <c r="M9" i="43"/>
  <c r="N12" i="43"/>
  <c r="N5" i="43"/>
  <c r="M5" i="43"/>
  <c r="M12" i="43"/>
  <c r="M4" i="43"/>
  <c r="B19" i="53"/>
  <c r="B37" i="72"/>
  <c r="C7" i="35"/>
  <c r="C48" i="35"/>
  <c r="D48" i="35" s="1"/>
  <c r="C7" i="40"/>
  <c r="C63" i="40"/>
  <c r="C65" i="40" s="1"/>
  <c r="M47" i="9"/>
  <c r="A4" i="51"/>
  <c r="B6" i="72"/>
  <c r="C4" i="12"/>
  <c r="H62" i="43"/>
  <c r="H66" i="43"/>
  <c r="H61" i="43"/>
  <c r="H65" i="43"/>
  <c r="H60" i="43"/>
  <c r="H64" i="43"/>
  <c r="H59" i="43"/>
  <c r="H63" i="43"/>
  <c r="H67" i="43"/>
  <c r="H55" i="43"/>
  <c r="H51" i="43"/>
  <c r="H56" i="43"/>
  <c r="H76" i="43"/>
  <c r="H72" i="43"/>
  <c r="H77" i="43"/>
  <c r="L20" i="6"/>
  <c r="S8" i="1"/>
  <c r="AQ8" i="1" s="1"/>
  <c r="K11" i="1"/>
  <c r="M11" i="1" s="1"/>
  <c r="O11" i="1"/>
  <c r="P11" i="1"/>
  <c r="AP6" i="1"/>
  <c r="C36" i="69" s="1"/>
  <c r="B9" i="1"/>
  <c r="E9" i="1"/>
  <c r="K7" i="1"/>
  <c r="M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AA33" i="21" s="1"/>
  <c r="J33" i="21"/>
  <c r="W33" i="21"/>
  <c r="H33" i="21"/>
  <c r="AB33" i="21"/>
  <c r="F37" i="21"/>
  <c r="AA37" i="21"/>
  <c r="AA26" i="21"/>
  <c r="AB14" i="21"/>
  <c r="AB46" i="21"/>
  <c r="U40" i="21"/>
  <c r="AC15"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AC9" i="21" s="1"/>
  <c r="J32" i="21"/>
  <c r="AC32" i="21"/>
  <c r="F32" i="21"/>
  <c r="AA31" i="21"/>
  <c r="U17" i="21"/>
  <c r="S19" i="21"/>
  <c r="S9" i="21"/>
  <c r="K141" i="21"/>
  <c r="K144" i="21"/>
  <c r="K143" i="21"/>
  <c r="U27" i="21"/>
  <c r="AB25" i="21"/>
  <c r="AB44" i="21"/>
  <c r="AA30" i="21"/>
  <c r="W13" i="21"/>
  <c r="W42" i="21"/>
  <c r="F10" i="21"/>
  <c r="S10" i="21" s="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s="1"/>
  <c r="F28" i="67"/>
  <c r="F31" i="12"/>
  <c r="C31" i="12" s="1"/>
  <c r="F52" i="9"/>
  <c r="M18" i="67"/>
  <c r="F32" i="67"/>
  <c r="F60" i="67"/>
  <c r="F30" i="69"/>
  <c r="F32" i="15"/>
  <c r="F60" i="15" s="1"/>
  <c r="M18" i="15"/>
  <c r="F28" i="15"/>
  <c r="D9" i="69"/>
  <c r="C9" i="69" s="1"/>
  <c r="S7" i="1"/>
  <c r="AQ7" i="1"/>
  <c r="E7" i="70"/>
  <c r="AA39" i="40"/>
  <c r="S12" i="33"/>
  <c r="AA12" i="33"/>
  <c r="D68" i="9"/>
  <c r="F54" i="9"/>
  <c r="J32" i="39"/>
  <c r="AC32" i="39" s="1"/>
  <c r="H32" i="39"/>
  <c r="AA32" i="39"/>
  <c r="S32" i="39"/>
  <c r="AB21" i="39"/>
  <c r="U21" i="39"/>
  <c r="AA21" i="39"/>
  <c r="AC21" i="39"/>
  <c r="W21" i="39"/>
  <c r="U9" i="35"/>
  <c r="AA9" i="35"/>
  <c r="S9" i="35"/>
  <c r="AC17" i="37"/>
  <c r="J19" i="37"/>
  <c r="AC19" i="37" s="1"/>
  <c r="G75" i="37"/>
  <c r="AA19" i="37"/>
  <c r="J23" i="37"/>
  <c r="W23" i="37"/>
  <c r="J10" i="37"/>
  <c r="AC10" i="37"/>
  <c r="G63" i="37"/>
  <c r="H63" i="37"/>
  <c r="I63" i="37" s="1"/>
  <c r="H11" i="37"/>
  <c r="AB10" i="37"/>
  <c r="H11" i="34"/>
  <c r="AB10" i="34"/>
  <c r="U10" i="34"/>
  <c r="J10" i="34"/>
  <c r="W10" i="34" s="1"/>
  <c r="W35" i="33"/>
  <c r="AB27" i="33"/>
  <c r="J27" i="33"/>
  <c r="AC27" i="33"/>
  <c r="J25" i="33"/>
  <c r="U23" i="33"/>
  <c r="F23" i="33"/>
  <c r="S23" i="33"/>
  <c r="AA19" i="33"/>
  <c r="H19" i="33"/>
  <c r="AB19" i="33"/>
  <c r="H17" i="33"/>
  <c r="AB17" i="33"/>
  <c r="F17" i="33"/>
  <c r="AA17" i="33"/>
  <c r="W17" i="33"/>
  <c r="AC10" i="33"/>
  <c r="U33" i="21"/>
  <c r="S37" i="21"/>
  <c r="AA23" i="21"/>
  <c r="J23" i="21"/>
  <c r="F85" i="21"/>
  <c r="G85" i="21" s="1"/>
  <c r="H23" i="21"/>
  <c r="U23" i="21" s="1"/>
  <c r="D121" i="9"/>
  <c r="D7" i="52" s="1"/>
  <c r="K120" i="9"/>
  <c r="A18" i="62" s="1"/>
  <c r="B64" i="72" s="1"/>
  <c r="O14" i="1"/>
  <c r="P14" i="1"/>
  <c r="T8" i="1"/>
  <c r="AP7" i="1"/>
  <c r="O7" i="1"/>
  <c r="AC33" i="21"/>
  <c r="S33" i="21"/>
  <c r="W32" i="21"/>
  <c r="AA32" i="21"/>
  <c r="S32" i="21"/>
  <c r="W9" i="21"/>
  <c r="AB32" i="21"/>
  <c r="U32" i="21"/>
  <c r="AA10" i="21"/>
  <c r="D3" i="34"/>
  <c r="D3" i="33"/>
  <c r="U32" i="39"/>
  <c r="AB32" i="39"/>
  <c r="W19" i="37"/>
  <c r="AC23" i="37"/>
  <c r="AB11" i="37"/>
  <c r="U11" i="37"/>
  <c r="J63" i="37"/>
  <c r="K63" i="37" s="1"/>
  <c r="L63" i="37" s="1"/>
  <c r="M63" i="37" s="1"/>
  <c r="J11" i="37"/>
  <c r="AC11" i="37" s="1"/>
  <c r="W10" i="37"/>
  <c r="U11" i="34"/>
  <c r="AB11" i="34"/>
  <c r="AC10" i="34"/>
  <c r="I70" i="34"/>
  <c r="J70" i="34" s="1"/>
  <c r="K70" i="34"/>
  <c r="L70" i="34" s="1"/>
  <c r="M70" i="34" s="1"/>
  <c r="J11" i="34"/>
  <c r="W11" i="34"/>
  <c r="U19" i="33"/>
  <c r="S17" i="33"/>
  <c r="U17" i="33"/>
  <c r="P7" i="1"/>
  <c r="F1" i="67"/>
  <c r="Q52" i="67"/>
  <c r="AC11" i="34"/>
  <c r="R7" i="1"/>
  <c r="F34" i="11"/>
  <c r="F11" i="12"/>
  <c r="C23" i="12" s="1"/>
  <c r="F34" i="68"/>
  <c r="C36" i="68" s="1"/>
  <c r="R8" i="1"/>
  <c r="C19" i="68"/>
  <c r="AE7" i="1"/>
  <c r="AE8" i="1"/>
  <c r="AG6" i="1"/>
  <c r="H109" i="9"/>
  <c r="H110" i="9"/>
  <c r="D18" i="53" s="1"/>
  <c r="B35" i="72"/>
  <c r="D124" i="9"/>
  <c r="D16" i="53"/>
  <c r="B34" i="72" s="1"/>
  <c r="D10" i="52"/>
  <c r="H14" i="74"/>
  <c r="D125" i="9"/>
  <c r="D11" i="52" s="1"/>
  <c r="B7" i="74"/>
  <c r="V47" i="39"/>
  <c r="I47" i="39"/>
  <c r="I51" i="39" s="1"/>
  <c r="T47" i="39"/>
  <c r="G47" i="39"/>
  <c r="G51" i="39" s="1"/>
  <c r="J51" i="39"/>
  <c r="H112" i="9"/>
  <c r="D21" i="53" s="1"/>
  <c r="B39" i="72" s="1"/>
  <c r="H111" i="9"/>
  <c r="D126" i="9"/>
  <c r="D19" i="53"/>
  <c r="B38" i="72"/>
  <c r="D59" i="9"/>
  <c r="M55" i="9"/>
  <c r="D20" i="53"/>
  <c r="B40" i="72"/>
  <c r="AD3" i="71"/>
  <c r="E21" i="49"/>
  <c r="B57" i="39"/>
  <c r="F57" i="39" s="1"/>
  <c r="E47" i="39"/>
  <c r="T7" i="1"/>
  <c r="AR8" i="1"/>
  <c r="T13" i="1"/>
  <c r="AQ9" i="1"/>
  <c r="T11" i="1"/>
  <c r="O16" i="1"/>
  <c r="B16" i="49"/>
  <c r="B63" i="39"/>
  <c r="C47" i="39"/>
  <c r="T9" i="1"/>
  <c r="AR11" i="1"/>
  <c r="AQ13" i="1"/>
  <c r="I14" i="74"/>
  <c r="B8" i="74" s="1"/>
  <c r="D127" i="9"/>
  <c r="D13" i="52" s="1"/>
  <c r="D12" i="52"/>
  <c r="C30" i="11"/>
  <c r="AC45" i="21"/>
  <c r="W45" i="21"/>
  <c r="AC9" i="33"/>
  <c r="W9" i="33"/>
  <c r="AC26" i="33"/>
  <c r="W26" i="33"/>
  <c r="W9" i="35"/>
  <c r="AC9" i="35"/>
  <c r="U14" i="37"/>
  <c r="AB14" i="37"/>
  <c r="U44" i="39"/>
  <c r="AB44" i="39"/>
  <c r="AC12" i="40"/>
  <c r="W12" i="40"/>
  <c r="AA38" i="40"/>
  <c r="S38" i="40"/>
  <c r="H26" i="35"/>
  <c r="F26" i="35"/>
  <c r="AA26" i="35" s="1"/>
  <c r="J26" i="35"/>
  <c r="C94" i="9"/>
  <c r="C92" i="9"/>
  <c r="U45" i="21"/>
  <c r="AB45" i="21"/>
  <c r="G30" i="6"/>
  <c r="G31" i="6" s="1"/>
  <c r="E28" i="6"/>
  <c r="E30" i="6" s="1"/>
  <c r="AC27" i="34"/>
  <c r="W12" i="33"/>
  <c r="AC12" i="33"/>
  <c r="U23" i="35"/>
  <c r="AB23" i="35"/>
  <c r="AC12" i="36"/>
  <c r="W12" i="36"/>
  <c r="AC24" i="36"/>
  <c r="W24" i="36"/>
  <c r="U27" i="37"/>
  <c r="AB27" i="37"/>
  <c r="W39" i="37"/>
  <c r="AC39" i="37"/>
  <c r="W43" i="39"/>
  <c r="AC43" i="39"/>
  <c r="AB45" i="39"/>
  <c r="U45" i="39"/>
  <c r="AC37" i="39"/>
  <c r="W37" i="39"/>
  <c r="W32" i="40"/>
  <c r="AC32" i="40"/>
  <c r="AC39" i="40"/>
  <c r="W39" i="40"/>
  <c r="T35" i="4"/>
  <c r="A19" i="51"/>
  <c r="B14" i="72" s="1"/>
  <c r="D93" i="79"/>
  <c r="D78" i="79"/>
  <c r="D23" i="67"/>
  <c r="F50" i="71"/>
  <c r="Q51" i="71"/>
  <c r="D68" i="71"/>
  <c r="C67" i="71"/>
  <c r="C66" i="71" s="1"/>
  <c r="Z12" i="43"/>
  <c r="Z10" i="43"/>
  <c r="AD12" i="43"/>
  <c r="AD10" i="43"/>
  <c r="AH12" i="43"/>
  <c r="AH10" i="43"/>
  <c r="P61" i="67"/>
  <c r="P74" i="67"/>
  <c r="AA23" i="37"/>
  <c r="AA10" i="33"/>
  <c r="S43" i="34"/>
  <c r="S32" i="37"/>
  <c r="S20" i="35"/>
  <c r="S27" i="36"/>
  <c r="S30" i="40"/>
  <c r="F52" i="79"/>
  <c r="D68" i="79"/>
  <c r="F54" i="79"/>
  <c r="F53" i="79"/>
  <c r="AA39" i="34"/>
  <c r="H87" i="43"/>
  <c r="H86" i="43"/>
  <c r="H48" i="43"/>
  <c r="H50" i="43"/>
  <c r="AA25" i="21"/>
  <c r="AB45" i="33"/>
  <c r="W31" i="34"/>
  <c r="AA14" i="33"/>
  <c r="U31" i="34"/>
  <c r="AA29" i="35"/>
  <c r="W33" i="37"/>
  <c r="C15" i="39"/>
  <c r="W33" i="33"/>
  <c r="F26" i="33"/>
  <c r="AA26" i="33" s="1"/>
  <c r="U34" i="34"/>
  <c r="W9" i="34"/>
  <c r="W36" i="35"/>
  <c r="S34" i="35"/>
  <c r="F9" i="33"/>
  <c r="AA9" i="33"/>
  <c r="J23" i="35"/>
  <c r="H12" i="36"/>
  <c r="AB12" i="36" s="1"/>
  <c r="H24" i="36"/>
  <c r="F44" i="39"/>
  <c r="S44" i="39" s="1"/>
  <c r="H38" i="40"/>
  <c r="J38" i="40"/>
  <c r="W38" i="40" s="1"/>
  <c r="H39" i="40"/>
  <c r="C28" i="66"/>
  <c r="I21" i="66"/>
  <c r="S21" i="34"/>
  <c r="B55" i="43"/>
  <c r="O49" i="71"/>
  <c r="C28" i="71"/>
  <c r="P51" i="71"/>
  <c r="C44" i="71"/>
  <c r="C71" i="71"/>
  <c r="C70" i="71" s="1"/>
  <c r="E63" i="71"/>
  <c r="E62" i="71"/>
  <c r="D38" i="71"/>
  <c r="D34" i="71"/>
  <c r="S52" i="71"/>
  <c r="B51" i="71"/>
  <c r="N51" i="71" s="1"/>
  <c r="T56" i="71"/>
  <c r="C55" i="71"/>
  <c r="C54" i="71" s="1"/>
  <c r="T64" i="71"/>
  <c r="C63" i="71"/>
  <c r="AF10" i="43"/>
  <c r="AC12" i="43"/>
  <c r="AC10" i="43"/>
  <c r="AG12" i="43"/>
  <c r="AG10" i="43"/>
  <c r="M56" i="79"/>
  <c r="J56" i="79"/>
  <c r="J57" i="79"/>
  <c r="J59" i="79" s="1"/>
  <c r="J61" i="79" s="1"/>
  <c r="N56" i="79"/>
  <c r="K56" i="79"/>
  <c r="M56" i="9"/>
  <c r="G5" i="3"/>
  <c r="B3"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1" i="3"/>
  <c r="AZ461" i="3" s="1"/>
  <c r="BA460" i="3"/>
  <c r="AZ460" i="3" s="1"/>
  <c r="BL457" i="3"/>
  <c r="AZ457" i="3" s="1"/>
  <c r="BA456" i="3"/>
  <c r="BL453" i="3"/>
  <c r="AZ453" i="3" s="1"/>
  <c r="BA452" i="3"/>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BL417" i="3"/>
  <c r="AZ417" i="3" s="1"/>
  <c r="BA416" i="3"/>
  <c r="AZ416" i="3" s="1"/>
  <c r="BL413" i="3"/>
  <c r="AZ413" i="3" s="1"/>
  <c r="BA412" i="3"/>
  <c r="AZ412" i="3" s="1"/>
  <c r="BL409" i="3"/>
  <c r="AZ409" i="3" s="1"/>
  <c r="BA408" i="3"/>
  <c r="AZ408"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BA373" i="3"/>
  <c r="AZ373" i="3"/>
  <c r="BL366" i="3"/>
  <c r="AZ366" i="3"/>
  <c r="BA365" i="3"/>
  <c r="BL358" i="3"/>
  <c r="AZ358" i="3"/>
  <c r="BA357" i="3"/>
  <c r="BL350" i="3"/>
  <c r="AZ350" i="3"/>
  <c r="BA349" i="3"/>
  <c r="BL342" i="3"/>
  <c r="AZ342" i="3"/>
  <c r="BA341" i="3"/>
  <c r="BL328" i="3"/>
  <c r="AZ328" i="3"/>
  <c r="BA327" i="3"/>
  <c r="BL312" i="3"/>
  <c r="AZ312" i="3"/>
  <c r="BA311" i="3"/>
  <c r="BL296" i="3"/>
  <c r="AZ296" i="3"/>
  <c r="BA295" i="3"/>
  <c r="BL280" i="3"/>
  <c r="AZ280" i="3"/>
  <c r="BA279" i="3"/>
  <c r="BL264" i="3"/>
  <c r="AZ264" i="3"/>
  <c r="BA263" i="3"/>
  <c r="BL248" i="3"/>
  <c r="AZ248" i="3"/>
  <c r="BA247" i="3"/>
  <c r="BL232" i="3"/>
  <c r="AZ232" i="3"/>
  <c r="BA231" i="3"/>
  <c r="BL216" i="3"/>
  <c r="AZ216" i="3"/>
  <c r="BA215" i="3"/>
  <c r="AZ215" i="3"/>
  <c r="BL200" i="3"/>
  <c r="AZ200" i="3"/>
  <c r="BA199" i="3"/>
  <c r="AZ199" i="3"/>
  <c r="BL184" i="3"/>
  <c r="AZ184" i="3"/>
  <c r="BL531" i="3"/>
  <c r="AZ531" i="3"/>
  <c r="BA530" i="3"/>
  <c r="AZ530" i="3"/>
  <c r="BL527" i="3"/>
  <c r="AZ527" i="3"/>
  <c r="BA526" i="3"/>
  <c r="AZ526" i="3"/>
  <c r="BL523" i="3"/>
  <c r="AZ523" i="3"/>
  <c r="BA522" i="3"/>
  <c r="AZ522" i="3"/>
  <c r="BL519" i="3"/>
  <c r="AZ519" i="3"/>
  <c r="BA518" i="3"/>
  <c r="AZ518" i="3"/>
  <c r="BL515" i="3"/>
  <c r="AZ515" i="3"/>
  <c r="BA514" i="3"/>
  <c r="AZ514" i="3"/>
  <c r="BL511" i="3"/>
  <c r="AZ511" i="3"/>
  <c r="BA510" i="3"/>
  <c r="AZ510" i="3"/>
  <c r="BL507" i="3"/>
  <c r="AZ507" i="3"/>
  <c r="BA506" i="3"/>
  <c r="AZ506" i="3"/>
  <c r="BL503" i="3"/>
  <c r="AZ503" i="3"/>
  <c r="BA502" i="3"/>
  <c r="AZ502" i="3"/>
  <c r="BL499" i="3"/>
  <c r="AZ499" i="3"/>
  <c r="BA498" i="3"/>
  <c r="AZ498" i="3"/>
  <c r="BL495" i="3"/>
  <c r="AZ495" i="3"/>
  <c r="BA494" i="3"/>
  <c r="AZ494" i="3"/>
  <c r="BL491" i="3"/>
  <c r="AZ491" i="3"/>
  <c r="BA490" i="3"/>
  <c r="AZ490" i="3"/>
  <c r="BL487" i="3"/>
  <c r="AZ487" i="3"/>
  <c r="BA486" i="3"/>
  <c r="AZ486" i="3"/>
  <c r="BL483" i="3"/>
  <c r="AZ483" i="3"/>
  <c r="BA482" i="3"/>
  <c r="AZ482" i="3"/>
  <c r="BL479" i="3"/>
  <c r="AZ479" i="3"/>
  <c r="BA478" i="3"/>
  <c r="AZ478" i="3"/>
  <c r="BL475" i="3"/>
  <c r="AZ475" i="3"/>
  <c r="BA474" i="3"/>
  <c r="AZ474" i="3"/>
  <c r="BL471" i="3"/>
  <c r="AZ471" i="3"/>
  <c r="BA470" i="3"/>
  <c r="AZ470" i="3"/>
  <c r="BL467" i="3"/>
  <c r="AZ467" i="3"/>
  <c r="BA466" i="3"/>
  <c r="AZ466" i="3"/>
  <c r="BL463" i="3"/>
  <c r="AZ463" i="3"/>
  <c r="BA462" i="3"/>
  <c r="AZ462" i="3"/>
  <c r="BL459" i="3"/>
  <c r="AZ459" i="3"/>
  <c r="BA458" i="3"/>
  <c r="AZ458" i="3"/>
  <c r="BL455" i="3"/>
  <c r="AZ455" i="3"/>
  <c r="BA454" i="3"/>
  <c r="BL451" i="3"/>
  <c r="AZ451" i="3"/>
  <c r="BA450" i="3"/>
  <c r="BL447" i="3"/>
  <c r="AZ447" i="3"/>
  <c r="BA446" i="3"/>
  <c r="AZ446" i="3"/>
  <c r="BL443" i="3"/>
  <c r="AZ443" i="3"/>
  <c r="BA442" i="3"/>
  <c r="AZ442" i="3"/>
  <c r="BL439" i="3"/>
  <c r="AZ439" i="3"/>
  <c r="BA438" i="3"/>
  <c r="AZ438" i="3"/>
  <c r="BL435" i="3"/>
  <c r="AZ435" i="3"/>
  <c r="BA434" i="3"/>
  <c r="AZ434" i="3"/>
  <c r="BL431" i="3"/>
  <c r="AZ431" i="3"/>
  <c r="BA430" i="3"/>
  <c r="AZ430" i="3"/>
  <c r="BL427" i="3"/>
  <c r="AZ427" i="3"/>
  <c r="BA426" i="3"/>
  <c r="AZ426" i="3"/>
  <c r="BL423" i="3"/>
  <c r="AZ423" i="3"/>
  <c r="BA422" i="3"/>
  <c r="AZ422" i="3"/>
  <c r="BL419" i="3"/>
  <c r="AZ419" i="3"/>
  <c r="BA418" i="3"/>
  <c r="AZ418" i="3"/>
  <c r="BL415" i="3"/>
  <c r="AZ415" i="3"/>
  <c r="BA414" i="3"/>
  <c r="AZ414" i="3"/>
  <c r="BL411" i="3"/>
  <c r="AZ411" i="3"/>
  <c r="BA410" i="3"/>
  <c r="AZ410" i="3"/>
  <c r="BL407" i="3"/>
  <c r="AZ407" i="3"/>
  <c r="BA406" i="3"/>
  <c r="AZ406" i="3"/>
  <c r="BL403" i="3"/>
  <c r="AZ403" i="3"/>
  <c r="BA402" i="3"/>
  <c r="AZ402" i="3"/>
  <c r="BL399" i="3"/>
  <c r="AZ399" i="3"/>
  <c r="BA398" i="3"/>
  <c r="AZ398" i="3"/>
  <c r="BL395" i="3"/>
  <c r="AZ395" i="3"/>
  <c r="BA394" i="3"/>
  <c r="AZ394" i="3"/>
  <c r="BL391" i="3"/>
  <c r="AZ391" i="3"/>
  <c r="BA390" i="3"/>
  <c r="AZ390" i="3"/>
  <c r="BL387" i="3"/>
  <c r="AZ387" i="3"/>
  <c r="BA386" i="3"/>
  <c r="AZ386" i="3"/>
  <c r="BL383" i="3"/>
  <c r="AZ383" i="3"/>
  <c r="BA382" i="3"/>
  <c r="AZ382" i="3"/>
  <c r="BL379" i="3"/>
  <c r="AZ379" i="3"/>
  <c r="BA378" i="3"/>
  <c r="AZ378" i="3"/>
  <c r="BL375" i="3"/>
  <c r="AZ375" i="3"/>
  <c r="BA374" i="3"/>
  <c r="AZ374" i="3"/>
  <c r="BL370" i="3"/>
  <c r="AZ370" i="3"/>
  <c r="BA369" i="3"/>
  <c r="AZ369" i="3"/>
  <c r="BL362" i="3"/>
  <c r="AZ362" i="3"/>
  <c r="BA361" i="3"/>
  <c r="BL354" i="3"/>
  <c r="AZ354" i="3"/>
  <c r="BA353" i="3"/>
  <c r="BL346" i="3"/>
  <c r="AZ346" i="3"/>
  <c r="BA345" i="3"/>
  <c r="BL338" i="3"/>
  <c r="AZ338" i="3"/>
  <c r="BL336" i="3"/>
  <c r="AZ336" i="3"/>
  <c r="BA335" i="3"/>
  <c r="BL320" i="3"/>
  <c r="AZ320" i="3"/>
  <c r="BA319" i="3"/>
  <c r="BL304" i="3"/>
  <c r="AZ304" i="3"/>
  <c r="BA303" i="3"/>
  <c r="BL288" i="3"/>
  <c r="AZ288" i="3"/>
  <c r="BA287" i="3"/>
  <c r="BL272" i="3"/>
  <c r="AZ272" i="3"/>
  <c r="BA271" i="3"/>
  <c r="BL256" i="3"/>
  <c r="AZ256" i="3"/>
  <c r="BA255" i="3"/>
  <c r="BL240" i="3"/>
  <c r="AZ240" i="3"/>
  <c r="BA239" i="3"/>
  <c r="BL224" i="3"/>
  <c r="AZ224" i="3"/>
  <c r="BA223" i="3"/>
  <c r="BL208" i="3"/>
  <c r="AZ208" i="3"/>
  <c r="BA207" i="3"/>
  <c r="AZ207" i="3"/>
  <c r="BL192" i="3"/>
  <c r="AZ192" i="3"/>
  <c r="BA191" i="3"/>
  <c r="AZ191" i="3"/>
  <c r="BL372" i="3"/>
  <c r="AZ372" i="3"/>
  <c r="BA371" i="3"/>
  <c r="AZ371" i="3"/>
  <c r="BL368" i="3"/>
  <c r="AZ368" i="3"/>
  <c r="BA367" i="3"/>
  <c r="AZ367" i="3"/>
  <c r="BL364" i="3"/>
  <c r="AZ364" i="3"/>
  <c r="BA363" i="3"/>
  <c r="BL360" i="3"/>
  <c r="AZ360" i="3"/>
  <c r="BA359" i="3"/>
  <c r="BL356" i="3"/>
  <c r="AZ356" i="3"/>
  <c r="BA355" i="3"/>
  <c r="BL352" i="3"/>
  <c r="AZ352" i="3"/>
  <c r="BA351" i="3"/>
  <c r="BL348" i="3"/>
  <c r="AZ348" i="3"/>
  <c r="BA347" i="3"/>
  <c r="BL344" i="3"/>
  <c r="AZ344" i="3"/>
  <c r="BA343" i="3"/>
  <c r="BL340" i="3"/>
  <c r="AZ340" i="3"/>
  <c r="BA339" i="3"/>
  <c r="BL332" i="3"/>
  <c r="AZ332" i="3"/>
  <c r="BA331" i="3"/>
  <c r="BL324" i="3"/>
  <c r="AZ324" i="3"/>
  <c r="BA323" i="3"/>
  <c r="BL316" i="3"/>
  <c r="AZ316" i="3"/>
  <c r="BA315" i="3"/>
  <c r="BL308" i="3"/>
  <c r="AZ308" i="3"/>
  <c r="BA307" i="3"/>
  <c r="BL300" i="3"/>
  <c r="AZ300" i="3"/>
  <c r="BA299" i="3"/>
  <c r="BL292" i="3"/>
  <c r="AZ292" i="3"/>
  <c r="BA291" i="3"/>
  <c r="BL284" i="3"/>
  <c r="AZ284" i="3"/>
  <c r="BA283" i="3"/>
  <c r="BL276" i="3"/>
  <c r="AZ276" i="3"/>
  <c r="BA275" i="3"/>
  <c r="BL268" i="3"/>
  <c r="AZ268" i="3"/>
  <c r="BA267" i="3"/>
  <c r="BL260" i="3"/>
  <c r="AZ260" i="3"/>
  <c r="BA259" i="3"/>
  <c r="BL252" i="3"/>
  <c r="AZ252" i="3"/>
  <c r="BA251" i="3"/>
  <c r="BL244" i="3"/>
  <c r="AZ244" i="3"/>
  <c r="BA243" i="3"/>
  <c r="BL236" i="3"/>
  <c r="AZ236" i="3"/>
  <c r="BA235" i="3"/>
  <c r="BL228" i="3"/>
  <c r="AZ228" i="3"/>
  <c r="BA227" i="3"/>
  <c r="BL220" i="3"/>
  <c r="AZ220" i="3"/>
  <c r="BA219" i="3"/>
  <c r="AZ219" i="3"/>
  <c r="BL212" i="3"/>
  <c r="AZ212" i="3"/>
  <c r="BA211" i="3"/>
  <c r="AZ211" i="3"/>
  <c r="BL204" i="3"/>
  <c r="AZ204" i="3"/>
  <c r="BA203" i="3"/>
  <c r="AZ203" i="3"/>
  <c r="BL196" i="3"/>
  <c r="AZ196" i="3"/>
  <c r="BA195" i="3"/>
  <c r="AZ195" i="3"/>
  <c r="BL188" i="3"/>
  <c r="AZ188" i="3"/>
  <c r="BA187" i="3"/>
  <c r="AZ187" i="3"/>
  <c r="BA337" i="3"/>
  <c r="BL334" i="3"/>
  <c r="AZ334" i="3"/>
  <c r="BA333" i="3"/>
  <c r="BL330" i="3"/>
  <c r="AZ330" i="3"/>
  <c r="BA329" i="3"/>
  <c r="BL326" i="3"/>
  <c r="AZ326" i="3"/>
  <c r="BA325" i="3"/>
  <c r="BL322" i="3"/>
  <c r="AZ322" i="3"/>
  <c r="BA321" i="3"/>
  <c r="BL318" i="3"/>
  <c r="AZ318" i="3"/>
  <c r="BA317" i="3"/>
  <c r="BL314" i="3"/>
  <c r="AZ314" i="3"/>
  <c r="BA313" i="3"/>
  <c r="BL310" i="3"/>
  <c r="AZ310" i="3"/>
  <c r="BA309" i="3"/>
  <c r="BL306" i="3"/>
  <c r="AZ306" i="3"/>
  <c r="BA305" i="3"/>
  <c r="BL302" i="3"/>
  <c r="AZ302" i="3"/>
  <c r="BA301" i="3"/>
  <c r="BL298" i="3"/>
  <c r="AZ298" i="3"/>
  <c r="BA297" i="3"/>
  <c r="BL294" i="3"/>
  <c r="AZ294" i="3"/>
  <c r="BA293" i="3"/>
  <c r="BL290" i="3"/>
  <c r="AZ290" i="3"/>
  <c r="BA289" i="3"/>
  <c r="BL286" i="3"/>
  <c r="AZ286" i="3"/>
  <c r="BA285" i="3"/>
  <c r="BL282" i="3"/>
  <c r="AZ282" i="3"/>
  <c r="BA281" i="3"/>
  <c r="BL278" i="3"/>
  <c r="AZ278" i="3"/>
  <c r="BA277" i="3"/>
  <c r="BL274" i="3"/>
  <c r="AZ274" i="3"/>
  <c r="BA273" i="3"/>
  <c r="BL270" i="3"/>
  <c r="AZ270" i="3"/>
  <c r="BA269" i="3"/>
  <c r="BL266" i="3"/>
  <c r="AZ266" i="3"/>
  <c r="BA265" i="3"/>
  <c r="BL262" i="3"/>
  <c r="AZ262" i="3"/>
  <c r="BA261" i="3"/>
  <c r="BL258" i="3"/>
  <c r="AZ258" i="3"/>
  <c r="BA257" i="3"/>
  <c r="BL254" i="3"/>
  <c r="AZ254" i="3"/>
  <c r="BA253" i="3"/>
  <c r="BL250" i="3"/>
  <c r="AZ250" i="3"/>
  <c r="BA249" i="3"/>
  <c r="BL246" i="3"/>
  <c r="AZ246" i="3"/>
  <c r="BA245" i="3"/>
  <c r="BL242" i="3"/>
  <c r="AZ242" i="3"/>
  <c r="BA241" i="3"/>
  <c r="BL238" i="3"/>
  <c r="AZ238" i="3"/>
  <c r="BA237" i="3"/>
  <c r="BL234" i="3"/>
  <c r="AZ234" i="3"/>
  <c r="BA233" i="3"/>
  <c r="BL230" i="3"/>
  <c r="AZ230" i="3"/>
  <c r="BA229" i="3"/>
  <c r="BL226" i="3"/>
  <c r="AZ226" i="3"/>
  <c r="BA225" i="3"/>
  <c r="BL222" i="3"/>
  <c r="AZ222" i="3"/>
  <c r="BA221" i="3"/>
  <c r="BL218" i="3"/>
  <c r="AZ218" i="3"/>
  <c r="BA217" i="3"/>
  <c r="AZ217" i="3"/>
  <c r="BL214" i="3"/>
  <c r="AZ214" i="3"/>
  <c r="BA213" i="3"/>
  <c r="AZ213" i="3"/>
  <c r="BL210" i="3"/>
  <c r="AZ210" i="3"/>
  <c r="BA209" i="3"/>
  <c r="AZ209" i="3"/>
  <c r="BL206" i="3"/>
  <c r="AZ206" i="3"/>
  <c r="BA205" i="3"/>
  <c r="AZ205" i="3"/>
  <c r="BL202" i="3"/>
  <c r="AZ202" i="3"/>
  <c r="BA201" i="3"/>
  <c r="AZ201" i="3"/>
  <c r="BL198" i="3"/>
  <c r="AZ198" i="3"/>
  <c r="BA197" i="3"/>
  <c r="AZ197" i="3"/>
  <c r="BL194" i="3"/>
  <c r="AZ194" i="3"/>
  <c r="BA193" i="3"/>
  <c r="AZ193" i="3"/>
  <c r="BL190" i="3"/>
  <c r="AZ190" i="3"/>
  <c r="BA189" i="3"/>
  <c r="AZ189" i="3"/>
  <c r="BL186" i="3"/>
  <c r="AZ186" i="3"/>
  <c r="BA185" i="3"/>
  <c r="AZ185" i="3"/>
  <c r="BA169" i="3"/>
  <c r="AZ169" i="3"/>
  <c r="BL166" i="3"/>
  <c r="AZ166" i="3"/>
  <c r="BA165" i="3"/>
  <c r="AZ165" i="3"/>
  <c r="BL162" i="3"/>
  <c r="AZ162" i="3"/>
  <c r="BA161" i="3"/>
  <c r="AZ161" i="3"/>
  <c r="BL158" i="3"/>
  <c r="AZ158" i="3"/>
  <c r="BA157" i="3"/>
  <c r="AZ157" i="3"/>
  <c r="BL154" i="3"/>
  <c r="AZ154" i="3"/>
  <c r="BA153" i="3"/>
  <c r="AZ153" i="3"/>
  <c r="BL150" i="3"/>
  <c r="AZ150" i="3"/>
  <c r="BA149" i="3"/>
  <c r="AZ149" i="3"/>
  <c r="BL146" i="3"/>
  <c r="AZ146" i="3"/>
  <c r="BA145" i="3"/>
  <c r="AZ145" i="3"/>
  <c r="BL142" i="3"/>
  <c r="AZ142" i="3"/>
  <c r="BA141" i="3"/>
  <c r="AZ141" i="3"/>
  <c r="BL138" i="3"/>
  <c r="AZ138" i="3"/>
  <c r="BA137" i="3"/>
  <c r="AZ137" i="3"/>
  <c r="BL134" i="3"/>
  <c r="AZ134" i="3"/>
  <c r="BA133" i="3"/>
  <c r="AZ133" i="3"/>
  <c r="BL130" i="3"/>
  <c r="AZ130" i="3"/>
  <c r="BA129" i="3"/>
  <c r="AZ129" i="3"/>
  <c r="BL126" i="3"/>
  <c r="AZ126" i="3"/>
  <c r="BA125" i="3"/>
  <c r="AZ125" i="3"/>
  <c r="BL122" i="3"/>
  <c r="AZ122" i="3"/>
  <c r="BA121" i="3"/>
  <c r="AZ121" i="3"/>
  <c r="BL118" i="3"/>
  <c r="AZ118" i="3"/>
  <c r="BA117" i="3"/>
  <c r="AZ117" i="3"/>
  <c r="BL114" i="3"/>
  <c r="AZ114" i="3"/>
  <c r="BA113" i="3"/>
  <c r="AZ113" i="3"/>
  <c r="BL110" i="3"/>
  <c r="AZ110" i="3"/>
  <c r="BA109" i="3"/>
  <c r="AZ109" i="3"/>
  <c r="BL106" i="3"/>
  <c r="BA105" i="3"/>
  <c r="AZ105" i="3"/>
  <c r="BL102" i="3"/>
  <c r="BA101" i="3"/>
  <c r="AZ101" i="3"/>
  <c r="BL98" i="3"/>
  <c r="BA97" i="3"/>
  <c r="AZ97" i="3"/>
  <c r="BL94" i="3"/>
  <c r="BA93" i="3"/>
  <c r="AZ93" i="3"/>
  <c r="BL90" i="3"/>
  <c r="BA89" i="3"/>
  <c r="AZ89" i="3"/>
  <c r="BL84" i="3"/>
  <c r="BA83" i="3"/>
  <c r="AZ83" i="3"/>
  <c r="BL76" i="3"/>
  <c r="BA75" i="3"/>
  <c r="AZ75" i="3"/>
  <c r="BL68" i="3"/>
  <c r="BA67" i="3"/>
  <c r="AZ67" i="3"/>
  <c r="BL60" i="3"/>
  <c r="BA59" i="3"/>
  <c r="AZ59" i="3"/>
  <c r="BL52" i="3"/>
  <c r="BA51" i="3"/>
  <c r="AZ51" i="3"/>
  <c r="BL38" i="3"/>
  <c r="BA37" i="3"/>
  <c r="AZ37" i="3"/>
  <c r="BL22" i="3"/>
  <c r="BL168" i="3"/>
  <c r="AZ168" i="3"/>
  <c r="BA167" i="3"/>
  <c r="AZ167" i="3"/>
  <c r="BL164" i="3"/>
  <c r="AZ164" i="3"/>
  <c r="BA163" i="3"/>
  <c r="AZ163" i="3"/>
  <c r="BL160" i="3"/>
  <c r="AZ160" i="3"/>
  <c r="BA159" i="3"/>
  <c r="AZ159" i="3"/>
  <c r="BL156" i="3"/>
  <c r="AZ156" i="3"/>
  <c r="BA155" i="3"/>
  <c r="AZ155" i="3"/>
  <c r="BL152" i="3"/>
  <c r="AZ152" i="3"/>
  <c r="BA151" i="3"/>
  <c r="AZ151" i="3"/>
  <c r="BL148" i="3"/>
  <c r="AZ148" i="3"/>
  <c r="BA147" i="3"/>
  <c r="AZ147" i="3"/>
  <c r="BL144" i="3"/>
  <c r="AZ144" i="3"/>
  <c r="BA143" i="3"/>
  <c r="AZ143" i="3"/>
  <c r="BL140" i="3"/>
  <c r="AZ140" i="3"/>
  <c r="BA139" i="3"/>
  <c r="AZ139" i="3"/>
  <c r="BL136" i="3"/>
  <c r="AZ136" i="3"/>
  <c r="BA135" i="3"/>
  <c r="AZ135" i="3"/>
  <c r="BL132" i="3"/>
  <c r="AZ132" i="3"/>
  <c r="BA131" i="3"/>
  <c r="AZ131" i="3"/>
  <c r="BL128" i="3"/>
  <c r="AZ128" i="3"/>
  <c r="BA127" i="3"/>
  <c r="AZ127" i="3"/>
  <c r="BL124" i="3"/>
  <c r="AZ124" i="3"/>
  <c r="BA123" i="3"/>
  <c r="AZ123" i="3"/>
  <c r="BL120" i="3"/>
  <c r="AZ120" i="3"/>
  <c r="BA119" i="3"/>
  <c r="AZ119" i="3"/>
  <c r="BL116" i="3"/>
  <c r="AZ116" i="3"/>
  <c r="BA115" i="3"/>
  <c r="AZ115" i="3"/>
  <c r="BL112" i="3"/>
  <c r="AZ112" i="3"/>
  <c r="BA111" i="3"/>
  <c r="AZ111" i="3"/>
  <c r="BL108" i="3"/>
  <c r="AZ108" i="3"/>
  <c r="BA107" i="3"/>
  <c r="AZ107" i="3"/>
  <c r="BL104" i="3"/>
  <c r="BA103" i="3"/>
  <c r="AZ103" i="3"/>
  <c r="BL100" i="3"/>
  <c r="BA99" i="3"/>
  <c r="AZ99" i="3"/>
  <c r="BL96" i="3"/>
  <c r="BA95" i="3"/>
  <c r="AZ95" i="3"/>
  <c r="BL92" i="3"/>
  <c r="BA91" i="3"/>
  <c r="AZ91" i="3"/>
  <c r="BL88" i="3"/>
  <c r="BA87" i="3"/>
  <c r="AZ87" i="3"/>
  <c r="BL80" i="3"/>
  <c r="BA79" i="3"/>
  <c r="AZ79" i="3"/>
  <c r="BL72" i="3"/>
  <c r="BA71" i="3"/>
  <c r="AZ71" i="3"/>
  <c r="BL64" i="3"/>
  <c r="BA63" i="3"/>
  <c r="AZ63" i="3"/>
  <c r="BL56" i="3"/>
  <c r="BA55" i="3"/>
  <c r="AZ55" i="3"/>
  <c r="BL46" i="3"/>
  <c r="BA45" i="3"/>
  <c r="AZ45" i="3"/>
  <c r="BL30" i="3"/>
  <c r="BA29" i="3"/>
  <c r="AZ29" i="3"/>
  <c r="BL15" i="3"/>
  <c r="BA14" i="3"/>
  <c r="BL86" i="3"/>
  <c r="BA85" i="3"/>
  <c r="AZ85" i="3" s="1"/>
  <c r="BL82" i="3"/>
  <c r="BA81" i="3"/>
  <c r="AZ81" i="3" s="1"/>
  <c r="BL78" i="3"/>
  <c r="BA77" i="3"/>
  <c r="AZ77" i="3" s="1"/>
  <c r="BL74" i="3"/>
  <c r="BA73" i="3"/>
  <c r="AZ73" i="3" s="1"/>
  <c r="BL70" i="3"/>
  <c r="BA69" i="3"/>
  <c r="AZ69" i="3" s="1"/>
  <c r="BL66" i="3"/>
  <c r="BA65" i="3"/>
  <c r="AZ65" i="3" s="1"/>
  <c r="BL62" i="3"/>
  <c r="BA61" i="3"/>
  <c r="AZ61" i="3" s="1"/>
  <c r="BL58" i="3"/>
  <c r="BA57" i="3"/>
  <c r="AZ57" i="3" s="1"/>
  <c r="BL54" i="3"/>
  <c r="BA53" i="3"/>
  <c r="AZ53" i="3" s="1"/>
  <c r="BL50" i="3"/>
  <c r="BA49" i="3"/>
  <c r="AZ49" i="3" s="1"/>
  <c r="BL42" i="3"/>
  <c r="BA41" i="3"/>
  <c r="AZ41" i="3" s="1"/>
  <c r="BL34" i="3"/>
  <c r="BA33" i="3"/>
  <c r="AZ33" i="3" s="1"/>
  <c r="BL26" i="3"/>
  <c r="BA25" i="3"/>
  <c r="AZ25" i="3" s="1"/>
  <c r="BL19" i="3"/>
  <c r="BA18" i="3"/>
  <c r="AZ18" i="3" s="1"/>
  <c r="BL48" i="3"/>
  <c r="BA47" i="3"/>
  <c r="AZ47" i="3" s="1"/>
  <c r="BL44" i="3"/>
  <c r="BA43" i="3"/>
  <c r="AZ43" i="3" s="1"/>
  <c r="BL40" i="3"/>
  <c r="BA39" i="3"/>
  <c r="AZ39" i="3" s="1"/>
  <c r="BL36" i="3"/>
  <c r="BA35" i="3"/>
  <c r="AZ35" i="3" s="1"/>
  <c r="BL32" i="3"/>
  <c r="BA31" i="3"/>
  <c r="AZ31" i="3" s="1"/>
  <c r="BL28" i="3"/>
  <c r="BA27" i="3"/>
  <c r="AZ27" i="3" s="1"/>
  <c r="BL24" i="3"/>
  <c r="BA23" i="3"/>
  <c r="AZ23" i="3" s="1"/>
  <c r="BL21" i="3"/>
  <c r="BA20" i="3"/>
  <c r="AZ20" i="3" s="1"/>
  <c r="BL17" i="3"/>
  <c r="BA16" i="3"/>
  <c r="AZ16" i="3" s="1"/>
  <c r="BL13" i="3"/>
  <c r="E9" i="43"/>
  <c r="E11" i="43"/>
  <c r="E8" i="43"/>
  <c r="C7" i="43"/>
  <c r="E10" i="43"/>
  <c r="D6" i="71"/>
  <c r="D7" i="71"/>
  <c r="C11" i="71"/>
  <c r="D12" i="71"/>
  <c r="U12" i="71"/>
  <c r="J17" i="43"/>
  <c r="H17" i="43"/>
  <c r="C24" i="71"/>
  <c r="C16" i="71"/>
  <c r="BB5" i="3"/>
  <c r="I4" i="6"/>
  <c r="J37" i="34"/>
  <c r="AC37" i="34" s="1"/>
  <c r="C51" i="10"/>
  <c r="A13" i="51"/>
  <c r="B11" i="72" s="1"/>
  <c r="A118" i="79"/>
  <c r="A2" i="79"/>
  <c r="P16" i="1"/>
  <c r="C11" i="12" s="1"/>
  <c r="C12" i="12" s="1"/>
  <c r="U30" i="33"/>
  <c r="AB34" i="33"/>
  <c r="AA23" i="33"/>
  <c r="S25" i="33"/>
  <c r="S43" i="33"/>
  <c r="W40" i="33"/>
  <c r="C29" i="39"/>
  <c r="B66" i="43"/>
  <c r="U41" i="33"/>
  <c r="U40" i="33"/>
  <c r="W39" i="33"/>
  <c r="AB26" i="33"/>
  <c r="W27" i="33"/>
  <c r="S41" i="33"/>
  <c r="G111" i="33"/>
  <c r="H111" i="33" s="1"/>
  <c r="I111" i="33" s="1"/>
  <c r="J111" i="33" s="1"/>
  <c r="K111" i="33" s="1"/>
  <c r="L111" i="33" s="1"/>
  <c r="M111" i="33" s="1"/>
  <c r="J36" i="33"/>
  <c r="F36" i="33"/>
  <c r="AA36" i="33" s="1"/>
  <c r="S9" i="33"/>
  <c r="G11" i="1"/>
  <c r="C7" i="34"/>
  <c r="C59" i="34"/>
  <c r="C42" i="1"/>
  <c r="C7" i="39"/>
  <c r="C68" i="39" s="1"/>
  <c r="D68" i="39" s="1"/>
  <c r="D70" i="39" s="1"/>
  <c r="C7" i="33"/>
  <c r="C58" i="33" s="1"/>
  <c r="C7" i="21"/>
  <c r="C58" i="21" s="1"/>
  <c r="G19" i="43"/>
  <c r="J51" i="15"/>
  <c r="C7" i="37"/>
  <c r="C52" i="37" s="1"/>
  <c r="C7" i="36"/>
  <c r="C46" i="36" s="1"/>
  <c r="D63" i="40"/>
  <c r="E63" i="40" s="1"/>
  <c r="F63" i="40" s="1"/>
  <c r="E4" i="49"/>
  <c r="B6" i="49"/>
  <c r="B13" i="49"/>
  <c r="E6" i="49"/>
  <c r="W37" i="34"/>
  <c r="G37" i="34"/>
  <c r="H37" i="34" s="1"/>
  <c r="AB37" i="34" s="1"/>
  <c r="E9" i="49"/>
  <c r="B11" i="49"/>
  <c r="E4" i="4" s="1"/>
  <c r="B5" i="62" s="1"/>
  <c r="B73" i="72" s="1"/>
  <c r="E7" i="49"/>
  <c r="B10" i="49"/>
  <c r="E37" i="34"/>
  <c r="F37" i="34"/>
  <c r="S37" i="34" s="1"/>
  <c r="E15" i="6"/>
  <c r="E65" i="39" s="1"/>
  <c r="E8" i="6"/>
  <c r="E14" i="6"/>
  <c r="G3" i="43"/>
  <c r="B113" i="43" s="1"/>
  <c r="C11" i="39"/>
  <c r="D9" i="68"/>
  <c r="C9" i="68" s="1"/>
  <c r="D19" i="12"/>
  <c r="C19" i="12" s="1"/>
  <c r="K6" i="1"/>
  <c r="G1" i="68"/>
  <c r="B6" i="1"/>
  <c r="E6" i="1"/>
  <c r="G1" i="67"/>
  <c r="G1" i="15"/>
  <c r="F3" i="35"/>
  <c r="K1" i="12"/>
  <c r="G1" i="69"/>
  <c r="AR7" i="1"/>
  <c r="E11" i="49"/>
  <c r="B8" i="49"/>
  <c r="B4" i="49"/>
  <c r="E5" i="49"/>
  <c r="E10" i="49"/>
  <c r="E8" i="49"/>
  <c r="E16" i="49"/>
  <c r="B9" i="49"/>
  <c r="B5" i="49"/>
  <c r="E22" i="49"/>
  <c r="B14" i="49"/>
  <c r="B7" i="49"/>
  <c r="C4" i="4" s="1"/>
  <c r="B4" i="62" s="1"/>
  <c r="B71" i="72" s="1"/>
  <c r="B22" i="49"/>
  <c r="S33" i="33"/>
  <c r="U32" i="33"/>
  <c r="AA44" i="33"/>
  <c r="I52" i="39"/>
  <c r="J52" i="39" s="1"/>
  <c r="G52" i="39"/>
  <c r="H52" i="39" s="1"/>
  <c r="B56" i="39"/>
  <c r="F56" i="39" s="1"/>
  <c r="B61" i="39"/>
  <c r="B60" i="39"/>
  <c r="F60" i="39" s="1"/>
  <c r="B59" i="39"/>
  <c r="F59" i="39" s="1"/>
  <c r="B64" i="39"/>
  <c r="H51" i="39"/>
  <c r="C77" i="79"/>
  <c r="C74" i="79" s="1"/>
  <c r="D55" i="71"/>
  <c r="D54" i="71"/>
  <c r="B50" i="71"/>
  <c r="N50" i="71" s="1"/>
  <c r="T44" i="71"/>
  <c r="D44" i="71"/>
  <c r="T28" i="71"/>
  <c r="D28" i="71"/>
  <c r="U39" i="40"/>
  <c r="AB39" i="40"/>
  <c r="AB38" i="40"/>
  <c r="U38" i="40"/>
  <c r="U24" i="36"/>
  <c r="AB24" i="36"/>
  <c r="AC23" i="35"/>
  <c r="W23" i="35"/>
  <c r="S26" i="33"/>
  <c r="Q50" i="71"/>
  <c r="Q49" i="71"/>
  <c r="S26" i="35"/>
  <c r="D16" i="71"/>
  <c r="T16" i="71"/>
  <c r="D24" i="71"/>
  <c r="T24" i="71"/>
  <c r="AZ14"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366" i="3"/>
  <c r="E553" i="3"/>
  <c r="E282" i="3"/>
  <c r="N6" i="3"/>
  <c r="E347" i="3"/>
  <c r="AA6" i="3"/>
  <c r="E399" i="3"/>
  <c r="E280" i="3"/>
  <c r="E124" i="3"/>
  <c r="E397" i="3"/>
  <c r="E568" i="3"/>
  <c r="I6" i="3"/>
  <c r="E536" i="3"/>
  <c r="E549" i="3"/>
  <c r="E453" i="3"/>
  <c r="E368" i="3"/>
  <c r="E244"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53" i="3"/>
  <c r="E319" i="3"/>
  <c r="E501" i="3"/>
  <c r="E153" i="3"/>
  <c r="E426" i="3"/>
  <c r="E328" i="3"/>
  <c r="E539" i="3"/>
  <c r="E567" i="3"/>
  <c r="E461" i="3"/>
  <c r="E227" i="3"/>
  <c r="E165" i="3"/>
  <c r="E353" i="3"/>
  <c r="E495" i="3"/>
  <c r="AN6" i="3"/>
  <c r="E586" i="3"/>
  <c r="E402" i="3"/>
  <c r="E350" i="3"/>
  <c r="E303" i="3"/>
  <c r="E301" i="3"/>
  <c r="E159" i="3"/>
  <c r="E99" i="3"/>
  <c r="E228" i="3"/>
  <c r="E157" i="3"/>
  <c r="E77" i="3"/>
  <c r="E253" i="3"/>
  <c r="E199" i="3"/>
  <c r="E286" i="3"/>
  <c r="E575"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D71" i="71"/>
  <c r="D70" i="71"/>
  <c r="AC38" i="40"/>
  <c r="AA44" i="39"/>
  <c r="U12" i="36"/>
  <c r="D67" i="71"/>
  <c r="D66" i="71"/>
  <c r="K14" i="1"/>
  <c r="M14" i="1" s="1"/>
  <c r="AC26" i="35"/>
  <c r="W26" i="35"/>
  <c r="AB26" i="35"/>
  <c r="U26" i="35"/>
  <c r="W36" i="33"/>
  <c r="AC36" i="33"/>
  <c r="S36" i="33"/>
  <c r="D52" i="37"/>
  <c r="E52" i="37" s="1"/>
  <c r="F52" i="37" s="1"/>
  <c r="P21" i="43"/>
  <c r="P22" i="43"/>
  <c r="D58" i="33"/>
  <c r="E58" i="33" s="1"/>
  <c r="F58" i="33"/>
  <c r="G58" i="33" s="1"/>
  <c r="H58" i="33" s="1"/>
  <c r="C28" i="15"/>
  <c r="C48" i="68"/>
  <c r="C74" i="9"/>
  <c r="C24" i="12"/>
  <c r="C13" i="12"/>
  <c r="C48" i="69"/>
  <c r="C30" i="69"/>
  <c r="C30" i="68"/>
  <c r="C28" i="67"/>
  <c r="C77" i="9"/>
  <c r="C36" i="11"/>
  <c r="D65" i="40"/>
  <c r="D46" i="36"/>
  <c r="E46" i="36" s="1"/>
  <c r="F46" i="36"/>
  <c r="G46" i="36" s="1"/>
  <c r="H46" i="36" s="1"/>
  <c r="D58" i="21"/>
  <c r="E58" i="21" s="1"/>
  <c r="F58" i="21"/>
  <c r="G58" i="21" s="1"/>
  <c r="H58" i="21" s="1"/>
  <c r="I58" i="21" s="1"/>
  <c r="J58" i="21" s="1"/>
  <c r="K58" i="21" s="1"/>
  <c r="L58" i="21" s="1"/>
  <c r="M58" i="21" s="1"/>
  <c r="N58" i="21" s="1"/>
  <c r="O58" i="21" s="1"/>
  <c r="C70" i="39"/>
  <c r="D59" i="34"/>
  <c r="E59" i="34" s="1"/>
  <c r="F59" i="34" s="1"/>
  <c r="AA37" i="34"/>
  <c r="U37" i="34"/>
  <c r="E56" i="39"/>
  <c r="F27" i="6"/>
  <c r="F31" i="6" s="1"/>
  <c r="E51" i="40"/>
  <c r="F66" i="39"/>
  <c r="B2" i="39" s="1"/>
  <c r="F11" i="39"/>
  <c r="E64" i="39"/>
  <c r="E59" i="40"/>
  <c r="E60" i="40"/>
  <c r="K16" i="1"/>
  <c r="Q16" i="1"/>
  <c r="F28" i="12" s="1"/>
  <c r="C29" i="12" s="1"/>
  <c r="D28" i="12" s="1"/>
  <c r="C34" i="69"/>
  <c r="C35" i="69" s="1"/>
  <c r="N49" i="71"/>
  <c r="E68" i="39"/>
  <c r="E65" i="40"/>
  <c r="S11" i="39"/>
  <c r="AA11" i="39"/>
  <c r="F27" i="69"/>
  <c r="C47" i="69" s="1"/>
  <c r="D45" i="69" s="1"/>
  <c r="F27" i="11"/>
  <c r="C47" i="11" s="1"/>
  <c r="G63" i="40"/>
  <c r="F65" i="40"/>
  <c r="F68" i="39"/>
  <c r="E70" i="39"/>
  <c r="D45" i="11"/>
  <c r="G68" i="39"/>
  <c r="F70" i="39"/>
  <c r="H63" i="40"/>
  <c r="G65" i="40"/>
  <c r="I63" i="40"/>
  <c r="H65" i="40"/>
  <c r="H68" i="39"/>
  <c r="G70" i="39"/>
  <c r="I68" i="39"/>
  <c r="H70" i="39"/>
  <c r="I65" i="40"/>
  <c r="J63" i="40"/>
  <c r="J65" i="40" s="1"/>
  <c r="I70" i="39"/>
  <c r="J68" i="39"/>
  <c r="K63" i="40"/>
  <c r="K65" i="40" s="1"/>
  <c r="K68" i="39"/>
  <c r="J70" i="39"/>
  <c r="L63" i="40"/>
  <c r="L65" i="40" s="1"/>
  <c r="M63" i="40"/>
  <c r="N63" i="40" s="1"/>
  <c r="L68" i="39"/>
  <c r="L70" i="39" s="1"/>
  <c r="K70" i="39"/>
  <c r="M68" i="39"/>
  <c r="N68" i="39" s="1"/>
  <c r="M65" i="40"/>
  <c r="M70" i="39"/>
  <c r="R28" i="31"/>
  <c r="S28" i="31" s="1"/>
  <c r="D35" i="79"/>
  <c r="E10" i="76"/>
  <c r="AO8" i="1"/>
  <c r="F43" i="67"/>
  <c r="F42" i="67"/>
  <c r="F7" i="67"/>
  <c r="M22" i="15"/>
  <c r="D34" i="79"/>
  <c r="B11" i="76"/>
  <c r="F9" i="67"/>
  <c r="F36" i="67"/>
  <c r="M24" i="67"/>
  <c r="D5" i="73"/>
  <c r="F20" i="31"/>
  <c r="B9" i="76"/>
  <c r="M6" i="67"/>
  <c r="F37" i="67"/>
  <c r="C76" i="67"/>
  <c r="AO13" i="1"/>
  <c r="D2" i="21"/>
  <c r="AO9" i="1"/>
  <c r="D2" i="37"/>
  <c r="B8" i="76"/>
  <c r="M29" i="67"/>
  <c r="F40" i="67"/>
  <c r="F13" i="67"/>
  <c r="M26" i="67"/>
  <c r="D2" i="33"/>
  <c r="B12" i="76"/>
  <c r="D6" i="73"/>
  <c r="E2" i="69"/>
  <c r="C76" i="15"/>
  <c r="F26" i="67"/>
  <c r="D3" i="73"/>
  <c r="B13" i="76"/>
  <c r="B7" i="76"/>
  <c r="F4" i="73"/>
  <c r="B10" i="76"/>
  <c r="L48" i="67"/>
  <c r="F8" i="67"/>
  <c r="M23" i="67"/>
  <c r="M21" i="67"/>
  <c r="E2" i="68"/>
  <c r="D2" i="35"/>
  <c r="F6" i="73"/>
  <c r="M22" i="67"/>
  <c r="F7" i="73"/>
  <c r="F5" i="73"/>
  <c r="AO10" i="1"/>
  <c r="J15" i="67"/>
  <c r="L48" i="15"/>
  <c r="M8" i="67"/>
  <c r="AO12" i="1"/>
  <c r="F41" i="67"/>
  <c r="D2" i="34"/>
  <c r="M28" i="67"/>
  <c r="F3" i="73"/>
  <c r="E9" i="76"/>
  <c r="E11" i="76"/>
  <c r="F35" i="67"/>
  <c r="M27" i="67"/>
  <c r="E7" i="76"/>
  <c r="AO7" i="1"/>
  <c r="M26" i="15"/>
  <c r="AO11" i="1"/>
  <c r="E13" i="76"/>
  <c r="D2" i="36"/>
  <c r="F16" i="67"/>
  <c r="D4" i="73"/>
  <c r="F6" i="67"/>
  <c r="F31" i="67" s="1"/>
  <c r="F38" i="67"/>
  <c r="E12" i="76"/>
  <c r="L47" i="67"/>
  <c r="M9" i="67"/>
  <c r="F7" i="15"/>
  <c r="D7" i="73"/>
  <c r="E8" i="76"/>
  <c r="F9" i="15"/>
  <c r="C108" i="43" l="1"/>
  <c r="AA11" i="43"/>
  <c r="AA13" i="43" s="1"/>
  <c r="AG11" i="43"/>
  <c r="AG13" i="43" s="1"/>
  <c r="N104" i="46"/>
  <c r="AJ11" i="43"/>
  <c r="AJ13" i="43" s="1"/>
  <c r="AD11" i="43"/>
  <c r="AD13" i="43" s="1"/>
  <c r="F22" i="43"/>
  <c r="AC11" i="43"/>
  <c r="AC13" i="43" s="1"/>
  <c r="AB11" i="43"/>
  <c r="AB13" i="43" s="1"/>
  <c r="J22" i="43"/>
  <c r="AI11" i="43"/>
  <c r="AI13" i="43" s="1"/>
  <c r="E101" i="43"/>
  <c r="E106" i="43" s="1"/>
  <c r="N101" i="43"/>
  <c r="N102" i="43" s="1"/>
  <c r="L101" i="43"/>
  <c r="L103" i="43" s="1"/>
  <c r="N107" i="43"/>
  <c r="E109" i="43"/>
  <c r="Z7" i="43"/>
  <c r="AF11" i="43"/>
  <c r="AF13" i="43" s="1"/>
  <c r="I101" i="43"/>
  <c r="I105" i="43" s="1"/>
  <c r="Y11" i="43"/>
  <c r="Y13" i="43" s="1"/>
  <c r="AE11" i="43"/>
  <c r="AE13" i="43" s="1"/>
  <c r="Z11" i="43"/>
  <c r="Z13" i="43" s="1"/>
  <c r="AH11" i="43"/>
  <c r="AH13" i="43" s="1"/>
  <c r="M101" i="43"/>
  <c r="J101" i="43"/>
  <c r="J103" i="43" s="1"/>
  <c r="K101" i="43"/>
  <c r="C101" i="43"/>
  <c r="G22" i="43"/>
  <c r="D115" i="43"/>
  <c r="E115" i="43" s="1"/>
  <c r="F115" i="43" s="1"/>
  <c r="G115" i="43" s="1"/>
  <c r="H115" i="43" s="1"/>
  <c r="D118" i="43"/>
  <c r="E118" i="43" s="1"/>
  <c r="F118" i="43" s="1"/>
  <c r="B115" i="43"/>
  <c r="I117" i="43"/>
  <c r="J117" i="43" s="1"/>
  <c r="K117" i="43" s="1"/>
  <c r="L117" i="43" s="1"/>
  <c r="M117" i="43" s="1"/>
  <c r="G118" i="43"/>
  <c r="H118" i="43" s="1"/>
  <c r="D116" i="43"/>
  <c r="E116" i="43" s="1"/>
  <c r="F116" i="43" s="1"/>
  <c r="G116" i="43" s="1"/>
  <c r="H116" i="43" s="1"/>
  <c r="D117" i="43"/>
  <c r="E117" i="43" s="1"/>
  <c r="F117" i="43" s="1"/>
  <c r="G117" i="43" s="1"/>
  <c r="H117" i="43" s="1"/>
  <c r="B116" i="43"/>
  <c r="C116" i="43" s="1"/>
  <c r="B117" i="43"/>
  <c r="C117" i="43" s="1"/>
  <c r="B118" i="43"/>
  <c r="C118" i="43" s="1"/>
  <c r="I115" i="43"/>
  <c r="J115" i="43" s="1"/>
  <c r="K115" i="43" s="1"/>
  <c r="L115" i="43" s="1"/>
  <c r="M115" i="43" s="1"/>
  <c r="I116" i="43"/>
  <c r="J116" i="43" s="1"/>
  <c r="K116" i="43" s="1"/>
  <c r="L116" i="43" s="1"/>
  <c r="M116" i="43" s="1"/>
  <c r="I118" i="43"/>
  <c r="J118" i="43" s="1"/>
  <c r="K118" i="43" s="1"/>
  <c r="L118" i="43" s="1"/>
  <c r="M118" i="43" s="1"/>
  <c r="K105" i="43"/>
  <c r="K109" i="43"/>
  <c r="K104" i="43"/>
  <c r="N106" i="43"/>
  <c r="J106" i="43"/>
  <c r="J102" i="43"/>
  <c r="M106" i="43"/>
  <c r="M105" i="43"/>
  <c r="I104" i="43"/>
  <c r="G101" i="43"/>
  <c r="F101" i="43"/>
  <c r="D101" i="43"/>
  <c r="E22" i="43"/>
  <c r="H101" i="43"/>
  <c r="H22" i="43"/>
  <c r="C6" i="43"/>
  <c r="D5" i="43" s="1"/>
  <c r="C16" i="43"/>
  <c r="C38" i="69"/>
  <c r="F50" i="15"/>
  <c r="M7" i="15"/>
  <c r="C27" i="67"/>
  <c r="J53" i="15"/>
  <c r="J57" i="15"/>
  <c r="J55" i="15" s="1"/>
  <c r="J58" i="15" s="1"/>
  <c r="Q50" i="15" s="1"/>
  <c r="J60" i="15"/>
  <c r="Q48" i="15" s="1"/>
  <c r="J59" i="15"/>
  <c r="L56" i="15"/>
  <c r="I54" i="15"/>
  <c r="L57" i="15"/>
  <c r="L60" i="15"/>
  <c r="Q71" i="67"/>
  <c r="Q71" i="15"/>
  <c r="L59" i="67"/>
  <c r="N59" i="67"/>
  <c r="M59" i="67"/>
  <c r="L58" i="67"/>
  <c r="B10" i="70"/>
  <c r="B7" i="70"/>
  <c r="F66" i="67"/>
  <c r="F65" i="67"/>
  <c r="M7" i="67"/>
  <c r="J6" i="67" s="1"/>
  <c r="F50" i="67"/>
  <c r="C6" i="67"/>
  <c r="F69" i="67"/>
  <c r="E20" i="43"/>
  <c r="B12" i="70"/>
  <c r="F70" i="67"/>
  <c r="J20" i="67"/>
  <c r="C34" i="67"/>
  <c r="F63" i="67"/>
  <c r="F51" i="67"/>
  <c r="F68" i="67"/>
  <c r="F64" i="67"/>
  <c r="F71" i="67"/>
  <c r="I54" i="67"/>
  <c r="J57" i="67"/>
  <c r="J55" i="67" s="1"/>
  <c r="J58" i="67" s="1"/>
  <c r="Q50" i="67" s="1"/>
  <c r="L56" i="67"/>
  <c r="B8" i="70"/>
  <c r="I1" i="73"/>
  <c r="B39" i="1" s="1"/>
  <c r="B9" i="70"/>
  <c r="B11" i="70"/>
  <c r="B13" i="70"/>
  <c r="O68" i="39"/>
  <c r="O70" i="39" s="1"/>
  <c r="N70" i="39"/>
  <c r="J7" i="39"/>
  <c r="H7" i="39"/>
  <c r="F7" i="39"/>
  <c r="O63" i="40"/>
  <c r="O65" i="40" s="1"/>
  <c r="N65" i="40"/>
  <c r="F7" i="40" s="1"/>
  <c r="G59" i="34"/>
  <c r="H59" i="34" s="1"/>
  <c r="I59" i="34" s="1"/>
  <c r="J59" i="34" s="1"/>
  <c r="K59" i="34" s="1"/>
  <c r="L59" i="34" s="1"/>
  <c r="M59" i="34" s="1"/>
  <c r="N59" i="34" s="1"/>
  <c r="O59" i="34" s="1"/>
  <c r="F7" i="34"/>
  <c r="I46" i="36"/>
  <c r="J46" i="36" s="1"/>
  <c r="K46" i="36" s="1"/>
  <c r="L46" i="36" s="1"/>
  <c r="M46" i="36" s="1"/>
  <c r="N46" i="36" s="1"/>
  <c r="O46" i="36" s="1"/>
  <c r="J7" i="36"/>
  <c r="I58" i="33"/>
  <c r="J58" i="33" s="1"/>
  <c r="K58" i="33" s="1"/>
  <c r="L58" i="33" s="1"/>
  <c r="M58" i="33" s="1"/>
  <c r="N58" i="33" s="1"/>
  <c r="O58" i="33" s="1"/>
  <c r="J7" i="33"/>
  <c r="G52" i="37"/>
  <c r="H52" i="37" s="1"/>
  <c r="I52" i="37" s="1"/>
  <c r="J52" i="37" s="1"/>
  <c r="K52" i="37" s="1"/>
  <c r="L52" i="37" s="1"/>
  <c r="M52" i="37" s="1"/>
  <c r="N52" i="37" s="1"/>
  <c r="O52" i="37" s="1"/>
  <c r="H7" i="37"/>
  <c r="J7" i="37"/>
  <c r="F64" i="39"/>
  <c r="J11" i="39"/>
  <c r="H11" i="39"/>
  <c r="F7" i="37"/>
  <c r="P23" i="43"/>
  <c r="B71" i="39" s="1"/>
  <c r="P24" i="43"/>
  <c r="B66" i="40" s="1"/>
  <c r="P25" i="43"/>
  <c r="O19" i="43"/>
  <c r="H7" i="33"/>
  <c r="E13" i="6"/>
  <c r="E10" i="6"/>
  <c r="C10" i="71"/>
  <c r="D11" i="71"/>
  <c r="C62" i="71"/>
  <c r="D62" i="71" s="1"/>
  <c r="D63" i="71"/>
  <c r="E51" i="39"/>
  <c r="F51" i="39" s="1"/>
  <c r="E52" i="39"/>
  <c r="F52" i="39" s="1"/>
  <c r="W23" i="21"/>
  <c r="AC23" i="21"/>
  <c r="AC25" i="33"/>
  <c r="W25" i="33"/>
  <c r="E48" i="35"/>
  <c r="G16" i="1"/>
  <c r="AB13" i="21"/>
  <c r="U13" i="21"/>
  <c r="W27" i="21"/>
  <c r="AC27" i="21"/>
  <c r="AC29" i="21"/>
  <c r="W29" i="21"/>
  <c r="AB31" i="21"/>
  <c r="U31" i="21"/>
  <c r="C29" i="69"/>
  <c r="D27" i="69" s="1"/>
  <c r="C29" i="11"/>
  <c r="D27" i="11" s="1"/>
  <c r="F27" i="68"/>
  <c r="H7" i="21"/>
  <c r="J7" i="21"/>
  <c r="F7" i="33"/>
  <c r="K4" i="4"/>
  <c r="B46" i="48" s="1"/>
  <c r="B4" i="72" s="1"/>
  <c r="H36" i="33"/>
  <c r="M6" i="1"/>
  <c r="H16" i="1"/>
  <c r="E12" i="6"/>
  <c r="E11" i="6"/>
  <c r="H7" i="36"/>
  <c r="F7" i="36"/>
  <c r="F7" i="21"/>
  <c r="J7" i="34"/>
  <c r="C15" i="12"/>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17" i="3"/>
  <c r="E526" i="3"/>
  <c r="E268" i="3"/>
  <c r="E322" i="3"/>
  <c r="AJ6" i="3"/>
  <c r="E583" i="3"/>
  <c r="X6" i="3"/>
  <c r="E336" i="3"/>
  <c r="E246" i="3"/>
  <c r="E293" i="3"/>
  <c r="E314" i="3"/>
  <c r="E511" i="3"/>
  <c r="E16" i="3"/>
  <c r="AK6" i="3"/>
  <c r="E434" i="3"/>
  <c r="E306" i="3"/>
  <c r="E29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175" i="3"/>
  <c r="E530" i="3"/>
  <c r="E343" i="3"/>
  <c r="E305" i="3"/>
  <c r="E508" i="3"/>
  <c r="E329" i="3"/>
  <c r="E545" i="3"/>
  <c r="E510" i="3"/>
  <c r="E352" i="3"/>
  <c r="E205" i="3"/>
  <c r="E128" i="3"/>
  <c r="E385" i="3"/>
  <c r="E518" i="3"/>
  <c r="AI6" i="3"/>
  <c r="E578" i="3"/>
  <c r="E423" i="3"/>
  <c r="E382" i="3"/>
  <c r="E263" i="3"/>
  <c r="E245" i="3"/>
  <c r="E191" i="3"/>
  <c r="E188" i="3"/>
  <c r="E181" i="3"/>
  <c r="E149" i="3"/>
  <c r="E212" i="3"/>
  <c r="E167" i="3"/>
  <c r="E141" i="3"/>
  <c r="E312" i="3"/>
  <c r="AD6" i="3"/>
  <c r="AC6" i="3" s="1"/>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C29" i="66"/>
  <c r="C27" i="66" s="1"/>
  <c r="D1" i="66"/>
  <c r="E10" i="66" s="1"/>
  <c r="D17" i="53"/>
  <c r="B36" i="72" s="1"/>
  <c r="W11" i="37"/>
  <c r="AB23" i="21"/>
  <c r="C62" i="67"/>
  <c r="S12" i="21"/>
  <c r="AA12" i="21"/>
  <c r="AB10" i="33"/>
  <c r="W32" i="39"/>
  <c r="AB9" i="21"/>
  <c r="S13" i="21"/>
  <c r="AB15" i="21"/>
  <c r="AC37" i="21"/>
  <c r="W23" i="33"/>
  <c r="AB25" i="33"/>
  <c r="AC32" i="33"/>
  <c r="S17" i="37"/>
  <c r="AA29" i="21"/>
  <c r="W17" i="21"/>
  <c r="S20" i="36"/>
  <c r="S23" i="39"/>
  <c r="AA35" i="33"/>
  <c r="U25" i="39"/>
  <c r="AB27" i="40"/>
  <c r="H49" i="43"/>
  <c r="W44" i="33"/>
  <c r="S44" i="34"/>
  <c r="AA14" i="34"/>
  <c r="AB46" i="34"/>
  <c r="W11" i="36"/>
  <c r="AB11" i="35"/>
  <c r="AB23" i="34"/>
  <c r="J26" i="37"/>
  <c r="H26" i="37"/>
  <c r="F26" i="37"/>
  <c r="H25" i="37"/>
  <c r="J25" i="37"/>
  <c r="F25" i="37"/>
  <c r="AC21" i="33"/>
  <c r="W21" i="37"/>
  <c r="F55" i="71"/>
  <c r="F54" i="71" s="1"/>
  <c r="AZ585" i="3"/>
  <c r="AZ581" i="3"/>
  <c r="AZ577" i="3"/>
  <c r="AZ573" i="3"/>
  <c r="AZ569" i="3"/>
  <c r="AZ565" i="3"/>
  <c r="AZ561" i="3"/>
  <c r="AZ557" i="3"/>
  <c r="AZ553" i="3"/>
  <c r="AZ549" i="3"/>
  <c r="AZ545" i="3"/>
  <c r="AZ541" i="3"/>
  <c r="AZ537" i="3"/>
  <c r="AZ535" i="3"/>
  <c r="BL456" i="3"/>
  <c r="AZ456" i="3" s="1"/>
  <c r="BL452" i="3"/>
  <c r="AZ452" i="3" s="1"/>
  <c r="BL454" i="3"/>
  <c r="AZ454" i="3" s="1"/>
  <c r="BL450" i="3"/>
  <c r="AZ450" i="3" s="1"/>
  <c r="BL363" i="3"/>
  <c r="AZ363" i="3" s="1"/>
  <c r="BL359" i="3"/>
  <c r="AZ359" i="3" s="1"/>
  <c r="BL355" i="3"/>
  <c r="AZ355" i="3" s="1"/>
  <c r="BL351" i="3"/>
  <c r="AZ351" i="3" s="1"/>
  <c r="BL347" i="3"/>
  <c r="AZ347" i="3" s="1"/>
  <c r="BL343" i="3"/>
  <c r="AZ343" i="3" s="1"/>
  <c r="BL339" i="3"/>
  <c r="AZ339" i="3" s="1"/>
  <c r="BL335" i="3"/>
  <c r="AZ335" i="3" s="1"/>
  <c r="BL331" i="3"/>
  <c r="AZ331" i="3" s="1"/>
  <c r="BL327" i="3"/>
  <c r="AZ327" i="3" s="1"/>
  <c r="BL323" i="3"/>
  <c r="AZ323" i="3" s="1"/>
  <c r="BL319" i="3"/>
  <c r="AZ319" i="3" s="1"/>
  <c r="BL315" i="3"/>
  <c r="AZ315" i="3" s="1"/>
  <c r="BL311" i="3"/>
  <c r="AZ311" i="3" s="1"/>
  <c r="BL307" i="3"/>
  <c r="AZ307" i="3" s="1"/>
  <c r="BL303" i="3"/>
  <c r="AZ303" i="3" s="1"/>
  <c r="BL299" i="3"/>
  <c r="AZ299" i="3" s="1"/>
  <c r="BL295" i="3"/>
  <c r="AZ295" i="3" s="1"/>
  <c r="BL291" i="3"/>
  <c r="AZ291" i="3" s="1"/>
  <c r="BL287" i="3"/>
  <c r="AZ287" i="3" s="1"/>
  <c r="BL283" i="3"/>
  <c r="AZ283" i="3" s="1"/>
  <c r="BL279" i="3"/>
  <c r="AZ279" i="3" s="1"/>
  <c r="BL275" i="3"/>
  <c r="AZ275" i="3" s="1"/>
  <c r="BL271" i="3"/>
  <c r="AZ271" i="3" s="1"/>
  <c r="BL267" i="3"/>
  <c r="AZ267" i="3" s="1"/>
  <c r="BL263" i="3"/>
  <c r="AZ263" i="3" s="1"/>
  <c r="BL259" i="3"/>
  <c r="AZ259" i="3" s="1"/>
  <c r="BL255" i="3"/>
  <c r="AZ255" i="3" s="1"/>
  <c r="BL251" i="3"/>
  <c r="AZ251" i="3" s="1"/>
  <c r="BL247" i="3"/>
  <c r="AZ247" i="3" s="1"/>
  <c r="BL243" i="3"/>
  <c r="AZ243" i="3" s="1"/>
  <c r="BL239" i="3"/>
  <c r="AZ239" i="3" s="1"/>
  <c r="BL235" i="3"/>
  <c r="AZ235" i="3" s="1"/>
  <c r="BL231" i="3"/>
  <c r="AZ231" i="3" s="1"/>
  <c r="BL227" i="3"/>
  <c r="AZ227" i="3" s="1"/>
  <c r="BL223" i="3"/>
  <c r="AZ223" i="3" s="1"/>
  <c r="AZ183" i="3"/>
  <c r="AZ179" i="3"/>
  <c r="AZ175" i="3"/>
  <c r="AZ171" i="3"/>
  <c r="BL365" i="3"/>
  <c r="AZ365" i="3" s="1"/>
  <c r="BL361" i="3"/>
  <c r="AZ361" i="3" s="1"/>
  <c r="BL357" i="3"/>
  <c r="AZ357" i="3" s="1"/>
  <c r="BL353" i="3"/>
  <c r="AZ353" i="3" s="1"/>
  <c r="BL349" i="3"/>
  <c r="AZ349" i="3" s="1"/>
  <c r="BL345" i="3"/>
  <c r="AZ345" i="3" s="1"/>
  <c r="BL341" i="3"/>
  <c r="AZ341" i="3" s="1"/>
  <c r="BL337" i="3"/>
  <c r="AZ337" i="3" s="1"/>
  <c r="BL333" i="3"/>
  <c r="AZ333" i="3" s="1"/>
  <c r="BL329" i="3"/>
  <c r="AZ329" i="3" s="1"/>
  <c r="BL325" i="3"/>
  <c r="AZ325" i="3" s="1"/>
  <c r="BL321" i="3"/>
  <c r="AZ321" i="3" s="1"/>
  <c r="BL317" i="3"/>
  <c r="AZ317" i="3" s="1"/>
  <c r="BL313" i="3"/>
  <c r="AZ313" i="3" s="1"/>
  <c r="BL309" i="3"/>
  <c r="AZ309" i="3" s="1"/>
  <c r="BL305" i="3"/>
  <c r="AZ305" i="3" s="1"/>
  <c r="BL301" i="3"/>
  <c r="AZ301" i="3" s="1"/>
  <c r="BL297" i="3"/>
  <c r="AZ297" i="3" s="1"/>
  <c r="BL293" i="3"/>
  <c r="AZ293" i="3" s="1"/>
  <c r="BL289" i="3"/>
  <c r="AZ289" i="3" s="1"/>
  <c r="BL285" i="3"/>
  <c r="AZ285" i="3" s="1"/>
  <c r="BL281" i="3"/>
  <c r="AZ281" i="3" s="1"/>
  <c r="BL277" i="3"/>
  <c r="AZ277" i="3" s="1"/>
  <c r="BL273" i="3"/>
  <c r="AZ273" i="3" s="1"/>
  <c r="BL269" i="3"/>
  <c r="AZ269" i="3" s="1"/>
  <c r="BL265" i="3"/>
  <c r="AZ265" i="3" s="1"/>
  <c r="BL261" i="3"/>
  <c r="AZ261" i="3" s="1"/>
  <c r="BL257" i="3"/>
  <c r="AZ257" i="3" s="1"/>
  <c r="BL253" i="3"/>
  <c r="AZ253" i="3" s="1"/>
  <c r="BL249" i="3"/>
  <c r="AZ249" i="3" s="1"/>
  <c r="BL245" i="3"/>
  <c r="AZ245" i="3" s="1"/>
  <c r="BL241" i="3"/>
  <c r="AZ241" i="3" s="1"/>
  <c r="BL237" i="3"/>
  <c r="AZ237" i="3" s="1"/>
  <c r="BL233" i="3"/>
  <c r="AZ233" i="3" s="1"/>
  <c r="BL229" i="3"/>
  <c r="AZ229" i="3" s="1"/>
  <c r="BL225" i="3"/>
  <c r="AZ225" i="3" s="1"/>
  <c r="BL221" i="3"/>
  <c r="AZ181" i="3"/>
  <c r="AZ177" i="3"/>
  <c r="AZ173" i="3"/>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A21" i="3"/>
  <c r="AZ21" i="3" s="1"/>
  <c r="BA17" i="3"/>
  <c r="AZ17" i="3" s="1"/>
  <c r="BA13" i="3"/>
  <c r="D108" i="43"/>
  <c r="D109" i="43" s="1"/>
  <c r="B65" i="39"/>
  <c r="F65" i="39" s="1"/>
  <c r="C92" i="79"/>
  <c r="C94" i="79"/>
  <c r="BA106" i="3"/>
  <c r="AZ106" i="3" s="1"/>
  <c r="BA102" i="3"/>
  <c r="AZ102" i="3" s="1"/>
  <c r="BA98" i="3"/>
  <c r="AZ98" i="3" s="1"/>
  <c r="BA94" i="3"/>
  <c r="AZ94" i="3" s="1"/>
  <c r="BA90" i="3"/>
  <c r="AZ90" i="3" s="1"/>
  <c r="BA86" i="3"/>
  <c r="AZ86" i="3" s="1"/>
  <c r="BA82" i="3"/>
  <c r="AZ82" i="3" s="1"/>
  <c r="BA78" i="3"/>
  <c r="AZ78" i="3" s="1"/>
  <c r="BA74" i="3"/>
  <c r="AZ74" i="3" s="1"/>
  <c r="BA70" i="3"/>
  <c r="AZ70" i="3" s="1"/>
  <c r="BA66" i="3"/>
  <c r="AZ66" i="3" s="1"/>
  <c r="BA62" i="3"/>
  <c r="AZ62" i="3" s="1"/>
  <c r="BA58" i="3"/>
  <c r="AZ58" i="3" s="1"/>
  <c r="BA54" i="3"/>
  <c r="AZ54" i="3" s="1"/>
  <c r="BA50" i="3"/>
  <c r="AZ50" i="3" s="1"/>
  <c r="BA46" i="3"/>
  <c r="AZ46" i="3" s="1"/>
  <c r="BA42" i="3"/>
  <c r="AZ42" i="3" s="1"/>
  <c r="BA38" i="3"/>
  <c r="AZ38" i="3" s="1"/>
  <c r="BA34" i="3"/>
  <c r="AZ34" i="3" s="1"/>
  <c r="BA30" i="3"/>
  <c r="AZ30" i="3" s="1"/>
  <c r="BA26" i="3"/>
  <c r="AZ26" i="3" s="1"/>
  <c r="BA22" i="3"/>
  <c r="AZ22" i="3" s="1"/>
  <c r="BA19" i="3"/>
  <c r="AZ19" i="3" s="1"/>
  <c r="BA15" i="3"/>
  <c r="AZ15" i="3" s="1"/>
  <c r="K120" i="79"/>
  <c r="D121" i="79"/>
  <c r="A126" i="79"/>
  <c r="X5" i="71"/>
  <c r="C19" i="71"/>
  <c r="G1" i="73"/>
  <c r="M27" i="15"/>
  <c r="L47" i="15"/>
  <c r="C16" i="67"/>
  <c r="F38" i="15"/>
  <c r="F36" i="15"/>
  <c r="F26" i="15"/>
  <c r="C17" i="67"/>
  <c r="F40" i="15"/>
  <c r="F59" i="67"/>
  <c r="M8" i="15"/>
  <c r="M24" i="15"/>
  <c r="F42" i="15"/>
  <c r="M28" i="15"/>
  <c r="J15" i="15"/>
  <c r="M17" i="67"/>
  <c r="F37" i="15"/>
  <c r="M23" i="15"/>
  <c r="F8" i="15"/>
  <c r="F16" i="15"/>
  <c r="F6" i="15"/>
  <c r="F31" i="15" s="1"/>
  <c r="M9" i="15"/>
  <c r="F13" i="15"/>
  <c r="M29" i="15"/>
  <c r="F43" i="15"/>
  <c r="C14" i="67"/>
  <c r="M6" i="15"/>
  <c r="M17" i="15" s="1"/>
  <c r="C49" i="67" l="1"/>
  <c r="B40" i="1"/>
  <c r="F22" i="68" s="1"/>
  <c r="L106" i="43"/>
  <c r="D22" i="43"/>
  <c r="I106" i="43"/>
  <c r="N103" i="43"/>
  <c r="L104" i="43"/>
  <c r="N105" i="43"/>
  <c r="N109" i="43"/>
  <c r="N104" i="43"/>
  <c r="L102" i="43"/>
  <c r="L105" i="43"/>
  <c r="L107" i="43"/>
  <c r="L109" i="43"/>
  <c r="E107" i="43"/>
  <c r="E105" i="43"/>
  <c r="E103" i="43"/>
  <c r="E104" i="43"/>
  <c r="E102" i="43"/>
  <c r="C106" i="43"/>
  <c r="C109" i="43"/>
  <c r="C104" i="43"/>
  <c r="C103" i="43"/>
  <c r="C107" i="43"/>
  <c r="C102" i="43"/>
  <c r="C105" i="43"/>
  <c r="J104" i="43"/>
  <c r="J109" i="43"/>
  <c r="J107" i="43"/>
  <c r="J105" i="43"/>
  <c r="I109" i="43"/>
  <c r="I102" i="43"/>
  <c r="I107" i="43"/>
  <c r="I103" i="43"/>
  <c r="K103" i="43"/>
  <c r="K106" i="43"/>
  <c r="K107" i="43"/>
  <c r="K102" i="43"/>
  <c r="M104" i="43"/>
  <c r="M109" i="43"/>
  <c r="M107" i="43"/>
  <c r="M103" i="43"/>
  <c r="M102" i="43"/>
  <c r="H106" i="43"/>
  <c r="H102" i="43"/>
  <c r="H104" i="43"/>
  <c r="H107" i="43"/>
  <c r="H105" i="43"/>
  <c r="H103" i="43"/>
  <c r="H109" i="43"/>
  <c r="D104" i="43"/>
  <c r="D107" i="43"/>
  <c r="D102" i="43"/>
  <c r="D106" i="43"/>
  <c r="D105" i="43"/>
  <c r="D103" i="43"/>
  <c r="G107" i="43"/>
  <c r="G105" i="43"/>
  <c r="G103" i="43"/>
  <c r="G106" i="43"/>
  <c r="G104" i="43"/>
  <c r="G102" i="43"/>
  <c r="G109" i="43"/>
  <c r="F105" i="43"/>
  <c r="F102" i="43"/>
  <c r="F109" i="43"/>
  <c r="F103" i="43"/>
  <c r="F104" i="43"/>
  <c r="F106" i="43"/>
  <c r="F107" i="43"/>
  <c r="C115" i="43"/>
  <c r="D113" i="43" s="1"/>
  <c r="L46" i="15"/>
  <c r="C5" i="43"/>
  <c r="J6" i="15"/>
  <c r="C27" i="15"/>
  <c r="C6" i="15"/>
  <c r="F64" i="15"/>
  <c r="F66" i="15"/>
  <c r="F51" i="15"/>
  <c r="C15" i="67"/>
  <c r="C18" i="67"/>
  <c r="F71" i="15"/>
  <c r="L59" i="15"/>
  <c r="N59" i="15"/>
  <c r="L58" i="15"/>
  <c r="M59" i="15"/>
  <c r="F68" i="15"/>
  <c r="F65" i="15"/>
  <c r="AA7" i="40"/>
  <c r="R42" i="40" s="1"/>
  <c r="S7" i="40"/>
  <c r="C30" i="66"/>
  <c r="C32" i="66"/>
  <c r="E26" i="66"/>
  <c r="D19" i="71"/>
  <c r="C20" i="71"/>
  <c r="BL5" i="3"/>
  <c r="AZ221" i="3"/>
  <c r="S25" i="37"/>
  <c r="AA25" i="37"/>
  <c r="U25" i="37"/>
  <c r="AB25" i="37"/>
  <c r="AB26" i="37"/>
  <c r="U26" i="37"/>
  <c r="AA7" i="21"/>
  <c r="R48" i="21" s="1"/>
  <c r="S7" i="21"/>
  <c r="U7" i="36"/>
  <c r="AB7" i="36"/>
  <c r="T36" i="36" s="1"/>
  <c r="G36" i="36" s="1"/>
  <c r="E57" i="40"/>
  <c r="E62" i="39"/>
  <c r="F62" i="39" s="1"/>
  <c r="M16" i="1"/>
  <c r="W7" i="21"/>
  <c r="AC7" i="21"/>
  <c r="V48" i="21" s="1"/>
  <c r="I48" i="21" s="1"/>
  <c r="C29" i="68"/>
  <c r="D27" i="68" s="1"/>
  <c r="C47" i="68"/>
  <c r="D45" i="68" s="1"/>
  <c r="H10" i="40"/>
  <c r="H10" i="39"/>
  <c r="F10" i="40"/>
  <c r="J10" i="40"/>
  <c r="J10" i="39"/>
  <c r="F10" i="39"/>
  <c r="D10" i="71"/>
  <c r="E63" i="39"/>
  <c r="F63" i="39" s="1"/>
  <c r="E58" i="40"/>
  <c r="AZ13" i="3"/>
  <c r="AZ5" i="3" s="1"/>
  <c r="BA5" i="3"/>
  <c r="E27" i="6" s="1"/>
  <c r="AC25" i="37"/>
  <c r="W25" i="37"/>
  <c r="S26" i="37"/>
  <c r="AA26" i="37"/>
  <c r="W26" i="37"/>
  <c r="AC26" i="37"/>
  <c r="H6" i="3"/>
  <c r="E6" i="3" s="1"/>
  <c r="W7" i="34"/>
  <c r="AC7" i="34"/>
  <c r="V49" i="34" s="1"/>
  <c r="I49" i="34" s="1"/>
  <c r="AA7" i="36"/>
  <c r="R36" i="36" s="1"/>
  <c r="S7" i="36"/>
  <c r="E56" i="40"/>
  <c r="E61" i="39"/>
  <c r="U36" i="33"/>
  <c r="AB36" i="33"/>
  <c r="S7" i="33"/>
  <c r="AA7" i="33"/>
  <c r="R48" i="33" s="1"/>
  <c r="U7" i="21"/>
  <c r="AB7" i="21"/>
  <c r="T48" i="21" s="1"/>
  <c r="G48" i="21" s="1"/>
  <c r="F48" i="35"/>
  <c r="E16" i="6"/>
  <c r="AB7" i="33"/>
  <c r="T48" i="33" s="1"/>
  <c r="G48" i="33" s="1"/>
  <c r="U7" i="33"/>
  <c r="U11" i="39"/>
  <c r="AB11" i="39"/>
  <c r="U7" i="37"/>
  <c r="AB7" i="37"/>
  <c r="T42" i="37" s="1"/>
  <c r="G42" i="37" s="1"/>
  <c r="W7" i="33"/>
  <c r="AC7" i="33"/>
  <c r="V48" i="33" s="1"/>
  <c r="I48" i="33" s="1"/>
  <c r="W7" i="36"/>
  <c r="AC7" i="36"/>
  <c r="V36" i="36" s="1"/>
  <c r="I36" i="36" s="1"/>
  <c r="S7" i="34"/>
  <c r="AA7" i="34"/>
  <c r="R49" i="34" s="1"/>
  <c r="H7" i="40"/>
  <c r="J7" i="40"/>
  <c r="U7" i="39"/>
  <c r="AB7" i="39"/>
  <c r="Q60" i="67"/>
  <c r="Q73" i="67"/>
  <c r="AA7" i="37"/>
  <c r="R42" i="37" s="1"/>
  <c r="S7" i="37"/>
  <c r="W11" i="39"/>
  <c r="AC11" i="39"/>
  <c r="AC7" i="37"/>
  <c r="V42" i="37" s="1"/>
  <c r="I42" i="37" s="1"/>
  <c r="W7" i="37"/>
  <c r="H7" i="34"/>
  <c r="AA7" i="39"/>
  <c r="S7" i="39"/>
  <c r="W7" i="39"/>
  <c r="AC7" i="39"/>
  <c r="F11" i="67"/>
  <c r="M11" i="67"/>
  <c r="J10" i="67" s="1"/>
  <c r="J5" i="67" s="1"/>
  <c r="M11" i="15"/>
  <c r="F11" i="15"/>
  <c r="C53" i="15" s="1"/>
  <c r="F22" i="69"/>
  <c r="F24" i="15"/>
  <c r="C24" i="15" s="1"/>
  <c r="F22" i="11"/>
  <c r="N17" i="43"/>
  <c r="M17" i="43"/>
  <c r="G20" i="43" s="1"/>
  <c r="C20" i="43" s="1"/>
  <c r="P17" i="43"/>
  <c r="O17" i="43"/>
  <c r="Q74" i="67"/>
  <c r="Q61" i="67"/>
  <c r="Q66" i="15"/>
  <c r="Q57" i="15"/>
  <c r="Q52" i="15"/>
  <c r="F1" i="15"/>
  <c r="AE6" i="1"/>
  <c r="C16" i="15"/>
  <c r="F59" i="15"/>
  <c r="F25" i="12" l="1"/>
  <c r="C26" i="12" s="1"/>
  <c r="D25" i="12" s="1"/>
  <c r="F24" i="67"/>
  <c r="C24" i="67" s="1"/>
  <c r="S2" i="43"/>
  <c r="C23" i="43"/>
  <c r="C21" i="43" s="1"/>
  <c r="S3" i="43"/>
  <c r="S4" i="43"/>
  <c r="S7" i="43"/>
  <c r="S6" i="43"/>
  <c r="S5" i="43"/>
  <c r="C19" i="67"/>
  <c r="C20" i="67" s="1"/>
  <c r="C23" i="67" s="1"/>
  <c r="J18" i="67"/>
  <c r="J26" i="67"/>
  <c r="J29" i="67" s="1"/>
  <c r="J24" i="67"/>
  <c r="C26" i="68"/>
  <c r="D22" i="68" s="1"/>
  <c r="C44" i="68"/>
  <c r="D41" i="68" s="1"/>
  <c r="C24" i="68"/>
  <c r="C26" i="11"/>
  <c r="D22" i="11" s="1"/>
  <c r="C44" i="11"/>
  <c r="D41" i="11" s="1"/>
  <c r="C23" i="11"/>
  <c r="C26" i="69"/>
  <c r="D22" i="69" s="1"/>
  <c r="C44" i="69"/>
  <c r="D41" i="69" s="1"/>
  <c r="C53" i="67"/>
  <c r="C48" i="67" s="1"/>
  <c r="C10" i="67"/>
  <c r="C5" i="67" s="1"/>
  <c r="AB7" i="40"/>
  <c r="T42" i="40" s="1"/>
  <c r="G42" i="40" s="1"/>
  <c r="U7" i="40"/>
  <c r="G53" i="33"/>
  <c r="H53" i="33" s="1"/>
  <c r="G52" i="33"/>
  <c r="H52" i="33" s="1"/>
  <c r="G48" i="35"/>
  <c r="H48" i="35" s="1"/>
  <c r="I48" i="35" s="1"/>
  <c r="J48" i="35" s="1"/>
  <c r="K48" i="35" s="1"/>
  <c r="L48" i="35" s="1"/>
  <c r="M48" i="35" s="1"/>
  <c r="N48" i="35" s="1"/>
  <c r="O48" i="35" s="1"/>
  <c r="F7" i="35"/>
  <c r="H7" i="35"/>
  <c r="G52" i="21"/>
  <c r="H52" i="21" s="1"/>
  <c r="G53" i="21"/>
  <c r="H53" i="21" s="1"/>
  <c r="R49" i="33"/>
  <c r="E48" i="33"/>
  <c r="E66" i="39"/>
  <c r="F61" i="39"/>
  <c r="I53" i="34"/>
  <c r="J53" i="34" s="1"/>
  <c r="E3" i="6"/>
  <c r="AY6" i="3"/>
  <c r="AC10" i="39"/>
  <c r="W10" i="39"/>
  <c r="S10" i="40"/>
  <c r="AA10" i="40"/>
  <c r="AB10" i="40"/>
  <c r="U10" i="40"/>
  <c r="I52" i="21"/>
  <c r="J52" i="21" s="1"/>
  <c r="C34" i="68"/>
  <c r="C34" i="11"/>
  <c r="L16" i="1"/>
  <c r="N16" i="1"/>
  <c r="R49" i="21"/>
  <c r="E48" i="21"/>
  <c r="I53" i="21" s="1"/>
  <c r="J53" i="21" s="1"/>
  <c r="D20" i="71"/>
  <c r="M20" i="43" s="1"/>
  <c r="C19" i="43" s="1"/>
  <c r="T20" i="71"/>
  <c r="U7" i="34"/>
  <c r="AB7" i="34"/>
  <c r="T49" i="34" s="1"/>
  <c r="G49" i="34" s="1"/>
  <c r="I46" i="37"/>
  <c r="J46" i="37" s="1"/>
  <c r="E42" i="37"/>
  <c r="R43" i="37"/>
  <c r="W7" i="40"/>
  <c r="AC7" i="40"/>
  <c r="V42" i="40" s="1"/>
  <c r="I42" i="40" s="1"/>
  <c r="E49" i="34"/>
  <c r="R50" i="34"/>
  <c r="I40" i="36"/>
  <c r="J40" i="36" s="1"/>
  <c r="I53" i="33"/>
  <c r="J53" i="33" s="1"/>
  <c r="I52" i="33"/>
  <c r="J52" i="33" s="1"/>
  <c r="G46" i="37"/>
  <c r="H46" i="37" s="1"/>
  <c r="G47" i="37"/>
  <c r="H47" i="37" s="1"/>
  <c r="J7" i="35"/>
  <c r="R37" i="36"/>
  <c r="E36" i="36"/>
  <c r="E31" i="6"/>
  <c r="K26" i="6"/>
  <c r="M26" i="6" s="1"/>
  <c r="I26" i="6" s="1"/>
  <c r="S26" i="6" s="1"/>
  <c r="K19" i="6"/>
  <c r="K25" i="6"/>
  <c r="M25" i="6" s="1"/>
  <c r="I25" i="6" s="1"/>
  <c r="S25" i="6" s="1"/>
  <c r="K24" i="6"/>
  <c r="M24" i="6" s="1"/>
  <c r="I24" i="6" s="1"/>
  <c r="S24" i="6" s="1"/>
  <c r="K22" i="6"/>
  <c r="M22" i="6" s="1"/>
  <c r="I22" i="6" s="1"/>
  <c r="S22" i="6" s="1"/>
  <c r="K20" i="6"/>
  <c r="M20" i="6" s="1"/>
  <c r="I20" i="6" s="1"/>
  <c r="S20" i="6" s="1"/>
  <c r="K21" i="6"/>
  <c r="M21" i="6" s="1"/>
  <c r="I21" i="6" s="1"/>
  <c r="S21" i="6" s="1"/>
  <c r="K23" i="6"/>
  <c r="M23" i="6" s="1"/>
  <c r="I23" i="6" s="1"/>
  <c r="S23" i="6" s="1"/>
  <c r="S10" i="39"/>
  <c r="AA10" i="39"/>
  <c r="W10" i="40"/>
  <c r="AC10" i="40"/>
  <c r="AB10" i="39"/>
  <c r="U10" i="39"/>
  <c r="G40" i="36"/>
  <c r="H40" i="36" s="1"/>
  <c r="G41" i="36"/>
  <c r="H41" i="36" s="1"/>
  <c r="E42" i="40"/>
  <c r="R43" i="40"/>
  <c r="Q60" i="15"/>
  <c r="Q73" i="15"/>
  <c r="Q74" i="15"/>
  <c r="Q61" i="15"/>
  <c r="C49" i="15"/>
  <c r="C48" i="15" s="1"/>
  <c r="C10" i="15"/>
  <c r="C5" i="15" s="1"/>
  <c r="J10" i="15"/>
  <c r="J5" i="15" s="1"/>
  <c r="F41" i="15"/>
  <c r="F69" i="15" l="1"/>
  <c r="C26" i="67"/>
  <c r="C33" i="43"/>
  <c r="C36" i="43"/>
  <c r="C34" i="43"/>
  <c r="C35" i="43"/>
  <c r="T6" i="43"/>
  <c r="V6" i="43" s="1"/>
  <c r="T7" i="43"/>
  <c r="V7" i="43" s="1"/>
  <c r="T2" i="43"/>
  <c r="V2" i="43" s="1"/>
  <c r="C29" i="43"/>
  <c r="T5" i="43"/>
  <c r="V5" i="43" s="1"/>
  <c r="C37" i="43"/>
  <c r="T14" i="43"/>
  <c r="V14" i="43" s="1"/>
  <c r="T13" i="43"/>
  <c r="V13" i="43" s="1"/>
  <c r="T3" i="43"/>
  <c r="V3" i="43" s="1"/>
  <c r="T16" i="43"/>
  <c r="V16" i="43" s="1"/>
  <c r="T9" i="43"/>
  <c r="V9" i="43" s="1"/>
  <c r="T10" i="43"/>
  <c r="V10" i="43" s="1"/>
  <c r="C39" i="43"/>
  <c r="T11" i="43"/>
  <c r="V11" i="43" s="1"/>
  <c r="T12" i="43"/>
  <c r="V12" i="43" s="1"/>
  <c r="T4" i="43"/>
  <c r="V4" i="43" s="1"/>
  <c r="C38" i="43"/>
  <c r="T8" i="43"/>
  <c r="V8" i="43" s="1"/>
  <c r="T15" i="43"/>
  <c r="V15" i="43" s="1"/>
  <c r="J24" i="15"/>
  <c r="J18" i="15"/>
  <c r="J26" i="15"/>
  <c r="J29" i="15" s="1"/>
  <c r="C38" i="15"/>
  <c r="C33" i="15"/>
  <c r="C32" i="15"/>
  <c r="C66" i="15"/>
  <c r="C60" i="15"/>
  <c r="E46" i="40"/>
  <c r="F46" i="40" s="1"/>
  <c r="E47" i="40"/>
  <c r="F47" i="40" s="1"/>
  <c r="E40" i="36"/>
  <c r="F40" i="36" s="1"/>
  <c r="E41" i="36"/>
  <c r="F41" i="36" s="1"/>
  <c r="AC7" i="35"/>
  <c r="V38" i="35" s="1"/>
  <c r="I38" i="35" s="1"/>
  <c r="W7" i="35"/>
  <c r="I41" i="36"/>
  <c r="J41" i="36" s="1"/>
  <c r="E54" i="34"/>
  <c r="F54" i="34" s="1"/>
  <c r="E53" i="34"/>
  <c r="F53" i="34" s="1"/>
  <c r="E47" i="37"/>
  <c r="F47" i="37" s="1"/>
  <c r="E46" i="37"/>
  <c r="F46" i="37" s="1"/>
  <c r="I47" i="37"/>
  <c r="J47" i="37" s="1"/>
  <c r="C49" i="21"/>
  <c r="C48" i="21"/>
  <c r="C35" i="68"/>
  <c r="C38" i="68"/>
  <c r="M18" i="79"/>
  <c r="B118" i="79" s="1"/>
  <c r="L18" i="79"/>
  <c r="C17" i="4"/>
  <c r="B4" i="52" s="1"/>
  <c r="B43" i="72" s="1"/>
  <c r="D3" i="37"/>
  <c r="D37" i="11"/>
  <c r="C37" i="11" s="1"/>
  <c r="E6" i="6"/>
  <c r="D19" i="11"/>
  <c r="C19" i="11" s="1"/>
  <c r="M18" i="9"/>
  <c r="B118" i="9" s="1"/>
  <c r="B14" i="74" s="1"/>
  <c r="B1" i="74" s="1"/>
  <c r="D3" i="21"/>
  <c r="L18" i="9"/>
  <c r="D14" i="12"/>
  <c r="B3" i="39"/>
  <c r="C49" i="33"/>
  <c r="C48" i="33"/>
  <c r="S7" i="35"/>
  <c r="AA7" i="35"/>
  <c r="R38" i="35" s="1"/>
  <c r="C38" i="67"/>
  <c r="C32" i="67"/>
  <c r="C42" i="40"/>
  <c r="C43" i="40"/>
  <c r="S6" i="1"/>
  <c r="K27" i="6"/>
  <c r="M19" i="6"/>
  <c r="C37" i="36"/>
  <c r="B2" i="36" s="1"/>
  <c r="B3" i="36" s="1"/>
  <c r="C36" i="36"/>
  <c r="C49" i="34"/>
  <c r="C50" i="34"/>
  <c r="I46" i="40"/>
  <c r="J46" i="40" s="1"/>
  <c r="I47" i="40"/>
  <c r="J47" i="40" s="1"/>
  <c r="C42" i="37"/>
  <c r="C43" i="37"/>
  <c r="B2" i="37" s="1"/>
  <c r="B3" i="37" s="1"/>
  <c r="G54" i="34"/>
  <c r="H54" i="34" s="1"/>
  <c r="G53" i="34"/>
  <c r="H53" i="34" s="1"/>
  <c r="E53" i="21"/>
  <c r="F53" i="21" s="1"/>
  <c r="E52" i="21"/>
  <c r="F52" i="21" s="1"/>
  <c r="F50" i="11"/>
  <c r="F50" i="69"/>
  <c r="F50" i="68"/>
  <c r="C35" i="11"/>
  <c r="C33" i="11"/>
  <c r="C38" i="11"/>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27" i="3"/>
  <c r="AY179" i="3"/>
  <c r="AY159" i="3"/>
  <c r="AY119" i="3"/>
  <c r="AY273" i="3"/>
  <c r="AY256" i="3"/>
  <c r="AY213" i="3"/>
  <c r="AY367" i="3"/>
  <c r="AY323" i="3"/>
  <c r="AY306" i="3"/>
  <c r="AY459" i="3"/>
  <c r="AY416" i="3"/>
  <c r="AY550" i="3"/>
  <c r="BC6" i="3"/>
  <c r="AY504" i="3"/>
  <c r="AY498"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2" i="3"/>
  <c r="AY195" i="3"/>
  <c r="AY175" i="3"/>
  <c r="AY136" i="3"/>
  <c r="AY288" i="3"/>
  <c r="AY272" i="3"/>
  <c r="AY208" i="3"/>
  <c r="AY375" i="3"/>
  <c r="AY339" i="3"/>
  <c r="AY322" i="3"/>
  <c r="AY474" i="3"/>
  <c r="AY432" i="3"/>
  <c r="AY413" i="3"/>
  <c r="AY15" i="3"/>
  <c r="AY583"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84" i="3"/>
  <c r="AY148" i="3"/>
  <c r="AY128" i="3"/>
  <c r="AY277" i="3"/>
  <c r="AY241" i="3"/>
  <c r="AY224" i="3"/>
  <c r="AY391" i="3"/>
  <c r="AY354" i="3"/>
  <c r="AY338" i="3"/>
  <c r="AY490" i="3"/>
  <c r="AY448" i="3"/>
  <c r="AY429" i="3"/>
  <c r="BD6" i="3"/>
  <c r="AY511" i="3"/>
  <c r="AY586" i="3"/>
  <c r="I54" i="34"/>
  <c r="J54" i="34" s="1"/>
  <c r="E52" i="33"/>
  <c r="F52" i="33" s="1"/>
  <c r="E53" i="33"/>
  <c r="F53" i="33" s="1"/>
  <c r="U7" i="35"/>
  <c r="AB7" i="35"/>
  <c r="T38" i="35" s="1"/>
  <c r="G38" i="35" s="1"/>
  <c r="G46" i="40"/>
  <c r="H46" i="40" s="1"/>
  <c r="G47" i="40"/>
  <c r="H47" i="40" s="1"/>
  <c r="C66" i="67"/>
  <c r="C60" i="67"/>
  <c r="C29" i="67"/>
  <c r="C17" i="15"/>
  <c r="B3" i="34" l="1"/>
  <c r="B2" i="34"/>
  <c r="B57" i="40"/>
  <c r="F57" i="40" s="1"/>
  <c r="B59" i="40"/>
  <c r="F59" i="40" s="1"/>
  <c r="B56" i="40"/>
  <c r="F56" i="40" s="1"/>
  <c r="B54" i="40"/>
  <c r="F54" i="40" s="1"/>
  <c r="B53" i="40"/>
  <c r="F53" i="40" s="1"/>
  <c r="B60" i="40"/>
  <c r="F60" i="40" s="1"/>
  <c r="B58" i="40"/>
  <c r="F58" i="40" s="1"/>
  <c r="B52" i="40"/>
  <c r="F52" i="40" s="1"/>
  <c r="B51" i="40"/>
  <c r="F51" i="40" s="1"/>
  <c r="B55" i="40"/>
  <c r="F55" i="40" s="1"/>
  <c r="E38" i="35"/>
  <c r="R39" i="35"/>
  <c r="C8" i="74"/>
  <c r="C7" i="74"/>
  <c r="C20" i="11"/>
  <c r="C25" i="11" s="1"/>
  <c r="C24" i="11"/>
  <c r="C28" i="11"/>
  <c r="C27" i="11" s="1"/>
  <c r="E37" i="43"/>
  <c r="G37" i="43"/>
  <c r="I37" i="43" s="1"/>
  <c r="E29" i="43"/>
  <c r="C30" i="43"/>
  <c r="E30" i="43" s="1"/>
  <c r="G35" i="43"/>
  <c r="I35" i="43" s="1"/>
  <c r="E35" i="43"/>
  <c r="G36" i="43"/>
  <c r="I36" i="43" s="1"/>
  <c r="E36" i="43"/>
  <c r="C13" i="67"/>
  <c r="C57" i="67"/>
  <c r="C36" i="67"/>
  <c r="J14" i="67"/>
  <c r="C33" i="67"/>
  <c r="C31" i="67" s="1"/>
  <c r="Q49" i="67"/>
  <c r="J19" i="67"/>
  <c r="J17" i="67" s="1"/>
  <c r="J59" i="67"/>
  <c r="J60" i="67" s="1"/>
  <c r="G42" i="35"/>
  <c r="H42" i="35" s="1"/>
  <c r="G43" i="35"/>
  <c r="H43" i="35" s="1"/>
  <c r="M19" i="9"/>
  <c r="C118" i="9" s="1"/>
  <c r="C14" i="74" s="1"/>
  <c r="B2" i="74" s="1"/>
  <c r="M19" i="79"/>
  <c r="C118" i="79" s="1"/>
  <c r="L19" i="79"/>
  <c r="D25" i="6"/>
  <c r="D21" i="6"/>
  <c r="D9" i="6"/>
  <c r="E61" i="40"/>
  <c r="F61" i="40" s="1"/>
  <c r="B2" i="40" s="1"/>
  <c r="B3" i="40" s="1"/>
  <c r="D26" i="6"/>
  <c r="D23" i="6"/>
  <c r="D5" i="6"/>
  <c r="D29" i="6"/>
  <c r="H20" i="6"/>
  <c r="H23" i="6"/>
  <c r="D15" i="6"/>
  <c r="D8" i="6"/>
  <c r="D14" i="6"/>
  <c r="D11" i="6"/>
  <c r="C18" i="4"/>
  <c r="D24" i="6"/>
  <c r="D28" i="6"/>
  <c r="D30" i="6" s="1"/>
  <c r="D19" i="6"/>
  <c r="D22" i="6"/>
  <c r="R22" i="6" s="1"/>
  <c r="D20" i="6"/>
  <c r="R20" i="6" s="1"/>
  <c r="L19" i="9"/>
  <c r="H22" i="6"/>
  <c r="H24" i="6"/>
  <c r="H25" i="6"/>
  <c r="H26" i="6"/>
  <c r="H21" i="6"/>
  <c r="D10" i="6"/>
  <c r="D13" i="6"/>
  <c r="D12" i="6"/>
  <c r="D6" i="6"/>
  <c r="C39" i="11"/>
  <c r="C43" i="11" s="1"/>
  <c r="C42" i="11"/>
  <c r="C46" i="11"/>
  <c r="C45" i="11" s="1"/>
  <c r="I19" i="6"/>
  <c r="M27" i="6"/>
  <c r="AQ6" i="1"/>
  <c r="AR6" i="1"/>
  <c r="E6" i="70"/>
  <c r="E2" i="70" s="1"/>
  <c r="T6" i="1"/>
  <c r="S16" i="1"/>
  <c r="B2" i="33"/>
  <c r="B3" i="33"/>
  <c r="D17" i="12"/>
  <c r="C17" i="12" s="1"/>
  <c r="C14" i="12"/>
  <c r="C16" i="12" s="1"/>
  <c r="D10" i="68"/>
  <c r="D20" i="12"/>
  <c r="C20" i="12" s="1"/>
  <c r="C18" i="12" s="1"/>
  <c r="D10" i="11"/>
  <c r="C10" i="11" s="1"/>
  <c r="D10" i="69"/>
  <c r="B2" i="21"/>
  <c r="B3" i="21" s="1"/>
  <c r="I42" i="35"/>
  <c r="J42" i="35" s="1"/>
  <c r="I43" i="35"/>
  <c r="J43" i="35" s="1"/>
  <c r="E38" i="43"/>
  <c r="G38" i="43"/>
  <c r="I38" i="43" s="1"/>
  <c r="G39" i="43"/>
  <c r="I39" i="43" s="1"/>
  <c r="E39" i="43"/>
  <c r="G34" i="43"/>
  <c r="I34" i="43" s="1"/>
  <c r="E34" i="43"/>
  <c r="G33" i="43"/>
  <c r="I33" i="43" s="1"/>
  <c r="E33" i="43"/>
  <c r="C6" i="68" s="1"/>
  <c r="C7" i="68" s="1"/>
  <c r="C5" i="68" s="1"/>
  <c r="C14" i="15"/>
  <c r="C20" i="79"/>
  <c r="C19" i="79"/>
  <c r="C20" i="68" l="1"/>
  <c r="C25" i="68" s="1"/>
  <c r="C23" i="68"/>
  <c r="C41" i="11"/>
  <c r="C49" i="11" s="1"/>
  <c r="C51" i="11" s="1"/>
  <c r="C21" i="79"/>
  <c r="C102" i="79"/>
  <c r="C15" i="15"/>
  <c r="C18" i="15"/>
  <c r="C103" i="79"/>
  <c r="C10" i="68"/>
  <c r="D19" i="68"/>
  <c r="D37" i="68" s="1"/>
  <c r="C37" i="68" s="1"/>
  <c r="C33" i="68" s="1"/>
  <c r="T16" i="1"/>
  <c r="C4" i="52"/>
  <c r="B45" i="72" s="1"/>
  <c r="A10" i="51"/>
  <c r="B9" i="72" s="1"/>
  <c r="A7" i="51"/>
  <c r="B7" i="72" s="1"/>
  <c r="D16" i="6"/>
  <c r="R23" i="6"/>
  <c r="R21" i="6"/>
  <c r="D8" i="74"/>
  <c r="D7" i="74"/>
  <c r="Q48" i="67"/>
  <c r="L46" i="67"/>
  <c r="J22" i="67"/>
  <c r="J13" i="67"/>
  <c r="J23" i="67" s="1"/>
  <c r="C61" i="67"/>
  <c r="C59" i="67" s="1"/>
  <c r="C64" i="67"/>
  <c r="C27" i="43"/>
  <c r="E43" i="35"/>
  <c r="F43" i="35" s="1"/>
  <c r="E42" i="35"/>
  <c r="F42" i="35" s="1"/>
  <c r="D19" i="69"/>
  <c r="C10" i="69"/>
  <c r="C8" i="69" s="1"/>
  <c r="C5" i="69" s="1"/>
  <c r="C21" i="12"/>
  <c r="I27" i="6"/>
  <c r="S19" i="6"/>
  <c r="S27" i="6" s="1"/>
  <c r="D27" i="6"/>
  <c r="D31" i="6" s="1"/>
  <c r="R24" i="6"/>
  <c r="H19" i="6"/>
  <c r="H27" i="6" s="1"/>
  <c r="R26" i="6"/>
  <c r="R25" i="6"/>
  <c r="Q70" i="67"/>
  <c r="C56" i="67"/>
  <c r="C65" i="67" s="1"/>
  <c r="C75" i="67"/>
  <c r="C37" i="67"/>
  <c r="C30" i="67" s="1"/>
  <c r="C39" i="67" s="1"/>
  <c r="C26" i="43"/>
  <c r="C22" i="11"/>
  <c r="C31" i="11" s="1"/>
  <c r="C38" i="35"/>
  <c r="C39" i="35"/>
  <c r="B2" i="35" s="1"/>
  <c r="B3" i="35" s="1"/>
  <c r="E6" i="76"/>
  <c r="C52" i="11" l="1"/>
  <c r="B2" i="11" s="1"/>
  <c r="B3" i="11" s="1"/>
  <c r="C22" i="68"/>
  <c r="C28" i="68"/>
  <c r="C27" i="68" s="1"/>
  <c r="C31" i="68" s="1"/>
  <c r="J16" i="67"/>
  <c r="J25" i="67" s="1"/>
  <c r="C19" i="15"/>
  <c r="E2" i="76"/>
  <c r="C40" i="67"/>
  <c r="Q69" i="67"/>
  <c r="Q68" i="67" s="1"/>
  <c r="R19" i="6"/>
  <c r="C22" i="12"/>
  <c r="C27" i="12" s="1"/>
  <c r="C25" i="12" s="1"/>
  <c r="C19" i="69"/>
  <c r="C24" i="69" s="1"/>
  <c r="D37" i="69"/>
  <c r="C37" i="69" s="1"/>
  <c r="C33" i="69" s="1"/>
  <c r="C56" i="11"/>
  <c r="C57" i="11" s="1"/>
  <c r="C39" i="68"/>
  <c r="C43" i="68" s="1"/>
  <c r="C42" i="68"/>
  <c r="C46" i="68"/>
  <c r="C45" i="68" s="1"/>
  <c r="C20" i="15"/>
  <c r="C23" i="15" s="1"/>
  <c r="B2" i="43"/>
  <c r="C80" i="67"/>
  <c r="C79" i="67" s="1"/>
  <c r="I6" i="6"/>
  <c r="I5" i="6"/>
  <c r="C23" i="69"/>
  <c r="C58" i="67"/>
  <c r="C67" i="67" s="1"/>
  <c r="C68" i="67" s="1"/>
  <c r="L51" i="67"/>
  <c r="B6" i="76"/>
  <c r="C20" i="69" l="1"/>
  <c r="C25" i="69" s="1"/>
  <c r="C22" i="69" s="1"/>
  <c r="C30" i="12"/>
  <c r="C28" i="12" s="1"/>
  <c r="C26" i="15"/>
  <c r="C29" i="15" s="1"/>
  <c r="C32" i="12"/>
  <c r="B2" i="12" s="1"/>
  <c r="B3" i="12" s="1"/>
  <c r="Q67" i="67"/>
  <c r="L57" i="67"/>
  <c r="L60" i="67" s="1"/>
  <c r="B2" i="76"/>
  <c r="B3" i="76" s="1"/>
  <c r="C41" i="68"/>
  <c r="C49" i="68" s="1"/>
  <c r="C51" i="68" s="1"/>
  <c r="Q65" i="67"/>
  <c r="Q56" i="67"/>
  <c r="D2" i="67"/>
  <c r="Q47" i="67"/>
  <c r="Q53" i="67" s="1"/>
  <c r="C43" i="67"/>
  <c r="C83" i="67"/>
  <c r="C82" i="67" s="1"/>
  <c r="C45" i="67"/>
  <c r="C46" i="67" s="1"/>
  <c r="C71" i="67"/>
  <c r="B3" i="43"/>
  <c r="C39" i="69"/>
  <c r="C43" i="69" s="1"/>
  <c r="C42" i="69"/>
  <c r="R6" i="1"/>
  <c r="R27" i="6"/>
  <c r="M21" i="15"/>
  <c r="F35" i="15"/>
  <c r="C28" i="69" l="1"/>
  <c r="C27" i="69" s="1"/>
  <c r="C31" i="69" s="1"/>
  <c r="C41" i="69"/>
  <c r="F63" i="15"/>
  <c r="C62" i="15" s="1"/>
  <c r="C34" i="15"/>
  <c r="C31" i="15" s="1"/>
  <c r="J20" i="15"/>
  <c r="C52" i="68"/>
  <c r="B2" i="68" s="1"/>
  <c r="B3" i="68" s="1"/>
  <c r="R16" i="1"/>
  <c r="J19" i="15"/>
  <c r="C13" i="15"/>
  <c r="J14" i="15"/>
  <c r="C57" i="15"/>
  <c r="C36" i="15"/>
  <c r="Q49" i="15"/>
  <c r="Q57" i="67"/>
  <c r="Q62" i="67" s="1"/>
  <c r="Q66" i="67"/>
  <c r="C46" i="69"/>
  <c r="C45" i="69" s="1"/>
  <c r="C49" i="69" s="1"/>
  <c r="C51" i="69" s="1"/>
  <c r="B2" i="67"/>
  <c r="B3" i="67"/>
  <c r="Q75" i="67"/>
  <c r="J17" i="15" l="1"/>
  <c r="C64" i="15"/>
  <c r="C61" i="15"/>
  <c r="C59" i="15" s="1"/>
  <c r="Q70" i="15"/>
  <c r="C37" i="15"/>
  <c r="C56" i="15"/>
  <c r="C65" i="15" s="1"/>
  <c r="C75" i="15"/>
  <c r="C52" i="69"/>
  <c r="B2" i="69" s="1"/>
  <c r="B3" i="69" s="1"/>
  <c r="C30" i="15"/>
  <c r="C39" i="15" s="1"/>
  <c r="J22" i="15"/>
  <c r="J13" i="15"/>
  <c r="J23" i="15" s="1"/>
  <c r="J16" i="15" s="1"/>
  <c r="J25" i="15" s="1"/>
  <c r="C57" i="68"/>
  <c r="C56" i="68" s="1"/>
  <c r="Q69" i="15" l="1"/>
  <c r="Q68" i="15" s="1"/>
  <c r="C40" i="15"/>
  <c r="C80" i="15"/>
  <c r="C79" i="15" s="1"/>
  <c r="C58" i="15"/>
  <c r="C67" i="15" s="1"/>
  <c r="C68" i="15" s="1"/>
  <c r="C57" i="69"/>
  <c r="C56" i="69" s="1"/>
  <c r="L51" i="15"/>
  <c r="Q67" i="15" l="1"/>
  <c r="Q65" i="15"/>
  <c r="Q75" i="15" s="1"/>
  <c r="B2" i="15"/>
  <c r="Q47" i="15"/>
  <c r="Q53" i="15" s="1"/>
  <c r="Q56" i="15"/>
  <c r="Q62" i="15" s="1"/>
  <c r="C43" i="15"/>
  <c r="C83" i="15"/>
  <c r="C82" i="15" s="1"/>
  <c r="C46" i="15"/>
  <c r="C71" i="15"/>
  <c r="AO6" i="1"/>
  <c r="D19" i="79"/>
  <c r="D21" i="79" l="1"/>
  <c r="D102" i="79"/>
  <c r="G19" i="79"/>
  <c r="G21" i="79" s="1"/>
  <c r="D22" i="79"/>
  <c r="B6" i="70"/>
  <c r="B2" i="70" s="1"/>
  <c r="B3" i="70" s="1"/>
  <c r="B3" i="15"/>
  <c r="D35" i="9"/>
  <c r="D34" i="9"/>
  <c r="D20" i="79"/>
  <c r="D103" i="79" l="1"/>
  <c r="G20" i="79"/>
  <c r="C32" i="79" l="1"/>
  <c r="R24" i="31"/>
  <c r="R27" i="31" l="1"/>
  <c r="S27" i="31" s="1"/>
  <c r="R26" i="31"/>
  <c r="S26" i="31" s="1"/>
  <c r="R25" i="31"/>
  <c r="S25" i="31" s="1"/>
  <c r="S24" i="31"/>
  <c r="I118" i="79"/>
  <c r="C35" i="79"/>
  <c r="G118" i="79" s="1"/>
  <c r="F118" i="79" s="1"/>
  <c r="F119" i="79" s="1"/>
  <c r="C105" i="79" l="1"/>
  <c r="H102" i="79"/>
  <c r="E118" i="79"/>
  <c r="D118" i="79" s="1"/>
  <c r="D119" i="79" s="1"/>
  <c r="H118" i="79"/>
  <c r="S22" i="31"/>
  <c r="C34" i="79"/>
  <c r="C104" i="79" l="1"/>
  <c r="H101" i="79"/>
  <c r="H119" i="79"/>
  <c r="R22" i="31"/>
  <c r="B21" i="31" s="1"/>
  <c r="B20" i="31"/>
  <c r="C20" i="9"/>
  <c r="D20" i="9"/>
  <c r="C19" i="9"/>
  <c r="D19" i="9"/>
  <c r="D102" i="9" l="1"/>
  <c r="D21" i="9"/>
  <c r="G19" i="9"/>
  <c r="D22" i="9"/>
  <c r="C21" i="9"/>
  <c r="C102" i="9"/>
  <c r="D103" i="9"/>
  <c r="C103" i="9"/>
  <c r="G20" i="9"/>
  <c r="M48" i="79"/>
  <c r="H107" i="79"/>
  <c r="D45" i="79"/>
  <c r="C85" i="79" l="1"/>
  <c r="D55" i="79"/>
  <c r="M53" i="79" s="1"/>
  <c r="C64" i="79"/>
  <c r="C63" i="79" s="1"/>
  <c r="C67" i="79" s="1"/>
  <c r="C68" i="79" s="1"/>
  <c r="D54" i="79" s="1"/>
  <c r="D52" i="79"/>
  <c r="C72" i="79"/>
  <c r="C78" i="79"/>
  <c r="C73" i="79" s="1"/>
  <c r="C93" i="79"/>
  <c r="C86" i="79" s="1"/>
  <c r="D53" i="79"/>
  <c r="H108" i="79"/>
  <c r="D122" i="79"/>
  <c r="D123" i="79" s="1"/>
  <c r="M49" i="79"/>
  <c r="G21" i="9"/>
  <c r="C32" i="9"/>
  <c r="H118" i="9" l="1"/>
  <c r="C35" i="9"/>
  <c r="F118" i="9" s="1"/>
  <c r="L66" i="79"/>
  <c r="M66" i="79" s="1"/>
  <c r="L63" i="79"/>
  <c r="M63" i="79" s="1"/>
  <c r="L67" i="79"/>
  <c r="M67" i="79" s="1"/>
  <c r="L64" i="79"/>
  <c r="M64" i="79" s="1"/>
  <c r="L68" i="79"/>
  <c r="M68" i="79" s="1"/>
  <c r="L65" i="79"/>
  <c r="M65" i="79" s="1"/>
  <c r="C79" i="79"/>
  <c r="C95" i="79"/>
  <c r="C34" i="9" l="1"/>
  <c r="D118" i="9" s="1"/>
  <c r="D4" i="52" s="1"/>
  <c r="B47" i="72" s="1"/>
  <c r="C80" i="79"/>
  <c r="E80" i="79" s="1"/>
  <c r="E81" i="79" s="1"/>
  <c r="M69" i="79"/>
  <c r="N69" i="79" s="1"/>
  <c r="G118" i="9"/>
  <c r="G4" i="52" s="1"/>
  <c r="B52" i="72" s="1"/>
  <c r="F119" i="9"/>
  <c r="F5" i="52" s="1"/>
  <c r="B53" i="72" s="1"/>
  <c r="F4" i="52"/>
  <c r="B51" i="72" s="1"/>
  <c r="H4" i="52"/>
  <c r="I118" i="9"/>
  <c r="C104" i="9"/>
  <c r="D14" i="74"/>
  <c r="H119" i="9"/>
  <c r="H5" i="52" s="1"/>
  <c r="H101" i="9"/>
  <c r="C96" i="79"/>
  <c r="E96" i="79" s="1"/>
  <c r="E97" i="79" s="1"/>
  <c r="D119" i="9"/>
  <c r="D5" i="52" s="1"/>
  <c r="B49" i="72" s="1"/>
  <c r="C97" i="79" l="1"/>
  <c r="D58" i="79" s="1"/>
  <c r="D56" i="79" s="1"/>
  <c r="M54" i="79" s="1"/>
  <c r="N57" i="79" s="1"/>
  <c r="P57" i="79" s="1"/>
  <c r="D5" i="53"/>
  <c r="D45" i="9"/>
  <c r="H107" i="9"/>
  <c r="M48" i="9"/>
  <c r="B5" i="74"/>
  <c r="F14" i="74"/>
  <c r="E14" i="74"/>
  <c r="E118" i="9"/>
  <c r="E4" i="52" s="1"/>
  <c r="B48" i="72" s="1"/>
  <c r="H102" i="9"/>
  <c r="D7" i="53" s="1"/>
  <c r="B21" i="72" s="1"/>
  <c r="C105" i="9"/>
  <c r="I4" i="52"/>
  <c r="C81" i="79"/>
  <c r="N58" i="79" l="1"/>
  <c r="N59" i="79"/>
  <c r="N60" i="79" s="1"/>
  <c r="C78" i="9"/>
  <c r="C73" i="9" s="1"/>
  <c r="D53" i="9"/>
  <c r="C85" i="9"/>
  <c r="C93" i="9"/>
  <c r="C86" i="9" s="1"/>
  <c r="C64" i="9"/>
  <c r="C63" i="9" s="1"/>
  <c r="C67" i="9" s="1"/>
  <c r="C68" i="9" s="1"/>
  <c r="D54" i="9" s="1"/>
  <c r="D52" i="9"/>
  <c r="D55" i="9"/>
  <c r="M53" i="9" s="1"/>
  <c r="C72" i="9"/>
  <c r="D5" i="74"/>
  <c r="C5" i="74"/>
  <c r="H108" i="9"/>
  <c r="D15" i="53" s="1"/>
  <c r="B31" i="72" s="1"/>
  <c r="M49" i="9"/>
  <c r="D122" i="9"/>
  <c r="D13" i="53"/>
  <c r="D6" i="53"/>
  <c r="B22" i="72" s="1"/>
  <c r="B20" i="72"/>
  <c r="N61" i="79" l="1"/>
  <c r="C95" i="9"/>
  <c r="D14" i="53"/>
  <c r="B32" i="72" s="1"/>
  <c r="B30" i="72"/>
  <c r="L67" i="9"/>
  <c r="M67" i="9" s="1"/>
  <c r="L66" i="9"/>
  <c r="M66" i="9" s="1"/>
  <c r="L65" i="9"/>
  <c r="M65" i="9" s="1"/>
  <c r="L68" i="9"/>
  <c r="M68" i="9" s="1"/>
  <c r="L64" i="9"/>
  <c r="M64" i="9" s="1"/>
  <c r="L63" i="9"/>
  <c r="M63" i="9" s="1"/>
  <c r="C79" i="9"/>
  <c r="D8" i="52"/>
  <c r="G14" i="74"/>
  <c r="B6" i="74" s="1"/>
  <c r="D123" i="9"/>
  <c r="D9" i="52" s="1"/>
  <c r="C96" i="9"/>
  <c r="E96" i="9" s="1"/>
  <c r="E97" i="9" s="1"/>
  <c r="C97" i="9" l="1"/>
  <c r="D58" i="9" s="1"/>
  <c r="D56" i="9" s="1"/>
  <c r="M54" i="9" s="1"/>
  <c r="N57" i="9" s="1"/>
  <c r="C6" i="74"/>
  <c r="D6" i="74"/>
  <c r="C80" i="9"/>
  <c r="E80" i="9" s="1"/>
  <c r="E81" i="9" s="1"/>
  <c r="C81" i="9"/>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<sst xmlns="http://schemas.openxmlformats.org/spreadsheetml/2006/main" count="7826" uniqueCount="3130">
  <si>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</si>
  <si>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</si>
  <si>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</si>
  <si>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</si>
  <si>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</si>
  <si>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</si>
  <si>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</si>
  <si>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</si>
  <si>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</si>
  <si>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</si>
  <si>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</si>
  <si>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</si>
  <si>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</si>
  <si>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</si>
  <si>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</si>
  <si>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</si>
  <si>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</si>
  <si>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</si>
  <si>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</si>
  <si>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</si>
  <si>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</si>
  <si>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</si>
  <si>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</si>
  <si>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</si>
  <si>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</si>
  <si>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</si>
  <si>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</si>
  <si>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</si>
  <si>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</si>
  <si>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</si>
  <si>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</si>
  <si>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</si>
  <si>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</si>
  <si>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</si>
  <si>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</si>
  <si>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</si>
  <si>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</si>
  <si>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</si>
  <si>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</si>
  <si>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</si>
  <si>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</si>
  <si>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</si>
  <si>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</si>
  <si>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</si>
  <si>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</si>
  <si>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</si>
  <si>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</si>
  <si>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</si>
  <si>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</si>
  <si>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</si>
  <si>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</si>
  <si>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</si>
  <si>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</si>
  <si>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</si>
  <si>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</si>
  <si>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</si>
  <si>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</si>
  <si>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</si>
  <si>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</si>
  <si>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</si>
  <si>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</si>
  <si>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</si>
  <si>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</si>
  <si>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</si>
  <si>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</si>
  <si>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</si>
  <si>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</si>
  <si>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</si>
  <si>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</si>
  <si>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</si>
  <si>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</si>
  <si>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</si>
  <si>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</si>
  <si>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</si>
  <si>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</si>
  <si>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</si>
  <si>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</si>
  <si>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</si>
  <si>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</si>
  <si>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</si>
  <si>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</si>
  <si>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</si>
  <si>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</si>
  <si>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</si>
  <si>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</si>
  <si>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</si>
  <si>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</si>
  <si>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</si>
  <si>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</si>
  <si>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</si>
  <si>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</si>
  <si>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</si>
  <si>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</si>
  <si>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</si>
  <si>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</si>
  <si>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</si>
  <si>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</si>
  <si>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</si>
  <si>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</si>
  <si>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</si>
  <si>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</si>
  <si>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</si>
  <si>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</si>
  <si>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</si>
  <si>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</si>
  <si>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</si>
  <si>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</si>
  <si>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</si>
  <si>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</si>
  <si>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</si>
  <si>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</si>
  <si>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</si>
  <si>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</si>
  <si>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</si>
  <si>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</si>
  <si>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</si>
  <si>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</si>
  <si>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</si>
  <si>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</si>
  <si>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</si>
  <si>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</si>
  <si>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</si>
  <si>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</si>
  <si>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</si>
  <si>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</si>
  <si>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</si>
  <si>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</si>
  <si>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</si>
  <si>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</si>
  <si>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</si>
  <si>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</si>
  <si>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</si>
  <si>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</si>
  <si>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</si>
  <si>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</si>
  <si>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</si>
  <si>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</si>
  <si>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</si>
  <si>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</si>
  <si>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</si>
  <si>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</si>
  <si>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</si>
  <si>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</si>
  <si>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</si>
  <si>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</si>
  <si>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</si>
  <si>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</si>
  <si>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</si>
  <si>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</si>
  <si>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</si>
  <si>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</si>
  <si>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</si>
  <si>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</si>
  <si>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</si>
  <si>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</si>
  <si>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</si>
  <si>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</si>
  <si>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</si>
  <si>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</si>
  <si>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</si>
  <si>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</si>
  <si>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</si>
  <si>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</si>
  <si>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</si>
  <si>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</si>
  <si>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</si>
  <si>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</si>
  <si>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</si>
  <si>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</si>
  <si>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</si>
  <si>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</si>
  <si>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</si>
  <si>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</si>
  <si>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</si>
  <si>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</si>
  <si>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</si>
  <si>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</si>
  <si>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</si>
  <si>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</si>
  <si>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</si>
  <si>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</si>
  <si>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</si>
  <si>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</si>
  <si>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</si>
  <si>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</si>
  <si>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</si>
  <si>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</si>
  <si>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</si>
  <si>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</si>
  <si>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</si>
  <si>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</si>
  <si>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</si>
  <si>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</si>
  <si>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</si>
  <si>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</si>
  <si>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</si>
  <si>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</si>
  <si>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</si>
  <si>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</si>
  <si>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</si>
  <si>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</si>
  <si>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</si>
  <si>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</si>
  <si>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</si>
  <si>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</si>
  <si>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</si>
  <si>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</si>
  <si>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</si>
  <si>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</si>
  <si>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</si>
  <si>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</si>
  <si>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</si>
  <si>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</si>
  <si>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</si>
  <si>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</si>
  <si>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</si>
  <si>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</si>
  <si>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</si>
  <si>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</si>
  <si>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</si>
  <si>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</si>
  <si>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</si>
  <si>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</si>
  <si>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</si>
  <si>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</si>
  <si>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</si>
  <si>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</si>
  <si>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</si>
  <si>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</si>
  <si>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</si>
  <si>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</si>
  <si>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</si>
  <si>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</si>
  <si>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</si>
  <si>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</si>
  <si>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</si>
  <si>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</si>
  <si>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</si>
  <si>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</si>
  <si>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</si>
  <si>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</si>
  <si>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</si>
  <si>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</si>
  <si>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</si>
  <si>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</si>
  <si>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</si>
  <si>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</si>
  <si>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</si>
  <si>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</si>
  <si>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</si>
  <si>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</si>
  <si>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</si>
  <si>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</si>
  <si>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</si>
  <si>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</si>
  <si>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</si>
  <si>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</si>
  <si>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</si>
  <si>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</si>
  <si>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</si>
  <si>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</si>
  <si>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</si>
  <si>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</si>
  <si>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</si>
  <si>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</si>
  <si>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</si>
  <si>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</si>
  <si>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</si>
  <si>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</si>
  <si>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</si>
  <si>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</si>
  <si>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</si>
  <si>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</si>
  <si>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</si>
  <si>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</si>
  <si>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</si>
  <si>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</si>
  <si>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</si>
  <si>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</si>
  <si>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</si>
  <si>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</si>
  <si>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</si>
  <si>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</si>
  <si>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</si>
  <si>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</si>
  <si>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</si>
  <si>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</si>
  <si>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</si>
  <si>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</si>
  <si>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</si>
  <si>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</si>
  <si>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</si>
  <si>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</si>
  <si>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</si>
  <si>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</si>
  <si>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</si>
  <si>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</si>
  <si>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</si>
  <si>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</si>
  <si>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</si>
  <si>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</si>
  <si>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</si>
  <si>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</si>
  <si>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</si>
  <si>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</si>
  <si>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</si>
  <si>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</si>
  <si>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</si>
  <si>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</si>
  <si>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</si>
  <si>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</si>
  <si>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</si>
  <si>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</si>
  <si>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</si>
  <si>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</si>
  <si>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</si>
  <si>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</si>
  <si>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</si>
  <si>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</si>
  <si>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</si>
  <si>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</si>
  <si>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</si>
  <si>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</si>
  <si>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</si>
  <si>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</si>
  <si>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</si>
  <si>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</si>
  <si>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</si>
  <si>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</si>
  <si>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</si>
  <si>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</si>
  <si>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</si>
  <si>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</si>
  <si>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</si>
  <si>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</si>
  <si>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</si>
  <si>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</si>
  <si>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</si>
  <si>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</si>
  <si>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</si>
  <si>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</si>
  <si>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</si>
  <si>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</si>
  <si>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</si>
  <si>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</si>
  <si>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</si>
  <si>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</si>
  <si>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</si>
  <si>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</si>
  <si>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</si>
  <si>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</si>
  <si>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</si>
  <si>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</si>
  <si>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</si>
  <si>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</si>
  <si>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</si>
  <si>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</si>
  <si>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</si>
  <si>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</si>
  <si>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</si>
  <si>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</si>
  <si>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</si>
  <si>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</si>
  <si>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</si>
  <si>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</si>
  <si>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</si>
  <si>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</si>
  <si>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</si>
  <si>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</si>
  <si>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</si>
  <si>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</si>
  <si>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</si>
  <si>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</si>
  <si>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</si>
  <si>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</si>
  <si>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</si>
  <si>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</si>
  <si>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</si>
  <si>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</si>
  <si>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</si>
  <si>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</si>
  <si>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</si>
  <si>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</si>
  <si>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</si>
  <si>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</si>
  <si>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</si>
  <si>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</si>
  <si>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</si>
  <si>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</si>
  <si>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</si>
  <si>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</si>
  <si>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</si>
  <si>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</si>
  <si>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</si>
  <si>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</si>
  <si>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</si>
  <si>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</si>
  <si>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</si>
  <si>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</si>
  <si>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</si>
  <si>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</si>
  <si>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</si>
  <si>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</si>
  <si>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</si>
  <si>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</si>
  <si>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</si>
  <si>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</si>
  <si>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</si>
  <si>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</si>
  <si>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</si>
  <si>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</si>
  <si>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</si>
  <si>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</si>
  <si>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</si>
  <si>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</si>
  <si>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</si>
  <si>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</si>
  <si>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</si>
  <si>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</si>
  <si>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</si>
  <si>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</si>
  <si>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</si>
  <si>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</si>
  <si>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</si>
  <si>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</si>
  <si>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</si>
  <si>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</si>
  <si>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</si>
  <si>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</si>
  <si>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</si>
  <si>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</si>
  <si>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</si>
  <si>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</si>
  <si>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</si>
  <si>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</si>
  <si>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</si>
  <si>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</si>
  <si>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</si>
  <si>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</si>
  <si>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</si>
  <si>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</si>
  <si>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</si>
  <si>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</si>
  <si>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</si>
  <si>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</si>
  <si>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</si>
  <si>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</si>
  <si>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</si>
  <si>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</si>
  <si>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</si>
  <si>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</si>
  <si>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</si>
  <si>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</si>
  <si>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</si>
  <si>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</si>
  <si>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</si>
  <si>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</si>
  <si>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</si>
  <si>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</si>
  <si>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</si>
  <si>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</si>
  <si>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</si>
  <si>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</si>
  <si>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</si>
  <si>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</si>
  <si>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</si>
  <si>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</si>
  <si>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</si>
  <si>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</si>
  <si>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</si>
  <si>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</si>
  <si>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</si>
  <si>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</si>
  <si>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</si>
  <si>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</si>
  <si>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</si>
  <si>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</si>
  <si>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</si>
  <si>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</si>
  <si>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</si>
  <si>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</si>
  <si>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</si>
  <si>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</si>
  <si>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</si>
  <si>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</si>
  <si>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</si>
  <si>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</si>
  <si>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</si>
  <si>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</si>
  <si>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</si>
  <si>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</si>
  <si>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</si>
  <si>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</si>
  <si>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</si>
  <si>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</si>
  <si>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</si>
  <si>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</si>
  <si>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</si>
  <si>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</si>
  <si>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</si>
  <si>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</si>
  <si>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</si>
  <si>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</si>
  <si>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</si>
  <si>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</si>
  <si>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</si>
  <si>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</si>
  <si>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</si>
  <si>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</si>
  <si>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</si>
  <si>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</si>
  <si>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</si>
  <si>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</si>
  <si>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</si>
  <si>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</si>
  <si>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</si>
  <si>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</si>
  <si>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</si>
  <si>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</si>
  <si>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</si>
  <si>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</si>
  <si>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</si>
  <si>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</si>
  <si>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</si>
  <si>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</si>
  <si>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</si>
  <si>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</si>
  <si>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</si>
  <si>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</si>
  <si>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</si>
  <si>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</si>
  <si>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</si>
  <si>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</si>
  <si>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</si>
  <si>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</si>
  <si>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</si>
  <si>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</si>
  <si>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</si>
  <si>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</si>
  <si>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</si>
  <si>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</si>
  <si>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</si>
  <si>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</si>
  <si>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</si>
  <si>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</si>
  <si>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</si>
  <si>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</si>
  <si>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</si>
  <si>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</si>
  <si>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</si>
  <si>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</si>
  <si>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</si>
  <si>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</si>
  <si>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</si>
  <si>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</si>
  <si>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</si>
  <si>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</si>
  <si>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</si>
  <si>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</si>
  <si>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</si>
  <si>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</si>
  <si>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</si>
  <si>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</si>
  <si>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</si>
  <si>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</si>
  <si>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</si>
  <si>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</si>
  <si>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</si>
  <si>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</si>
  <si>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</si>
  <si>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</si>
  <si>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</si>
  <si>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</si>
  <si>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</si>
  <si>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</si>
  <si>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</si>
  <si>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</si>
  <si>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</si>
  <si>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</si>
  <si>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</si>
  <si>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</si>
  <si>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</si>
  <si>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</si>
  <si>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</si>
  <si>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</si>
  <si>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</si>
  <si>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</si>
  <si>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</si>
  <si>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</si>
  <si>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</si>
  <si>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</si>
  <si>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</si>
  <si>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</si>
  <si>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</si>
  <si>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</si>
  <si>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</si>
  <si>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</si>
  <si>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</si>
  <si>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</si>
  <si>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</si>
  <si>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</si>
  <si>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</si>
  <si>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</si>
  <si>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</si>
  <si>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</si>
  <si>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</si>
  <si>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</si>
  <si>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</si>
  <si>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</si>
  <si>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</si>
  <si>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</si>
  <si>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</si>
  <si>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</si>
  <si>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</si>
  <si>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</si>
  <si>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</si>
  <si>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</si>
  <si>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</si>
  <si>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</si>
  <si>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</si>
  <si>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</si>
  <si>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</si>
  <si>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</si>
  <si>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</si>
  <si>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</si>
  <si>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</si>
  <si>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</si>
  <si>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</si>
  <si>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</si>
  <si>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</si>
  <si>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</si>
  <si>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</si>
  <si>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</si>
  <si>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</si>
  <si>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</si>
  <si>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</si>
  <si>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</si>
  <si>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</si>
  <si>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</si>
  <si>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</si>
  <si>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</si>
  <si>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</si>
  <si>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</si>
  <si>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</si>
  <si>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</si>
  <si>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</si>
  <si>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</si>
  <si>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</si>
  <si>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</si>
  <si>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</si>
  <si>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</si>
  <si>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</si>
  <si>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</si>
  <si>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</si>
  <si>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</si>
  <si>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</si>
  <si>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</si>
  <si>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</si>
  <si>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</si>
  <si>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</si>
  <si>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</si>
  <si>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</si>
  <si>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</si>
  <si>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</si>
  <si>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</si>
  <si>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</si>
  <si>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</si>
  <si>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</si>
  <si>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</si>
  <si>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</si>
  <si>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</si>
  <si>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</si>
  <si>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</si>
  <si>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</si>
  <si>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</si>
  <si>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</si>
  <si>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</si>
  <si>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</si>
  <si>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</si>
  <si>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</si>
  <si>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</si>
  <si>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</si>
  <si>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</si>
  <si>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</si>
  <si>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</si>
  <si>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</si>
  <si>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</si>
  <si>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</si>
  <si>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</si>
  <si>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</si>
  <si>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</si>
  <si>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</si>
  <si>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</si>
  <si>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</si>
  <si>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</si>
  <si>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</si>
  <si>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</si>
  <si>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</si>
  <si>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</si>
  <si>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</si>
  <si>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</si>
  <si>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</si>
  <si>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</si>
  <si>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</si>
  <si>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</si>
  <si>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</si>
  <si>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</si>
  <si>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</si>
  <si>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</si>
  <si>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</si>
  <si>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</si>
  <si>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</si>
  <si>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</si>
  <si>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</si>
  <si>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</si>
  <si>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</si>
  <si>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</si>
  <si>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</si>
  <si>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</si>
  <si>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</si>
  <si>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</si>
  <si>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</si>
  <si>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</si>
  <si>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</si>
  <si>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</si>
  <si>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</si>
  <si>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</si>
  <si>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</si>
  <si>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</si>
  <si>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</si>
  <si>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</si>
  <si>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</si>
  <si>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</si>
  <si>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</si>
  <si>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</si>
  <si>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</si>
  <si>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</si>
  <si>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</si>
  <si>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</si>
  <si>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</si>
  <si>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</si>
  <si>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</si>
  <si>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</si>
  <si>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</si>
  <si>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</si>
  <si>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</si>
  <si>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</si>
  <si>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</si>
  <si>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</si>
  <si>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</si>
  <si>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</si>
  <si>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</si>
  <si>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</si>
  <si>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</si>
  <si>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</si>
  <si>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</si>
  <si>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</si>
  <si>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</si>
  <si>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</si>
  <si>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</si>
  <si>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</si>
  <si>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</si>
  <si>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</si>
  <si>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</si>
  <si>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</si>
  <si>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</si>
  <si>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</si>
  <si>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</si>
  <si>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</si>
  <si>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</si>
  <si>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</si>
  <si>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</si>
  <si>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</si>
  <si>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</si>
  <si>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</si>
  <si>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</si>
  <si>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</si>
  <si>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</si>
  <si>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</si>
  <si>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</si>
  <si>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</si>
  <si>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</si>
  <si>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</si>
  <si>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</si>
  <si>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</si>
  <si>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</si>
  <si>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</si>
  <si>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</si>
  <si>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</si>
  <si>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</si>
  <si>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</si>
  <si>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</si>
  <si>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</si>
  <si>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</si>
  <si>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</si>
  <si>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</si>
  <si>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</si>
  <si>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</si>
  <si>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</si>
  <si>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</si>
  <si>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</si>
  <si>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</si>
  <si>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</si>
  <si>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</si>
  <si>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</si>
  <si>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</si>
  <si>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</si>
  <si>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</si>
  <si>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</si>
  <si>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</si>
  <si>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</si>
  <si>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</si>
  <si>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</si>
  <si>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</si>
  <si>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</si>
  <si>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</si>
  <si>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</si>
  <si>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</si>
  <si>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</si>
  <si>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</si>
  <si>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</si>
  <si>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</si>
  <si>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</si>
  <si>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</si>
  <si>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</si>
  <si>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</si>
  <si>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</si>
  <si>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</si>
  <si>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</si>
  <si>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</si>
  <si>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</si>
  <si>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</si>
  <si>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</si>
  <si>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</si>
  <si>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</si>
  <si>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</si>
  <si>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</si>
  <si>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</si>
  <si>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</si>
  <si>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</si>
  <si>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</si>
  <si>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</si>
  <si>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</si>
  <si>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</si>
  <si>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</si>
  <si>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</si>
  <si>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</si>
  <si>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</si>
  <si>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</si>
  <si>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</si>
  <si>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</si>
  <si>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</si>
  <si>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</si>
  <si>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</si>
  <si>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</si>
  <si>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</si>
  <si>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</si>
  <si>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</si>
  <si>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</si>
  <si>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</si>
  <si>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</si>
  <si>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</si>
  <si>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</si>
  <si>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</si>
  <si>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</si>
  <si>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</si>
  <si>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</si>
  <si>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</si>
  <si>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</si>
  <si>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</si>
  <si>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</si>
  <si>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</si>
  <si>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</si>
  <si>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</si>
  <si>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</si>
  <si>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</si>
  <si>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</si>
  <si>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</si>
  <si>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</si>
  <si>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</si>
  <si>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</si>
  <si>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</si>
  <si>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</si>
  <si>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</si>
  <si>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</si>
  <si>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</si>
  <si>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</si>
  <si>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</si>
  <si>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</si>
  <si>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</si>
  <si>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</si>
  <si>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</si>
  <si>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</si>
  <si>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</si>
  <si>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</si>
  <si>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</si>
  <si>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</si>
  <si>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</si>
  <si>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</si>
  <si>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</si>
  <si>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</si>
  <si>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</si>
  <si>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</si>
  <si>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</si>
  <si>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</si>
  <si>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</si>
  <si>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</si>
  <si>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</si>
  <si>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</si>
  <si>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</si>
  <si>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</si>
  <si>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</si>
  <si>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</si>
  <si>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</si>
  <si>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</si>
  <si>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</si>
  <si>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</si>
  <si>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</si>
  <si>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</si>
  <si>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</si>
  <si>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</si>
  <si>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</si>
  <si>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</si>
  <si>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</si>
  <si>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</si>
  <si>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</si>
  <si>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</si>
  <si>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</si>
  <si>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</si>
  <si>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</si>
  <si>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</si>
  <si>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</si>
  <si>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</si>
  <si>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</si>
  <si>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</si>
  <si>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</si>
  <si>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</si>
  <si>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</si>
  <si>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</si>
  <si>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</si>
  <si>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</si>
  <si>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</si>
  <si>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</si>
  <si>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</si>
  <si>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</si>
  <si>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</si>
  <si>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</si>
  <si>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</si>
  <si>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</si>
  <si>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</si>
  <si>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</si>
  <si>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</si>
  <si>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</si>
  <si>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</si>
  <si>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</si>
  <si>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</si>
  <si>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</si>
  <si>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</si>
  <si>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</si>
  <si>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</si>
  <si>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</si>
  <si>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</si>
  <si>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</si>
  <si>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</si>
  <si>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</si>
  <si>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</si>
  <si>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</si>
  <si>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</si>
  <si>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</si>
  <si>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</si>
  <si>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</si>
  <si>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</si>
  <si>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</si>
  <si>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</si>
  <si>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</si>
  <si>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</si>
  <si>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</si>
  <si>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</si>
  <si>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</si>
  <si>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</si>
  <si>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</si>
  <si>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</si>
  <si>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</si>
  <si>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</si>
  <si>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</si>
  <si>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</si>
  <si>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</si>
  <si>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</si>
  <si>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</si>
  <si>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</si>
  <si>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</si>
  <si>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</si>
  <si>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</si>
  <si>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</si>
  <si>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</si>
  <si>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</si>
  <si>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</si>
  <si>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</si>
  <si>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</si>
  <si>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</si>
  <si>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</si>
  <si>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</si>
  <si>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</si>
  <si>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</si>
  <si>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</si>
  <si>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</si>
  <si>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</si>
  <si>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</si>
  <si>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</si>
  <si>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</si>
  <si>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</si>
  <si>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</si>
  <si>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</si>
  <si>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</si>
  <si>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</si>
  <si>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</si>
  <si>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</si>
  <si>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</si>
  <si>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</si>
  <si>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</si>
  <si>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</si>
  <si>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</si>
  <si>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</si>
  <si>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</si>
  <si>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</si>
  <si>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</si>
  <si>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</si>
  <si>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</si>
  <si>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</si>
  <si>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</si>
  <si>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</si>
  <si>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</si>
  <si>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</si>
  <si>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</si>
  <si>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</si>
  <si>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</si>
  <si>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</si>
  <si>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</si>
  <si>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</si>
  <si>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</si>
  <si>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</si>
  <si>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</si>
  <si>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</si>
  <si>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</si>
  <si>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</si>
  <si>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</si>
  <si>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</si>
  <si>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</si>
  <si>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</si>
  <si>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</si>
  <si>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</si>
  <si>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</si>
  <si>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</si>
  <si>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</si>
  <si>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</si>
  <si>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</si>
  <si>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</si>
  <si>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</si>
  <si>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</si>
  <si>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</si>
  <si>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</si>
  <si>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</si>
  <si>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</si>
  <si>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</si>
  <si>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</si>
  <si>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</si>
  <si>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</si>
  <si>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</si>
  <si>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</si>
  <si>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</si>
  <si>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</si>
  <si>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</si>
  <si>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</si>
  <si>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</si>
  <si>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</si>
  <si>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</si>
  <si>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</si>
  <si>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</si>
  <si>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</si>
  <si>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</si>
  <si>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</si>
  <si>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</si>
  <si>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</si>
  <si>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</si>
  <si>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</si>
  <si>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</si>
  <si>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</si>
  <si>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</si>
  <si>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</si>
  <si>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</si>
  <si>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</si>
  <si>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</si>
  <si>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</si>
  <si>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</si>
  <si>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</si>
  <si>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</si>
  <si>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</si>
  <si>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</si>
  <si>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</si>
  <si>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</si>
  <si>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</si>
  <si>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</si>
  <si>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</si>
  <si>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</si>
  <si>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</si>
  <si>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</si>
  <si>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</si>
  <si>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</si>
  <si>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</si>
  <si>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</si>
  <si>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</si>
  <si>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</si>
  <si>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</si>
  <si>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</si>
  <si>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</si>
  <si>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</si>
  <si>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</si>
  <si>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</si>
  <si>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</si>
  <si>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</si>
  <si>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</si>
  <si>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</si>
  <si>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</si>
  <si>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</si>
  <si>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</si>
  <si>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</si>
  <si>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</si>
  <si>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</si>
  <si>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</si>
  <si>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</si>
  <si>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</si>
  <si>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</si>
  <si>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</si>
  <si>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</si>
  <si>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</si>
  <si>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</si>
  <si>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</si>
  <si>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</si>
  <si>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</si>
  <si>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</si>
  <si>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</si>
  <si>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</si>
  <si>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</si>
  <si>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</si>
  <si>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</si>
  <si>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</si>
  <si>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</si>
  <si>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</si>
  <si>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</si>
  <si>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</si>
  <si>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</si>
  <si>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</si>
  <si>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</si>
  <si>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</si>
  <si>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</si>
  <si>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</si>
  <si>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</si>
  <si>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</si>
  <si>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</si>
  <si>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</si>
  <si>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</si>
  <si>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</si>
  <si>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</si>
  <si>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</si>
  <si>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</si>
  <si>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</si>
  <si>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</si>
  <si>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</si>
  <si>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</si>
  <si>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</si>
  <si>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</si>
  <si>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</si>
  <si>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</si>
  <si>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</si>
  <si>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</si>
  <si>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</si>
  <si>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</si>
  <si>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</si>
  <si>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</si>
  <si>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</si>
  <si>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</si>
  <si>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</si>
  <si>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</si>
  <si>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</si>
  <si>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</si>
  <si>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</si>
  <si>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</si>
  <si>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</si>
  <si>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</si>
  <si>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</si>
  <si>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</si>
  <si>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</si>
  <si>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</si>
  <si>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</si>
  <si>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</si>
  <si>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</si>
  <si>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</si>
  <si>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</si>
  <si>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</si>
  <si>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</si>
  <si>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</si>
  <si>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</si>
  <si>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</si>
  <si>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</si>
  <si>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</si>
  <si>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</si>
  <si>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</si>
  <si>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</si>
  <si>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</si>
  <si>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</si>
  <si>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</si>
  <si>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</si>
  <si>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</si>
  <si>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</si>
  <si>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</si>
  <si>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</si>
  <si>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</si>
  <si>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</si>
  <si>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</si>
  <si>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</si>
  <si>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</si>
  <si>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</si>
  <si>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</si>
  <si>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</si>
  <si>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</si>
  <si>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</si>
  <si>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</si>
  <si>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</si>
  <si>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</si>
  <si>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</si>
  <si>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</si>
  <si>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</si>
  <si>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</si>
  <si>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</si>
  <si>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</si>
  <si>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</si>
  <si>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</si>
  <si>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</si>
  <si>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</si>
  <si>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</si>
  <si>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</si>
  <si>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</si>
  <si>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</si>
  <si>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</si>
  <si>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</si>
  <si>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</si>
  <si>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</si>
  <si>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</si>
  <si>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</si>
  <si>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</si>
  <si>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</si>
  <si>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</si>
  <si>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</si>
  <si>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</si>
  <si>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</si>
  <si>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</si>
  <si>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</si>
  <si>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</si>
  <si>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</si>
  <si>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</si>
  <si>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</si>
  <si>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</si>
  <si>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</si>
  <si>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</si>
  <si>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</si>
  <si>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</si>
  <si>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</si>
  <si>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</si>
  <si>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</si>
  <si>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</si>
  <si>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</si>
  <si>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</si>
  <si>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</si>
  <si>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</si>
  <si>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</si>
  <si>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</si>
  <si>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</si>
  <si>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</si>
  <si>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</si>
  <si>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</si>
  <si>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</si>
  <si>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</si>
  <si>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</si>
  <si>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</si>
  <si>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</si>
  <si>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</si>
  <si>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</si>
  <si>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</si>
  <si>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</si>
  <si>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</si>
  <si>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</si>
  <si>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</si>
  <si>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</si>
  <si>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</si>
  <si>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</si>
  <si>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</si>
  <si>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</si>
  <si>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</si>
  <si>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</si>
  <si>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</si>
  <si>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</si>
  <si>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</si>
  <si>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</si>
  <si>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</si>
  <si>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</si>
  <si>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</si>
  <si>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</si>
  <si>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</si>
  <si>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</si>
  <si>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</si>
  <si>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</si>
  <si>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</si>
  <si>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</si>
  <si>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</si>
  <si>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</si>
  <si>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</si>
  <si>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</si>
  <si>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</si>
  <si>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</si>
  <si>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</si>
  <si>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</si>
  <si>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</si>
  <si>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</si>
  <si>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</si>
  <si>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</si>
  <si>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</si>
  <si>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</si>
  <si>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</si>
  <si>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</si>
  <si>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</si>
  <si>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</si>
  <si>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</si>
  <si>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</si>
  <si>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</si>
  <si>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</si>
  <si>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</si>
  <si>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</si>
  <si>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</si>
  <si>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</si>
  <si>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</si>
  <si>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</si>
  <si>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</si>
  <si>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</si>
  <si>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</si>
  <si>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</si>
  <si>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</si>
  <si>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</si>
  <si>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</si>
  <si>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</si>
  <si>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</si>
  <si>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</si>
  <si>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</si>
  <si>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</si>
  <si>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</si>
  <si>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</si>
  <si>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</si>
  <si>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</si>
  <si>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</si>
  <si>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</si>
  <si>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</si>
  <si>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</si>
  <si>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</si>
  <si>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</si>
  <si>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</si>
  <si>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</si>
  <si>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</si>
  <si>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</si>
  <si>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</si>
  <si>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</si>
  <si>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</si>
  <si>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</si>
  <si>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</si>
  <si>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</si>
  <si>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</si>
  <si>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</si>
  <si>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</si>
  <si>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</si>
  <si>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</si>
  <si>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</si>
  <si>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</si>
  <si>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</si>
  <si>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</si>
  <si>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</si>
  <si>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</si>
  <si>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</si>
  <si>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</si>
  <si>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</si>
  <si>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</si>
  <si>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</si>
  <si>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</si>
  <si>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</si>
  <si>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</si>
  <si>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</si>
  <si>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</si>
  <si>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</si>
  <si>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</si>
  <si>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</si>
  <si>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</si>
  <si>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</si>
  <si>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</si>
  <si>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</si>
  <si>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</si>
  <si>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</si>
  <si>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</si>
  <si>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</si>
  <si>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</si>
  <si>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</si>
  <si>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</si>
  <si>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</si>
  <si>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</si>
  <si>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</si>
  <si>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</si>
  <si>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</si>
  <si>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</si>
  <si>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</si>
  <si>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</si>
  <si>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</si>
  <si>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</si>
  <si>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</si>
  <si>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</si>
  <si>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</si>
  <si>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</si>
  <si>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</si>
  <si>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</si>
  <si>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</si>
  <si>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</si>
  <si>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</si>
  <si>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</si>
  <si>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</si>
  <si>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</si>
  <si>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</si>
  <si>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</si>
  <si>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</si>
  <si>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</si>
  <si>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</si>
  <si>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</si>
  <si>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</si>
  <si>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</si>
  <si>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</si>
  <si>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</si>
  <si>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</si>
  <si>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</si>
  <si>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</si>
  <si>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</si>
  <si>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</si>
  <si>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</si>
  <si>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</si>
  <si>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</si>
  <si>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</si>
  <si>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</si>
  <si>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</si>
  <si>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</si>
  <si>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</si>
  <si>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</si>
  <si>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</si>
  <si>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</si>
  <si>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</si>
  <si>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</si>
  <si>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</si>
  <si>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</si>
  <si>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</si>
  <si>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</si>
  <si>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</si>
  <si>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</si>
  <si>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</si>
  <si>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</si>
  <si>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</si>
  <si>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</si>
  <si>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</si>
  <si>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</si>
  <si>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</si>
  <si>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</si>
  <si>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</si>
  <si>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</si>
  <si>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</si>
  <si>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</si>
  <si>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</si>
  <si>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</si>
  <si>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</si>
  <si>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</si>
  <si>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</si>
  <si>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</si>
  <si>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</si>
  <si>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</si>
  <si>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</si>
  <si>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</si>
  <si>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</si>
  <si>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</si>
  <si>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</si>
  <si>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</si>
  <si>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</si>
  <si>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</si>
  <si>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</si>
  <si>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</si>
  <si>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</si>
  <si>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</si>
  <si>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</si>
  <si>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</si>
  <si>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</si>
  <si>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</si>
  <si>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</si>
  <si>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</si>
  <si>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</si>
  <si>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</si>
  <si>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</si>
  <si>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</si>
  <si>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</si>
  <si>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</si>
  <si>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</si>
  <si>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</si>
  <si>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</si>
  <si>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</si>
  <si>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</si>
  <si>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</si>
  <si>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</si>
  <si>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</si>
  <si>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</si>
  <si>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</si>
  <si>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</si>
  <si>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</si>
  <si>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</si>
  <si>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</si>
  <si>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</si>
  <si>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</si>
  <si>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</si>
  <si>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</si>
  <si>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</si>
  <si>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</si>
  <si>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</si>
  <si>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</si>
  <si>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</si>
  <si>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</si>
  <si>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</si>
  <si>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</si>
  <si>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</si>
  <si>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</si>
  <si>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</si>
  <si>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</si>
  <si>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</si>
  <si>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</si>
  <si>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</si>
  <si>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</si>
  <si>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</si>
  <si>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</si>
  <si>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</si>
  <si>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</si>
  <si>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</si>
  <si>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</si>
  <si>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</si>
  <si>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</si>
  <si>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</si>
  <si>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</si>
  <si>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</si>
  <si>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</si>
  <si>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</si>
  <si>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</si>
  <si>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</si>
  <si>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</si>
  <si>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</si>
  <si>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</si>
  <si>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</si>
  <si>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</si>
  <si>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</si>
  <si>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</si>
  <si>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</si>
  <si>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</si>
  <si>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</si>
  <si>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</si>
  <si>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</si>
  <si>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</si>
  <si>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</si>
  <si>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</si>
  <si>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</si>
  <si>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</si>
  <si>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</si>
  <si>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</si>
  <si>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</si>
  <si>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</si>
  <si>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</si>
  <si>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</si>
  <si>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</si>
  <si>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</si>
  <si>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</si>
  <si>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</si>
  <si>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</si>
  <si>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</si>
  <si>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</si>
  <si>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</si>
  <si>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</si>
  <si>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</si>
  <si>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</si>
  <si>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</si>
  <si>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</si>
  <si>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</si>
  <si>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</si>
  <si>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</si>
  <si>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</si>
  <si>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</si>
  <si>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</si>
  <si>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</si>
  <si>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</si>
  <si>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</si>
  <si>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</si>
  <si>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</si>
  <si>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</si>
  <si>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</si>
  <si>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</si>
  <si>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</si>
  <si>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</si>
  <si>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</si>
  <si>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</si>
  <si>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</si>
  <si>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</si>
  <si>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</si>
  <si>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</si>
  <si>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</si>
  <si>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</si>
  <si>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</si>
  <si>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</si>
  <si>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</si>
  <si>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</si>
  <si>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</si>
  <si>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</si>
  <si>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</si>
  <si>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</si>
  <si>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</si>
  <si>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</si>
  <si>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</si>
  <si>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</si>
  <si>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</si>
  <si>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</si>
  <si>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</si>
  <si>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</si>
  <si>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</si>
  <si>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</si>
  <si>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</si>
  <si>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</si>
  <si>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</si>
  <si>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</si>
  <si>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</si>
  <si>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</si>
  <si>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</si>
  <si>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</si>
  <si>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</si>
  <si>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</si>
  <si>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</si>
  <si>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</si>
  <si>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</si>
  <si>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</si>
  <si>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</si>
  <si>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</si>
  <si>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</si>
  <si>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</si>
  <si>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</si>
  <si>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</si>
  <si>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</si>
  <si>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</si>
  <si>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</si>
  <si>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</si>
  <si>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</si>
  <si>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</si>
  <si>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</si>
  <si>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</si>
  <si>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</si>
  <si>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</si>
  <si>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</si>
  <si>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</si>
  <si>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</si>
  <si>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</si>
  <si>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</si>
  <si>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</si>
  <si>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</si>
  <si>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</si>
  <si>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</si>
  <si>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</si>
  <si>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</si>
  <si>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</si>
  <si>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</si>
  <si>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</si>
  <si>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</si>
  <si>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</si>
  <si>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</si>
  <si>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</si>
  <si>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</si>
  <si>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</si>
  <si>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</si>
  <si>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</si>
  <si>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</si>
  <si>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</si>
  <si>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</si>
  <si>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</si>
  <si>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</si>
  <si>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</si>
  <si>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</si>
  <si>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</si>
  <si>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</si>
  <si>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</si>
  <si>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</si>
  <si>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</si>
  <si>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</si>
  <si>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</si>
  <si>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</si>
  <si>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</si>
  <si>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</si>
  <si>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</si>
  <si>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</si>
  <si>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</si>
  <si>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</si>
  <si>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</si>
  <si>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</si>
  <si>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</si>
  <si>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</si>
  <si>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</si>
  <si>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</si>
  <si>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</si>
  <si>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</si>
  <si>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</si>
  <si>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</si>
  <si>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</si>
  <si>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</si>
  <si>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</si>
  <si>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</si>
  <si>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</si>
  <si>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</si>
  <si>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</si>
  <si>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</si>
  <si>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</si>
  <si>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</si>
  <si>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</si>
  <si>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</si>
  <si>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</si>
  <si>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</si>
  <si>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</si>
  <si>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</si>
  <si>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</si>
  <si>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</si>
  <si>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</si>
  <si>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</si>
  <si>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</si>
  <si>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</si>
  <si>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</si>
  <si>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</si>
  <si>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</si>
  <si>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</si>
  <si>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</si>
  <si>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</si>
  <si>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</si>
  <si>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</si>
  <si>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</si>
  <si>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</si>
  <si>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</si>
  <si>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</si>
  <si>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</si>
  <si>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</si>
  <si>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</si>
  <si>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</si>
  <si>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</si>
  <si>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</si>
  <si>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</si>
  <si>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</si>
  <si>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</si>
  <si>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</si>
  <si>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</si>
  <si>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</si>
  <si>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</si>
  <si>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</si>
  <si>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</si>
  <si>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</si>
  <si>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</si>
  <si>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</si>
  <si>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</si>
  <si>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</si>
  <si>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</si>
  <si>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</si>
  <si>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</si>
  <si>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</si>
  <si>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</si>
  <si>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</si>
  <si>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</si>
  <si>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</si>
  <si>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</si>
  <si>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</si>
  <si>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</si>
  <si>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</si>
  <si>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</si>
  <si>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</si>
  <si>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</si>
  <si>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</si>
  <si>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</si>
  <si>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</si>
  <si>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</si>
  <si>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</si>
  <si>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</si>
  <si>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</si>
  <si>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</si>
  <si>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</si>
  <si>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</si>
  <si>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</si>
  <si>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</si>
  <si>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</si>
  <si>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</si>
  <si>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</si>
  <si>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</si>
  <si>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</si>
  <si>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</si>
  <si>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</si>
  <si>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</si>
  <si>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</si>
  <si>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</si>
  <si>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</si>
  <si>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</si>
  <si>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</si>
  <si>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</si>
  <si>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</si>
  <si>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</si>
  <si>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</si>
  <si>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</si>
  <si>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</si>
  <si>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</si>
  <si>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</si>
  <si>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</si>
  <si>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</si>
  <si>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</si>
  <si>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</si>
  <si>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</si>
  <si>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</si>
  <si>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</si>
  <si>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</si>
  <si>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</si>
  <si>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</si>
  <si>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</si>
  <si>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</si>
  <si>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</si>
  <si>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</si>
  <si>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</si>
  <si>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</si>
  <si>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</si>
  <si>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</si>
  <si>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</si>
  <si>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</si>
  <si>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</si>
  <si>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</si>
  <si>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</si>
  <si>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</si>
  <si>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</si>
  <si>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</si>
  <si>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</si>
  <si>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</si>
  <si>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</si>
  <si>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</si>
  <si>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</si>
  <si>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</si>
  <si>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</si>
  <si>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</si>
  <si>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</si>
  <si>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</si>
  <si>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</si>
  <si>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</si>
  <si>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</si>
  <si>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</si>
  <si>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</si>
  <si>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</si>
  <si>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</si>
  <si>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</si>
  <si>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</si>
  <si>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</si>
  <si>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</si>
  <si>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</si>
  <si>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</si>
  <si>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</si>
  <si>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</si>
  <si>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</si>
  <si>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</si>
  <si>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</si>
  <si>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</si>
  <si>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</si>
  <si>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</si>
  <si>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</si>
  <si>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</si>
  <si>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</si>
  <si>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</si>
  <si>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</si>
  <si>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</si>
  <si>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</si>
  <si>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</si>
  <si>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</si>
  <si>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</si>
  <si>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</si>
  <si>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</si>
  <si>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</si>
  <si>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</si>
  <si>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</si>
  <si>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</si>
  <si>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</si>
  <si>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</si>
  <si>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</si>
  <si>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</si>
  <si>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</si>
  <si>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</si>
  <si>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</si>
  <si>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</si>
  <si>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</si>
  <si>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</si>
  <si>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</si>
  <si>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</si>
  <si>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</si>
  <si>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</si>
  <si>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</si>
  <si>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</si>
  <si>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</si>
  <si>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</si>
  <si>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</si>
  <si>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</si>
  <si>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</si>
  <si>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</si>
  <si>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</si>
  <si>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</si>
  <si>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</si>
  <si>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</si>
  <si>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</si>
  <si>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</si>
  <si>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</si>
  <si>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</si>
  <si>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</si>
  <si>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</si>
  <si>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</si>
  <si>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</si>
  <si>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</si>
  <si>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</si>
  <si>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</si>
  <si>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</si>
  <si>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</si>
  <si>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</si>
  <si>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</si>
  <si>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</si>
  <si>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</si>
  <si>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</si>
  <si>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</si>
  <si>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</si>
  <si>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</si>
  <si>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</si>
  <si>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</si>
  <si>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</si>
  <si>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</si>
  <si>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</si>
  <si>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</si>
  <si>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</si>
  <si>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</si>
  <si>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</si>
  <si>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</si>
  <si>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</si>
  <si>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</si>
  <si>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</si>
  <si>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</si>
  <si>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</si>
  <si>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</si>
  <si>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</si>
  <si>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</si>
  <si>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</si>
  <si>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</si>
  <si>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</si>
  <si>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</si>
  <si>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</si>
  <si>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</si>
  <si>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</si>
  <si>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</si>
  <si>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</si>
  <si>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</si>
  <si>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</si>
  <si>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</si>
  <si>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</si>
  <si>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</si>
  <si>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</si>
  <si>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</si>
  <si>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</si>
  <si>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</si>
  <si>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</si>
  <si>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</si>
  <si>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</si>
  <si>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</si>
  <si>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</si>
  <si>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</si>
  <si>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</si>
  <si>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</si>
  <si>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</si>
  <si>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</si>
  <si>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</si>
  <si>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</si>
  <si>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</si>
  <si>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</si>
  <si>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</si>
  <si>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</si>
  <si>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</si>
  <si>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</si>
  <si>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</si>
  <si>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</si>
  <si>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</si>
  <si>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</si>
  <si>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</si>
  <si>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</si>
  <si>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</si>
  <si>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</si>
  <si>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</si>
  <si>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</si>
  <si>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</si>
  <si>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</si>
  <si>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</si>
  <si>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</si>
  <si>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</si>
  <si>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</si>
  <si>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</si>
  <si>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</si>
  <si>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</si>
  <si>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</si>
  <si>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</si>
  <si>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</si>
  <si>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</si>
  <si>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</si>
  <si>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</si>
  <si>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</si>
  <si>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</si>
  <si>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</si>
  <si>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</si>
  <si>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</si>
  <si>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</si>
  <si>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</si>
  <si>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</si>
  <si>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</si>
  <si>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</si>
  <si>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</si>
  <si>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</si>
  <si>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</si>
  <si>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</si>
  <si>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</si>
  <si>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</si>
  <si>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</si>
  <si>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</si>
  <si>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</si>
  <si>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</si>
  <si>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</si>
  <si>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</si>
  <si>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</si>
  <si>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</si>
  <si>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</si>
  <si>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</si>
  <si>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</si>
  <si>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</si>
  <si>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</si>
  <si>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</si>
  <si>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</si>
  <si>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</si>
  <si>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</si>
  <si>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</si>
  <si>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</si>
  <si>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</si>
  <si>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</si>
  <si>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</si>
  <si>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</si>
  <si>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</si>
  <si>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</si>
  <si>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</si>
  <si>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</si>
  <si>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</si>
  <si>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</si>
  <si>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</si>
  <si>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</si>
  <si>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</si>
  <si>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</si>
  <si>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</si>
  <si>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</si>
  <si>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</si>
  <si>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</si>
  <si>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</si>
  <si>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</si>
  <si>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</si>
  <si>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</si>
  <si>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</si>
  <si>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</si>
  <si>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</si>
  <si>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</si>
  <si>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</si>
  <si>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</si>
  <si>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</si>
  <si>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</si>
  <si>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</si>
  <si>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</si>
  <si>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</si>
  <si>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</si>
  <si>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</si>
  <si>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</si>
  <si>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</si>
  <si>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</si>
  <si>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</si>
  <si>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</si>
  <si>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</si>
  <si>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</si>
  <si>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</si>
  <si>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</si>
  <si>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</si>
  <si>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</si>
  <si>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</si>
  <si>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</si>
  <si>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</si>
  <si>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</si>
  <si>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</si>
  <si>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</si>
  <si>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</si>
  <si>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</si>
  <si>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</si>
  <si>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</si>
  <si>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</si>
  <si>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</si>
  <si>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</si>
  <si>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</si>
  <si>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</si>
  <si>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</si>
  <si>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</si>
  <si>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</si>
  <si>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</si>
  <si>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</si>
  <si>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</si>
  <si>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</si>
  <si>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</si>
  <si>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</si>
  <si>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</si>
  <si>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</si>
  <si>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</si>
  <si>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</si>
  <si>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</si>
  <si>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</si>
  <si>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</si>
  <si>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</si>
  <si>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</si>
  <si>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</si>
  <si>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</si>
  <si>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</si>
  <si>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</si>
  <si>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</si>
  <si>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</si>
  <si>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</si>
  <si>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</si>
  <si>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</si>
  <si>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</si>
  <si>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</si>
  <si>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</si>
  <si>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</si>
  <si>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</si>
  <si>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</si>
  <si>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</si>
  <si>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</si>
  <si>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</si>
  <si>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</si>
  <si>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</si>
  <si>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</si>
  <si>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</si>
  <si>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</si>
  <si>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</si>
  <si>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</si>
  <si>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</si>
  <si>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</si>
  <si>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</si>
  <si>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</si>
  <si>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</si>
  <si>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</si>
  <si>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</si>
  <si>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</si>
  <si>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</si>
  <si>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</si>
  <si>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</si>
  <si>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</si>
  <si>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</si>
  <si>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</si>
  <si>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</si>
  <si>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</si>
  <si>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</si>
  <si>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</si>
  <si>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</si>
  <si>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</si>
  <si>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</si>
  <si>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</si>
  <si>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</si>
  <si>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</si>
  <si>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</si>
  <si>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</si>
  <si>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</si>
  <si>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</si>
  <si>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</si>
  <si>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</si>
  <si>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</si>
  <si>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</si>
  <si>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</si>
  <si>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</si>
  <si>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</si>
  <si>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</si>
  <si>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</si>
  <si>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</si>
  <si>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</si>
  <si>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</si>
  <si>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</si>
  <si>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</si>
  <si>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</si>
  <si>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</si>
  <si>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</si>
  <si>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</si>
  <si>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</si>
  <si>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</si>
  <si>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</si>
  <si>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</si>
  <si>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</si>
  <si>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</si>
  <si>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</si>
  <si>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</si>
  <si>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</si>
  <si>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</si>
  <si>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</si>
  <si>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</si>
  <si>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</si>
  <si>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</si>
  <si>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</si>
  <si>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</si>
  <si>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</si>
  <si>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</si>
  <si>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</si>
  <si>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</si>
  <si>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</si>
  <si>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</si>
  <si>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</si>
  <si>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</si>
  <si>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</si>
  <si>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</si>
  <si>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</si>
  <si>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</si>
  <si>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</si>
  <si>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</si>
  <si>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</si>
  <si>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</si>
  <si>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</si>
  <si>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</si>
  <si>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</si>
  <si>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</si>
  <si>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</si>
  <si>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</si>
  <si>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</si>
  <si>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</si>
  <si>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</si>
  <si>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</si>
  <si>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</si>
  <si>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</si>
  <si>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</si>
  <si>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</si>
  <si>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</si>
  <si>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</si>
  <si>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</si>
  <si>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</si>
  <si>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</si>
  <si>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</si>
  <si>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</si>
  <si>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</si>
  <si>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</si>
  <si>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</si>
  <si>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</si>
  <si>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</si>
  <si>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</si>
  <si>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</si>
  <si>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</si>
  <si>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</si>
  <si>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</si>
  <si>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</si>
  <si>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</si>
  <si>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</si>
  <si>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</si>
  <si>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</si>
  <si>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</si>
  <si>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</si>
  <si>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</si>
  <si>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</si>
  <si>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</si>
  <si>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</si>
  <si>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</si>
  <si>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</si>
  <si>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</si>
  <si>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</si>
  <si>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</si>
  <si>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</si>
  <si>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</si>
  <si>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</si>
  <si>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</si>
  <si>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</si>
  <si>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</si>
  <si>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</si>
  <si>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</si>
  <si>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</si>
  <si>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</si>
  <si>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</si>
  <si>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</si>
  <si>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</si>
  <si>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</si>
  <si>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</si>
  <si>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</si>
  <si>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</si>
  <si>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</si>
  <si>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</si>
  <si>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</si>
  <si>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</si>
  <si>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</si>
  <si>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</si>
  <si>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</si>
  <si>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</si>
  <si>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</si>
  <si>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</si>
  <si>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</si>
  <si>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</si>
  <si>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</si>
  <si>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</si>
  <si>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</si>
  <si>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</si>
  <si>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</si>
  <si>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</si>
  <si>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</si>
  <si>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</si>
  <si>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</si>
  <si>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</si>
  <si>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</si>
  <si>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</si>
  <si>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</si>
  <si>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</si>
  <si>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</si>
  <si>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</si>
  <si>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</si>
  <si>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</si>
  <si>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</si>
  <si>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</si>
  <si>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</si>
  <si>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</si>
  <si>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</si>
  <si>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</si>
  <si>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</si>
  <si>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</si>
  <si>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</si>
  <si>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</si>
  <si>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</si>
  <si>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</si>
  <si>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</si>
  <si>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</si>
  <si>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</si>
  <si>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</si>
  <si>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</si>
  <si>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</si>
  <si>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</si>
  <si>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</si>
  <si>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</si>
  <si>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</si>
  <si>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</si>
  <si>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</si>
  <si>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</si>
  <si>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</si>
  <si>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</si>
  <si>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</si>
  <si>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</si>
  <si>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</si>
  <si>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</si>
  <si>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</si>
  <si>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</si>
  <si>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</si>
  <si>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</si>
  <si>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</si>
  <si>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</si>
  <si>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</si>
  <si>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</si>
  <si>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</si>
  <si>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</si>
  <si>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</si>
  <si>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</si>
  <si>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</si>
  <si>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</si>
  <si>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</si>
  <si>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</si>
  <si>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</si>
  <si>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</si>
  <si>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</si>
  <si>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</si>
  <si>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</si>
  <si>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</si>
  <si>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</si>
  <si>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</si>
  <si>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</si>
  <si>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</si>
  <si>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</si>
  <si>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</si>
  <si>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</si>
  <si>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</si>
  <si>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</si>
  <si>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</si>
  <si>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</si>
  <si>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</si>
  <si>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</si>
  <si>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</si>
  <si>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</si>
  <si>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</si>
  <si>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</si>
  <si>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</si>
  <si>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</si>
  <si>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</si>
  <si>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</si>
  <si>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</si>
  <si>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</si>
  <si>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</si>
  <si>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</si>
  <si>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</si>
  <si>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</si>
  <si>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</si>
  <si>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</si>
  <si>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</si>
  <si>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</si>
  <si>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</si>
  <si>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</si>
  <si>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</si>
  <si>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</si>
  <si>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</si>
  <si>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</si>
  <si>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</si>
  <si>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</si>
  <si>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</si>
  <si>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</si>
  <si>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</si>
  <si>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</si>
  <si>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</si>
  <si>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</si>
  <si>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</si>
  <si>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</si>
  <si>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</si>
  <si>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</si>
  <si>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</si>
  <si>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</si>
  <si>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</si>
  <si>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</si>
  <si>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</si>
  <si>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</si>
  <si>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</si>
  <si>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</si>
  <si>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</si>
  <si>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</si>
  <si>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</si>
  <si>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</si>
  <si>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</si>
  <si>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</si>
  <si>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</si>
  <si>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</si>
  <si>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</si>
  <si>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</si>
  <si>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</si>
  <si>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</si>
  <si>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</si>
  <si>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</si>
  <si>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</si>
  <si>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</si>
  <si>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</si>
  <si>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</si>
  <si>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</si>
  <si>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</si>
  <si>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</si>
  <si>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</si>
  <si>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</si>
  <si>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</si>
  <si>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</si>
  <si>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</si>
  <si>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</si>
  <si>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</si>
  <si>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</si>
  <si>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</si>
  <si>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</si>
  <si>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</si>
  <si>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</si>
  <si>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</si>
  <si>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</si>
  <si>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</si>
  <si>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</si>
  <si>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</si>
  <si>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</si>
  <si>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</si>
  <si>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</si>
  <si>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</si>
  <si>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</si>
  <si>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</si>
  <si>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</si>
  <si>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</si>
  <si>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</si>
  <si>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</si>
  <si>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</si>
  <si>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</si>
  <si>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</si>
  <si>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</si>
  <si>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</si>
  <si>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</si>
  <si>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</si>
  <si>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</si>
  <si>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</si>
  <si>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</si>
  <si>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</si>
  <si>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</si>
  <si>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</si>
  <si>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</si>
  <si>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</si>
  <si>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</si>
  <si>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</si>
  <si>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</si>
  <si>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</si>
  <si>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</si>
  <si>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</si>
  <si>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</si>
  <si>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</si>
  <si>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</si>
  <si>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</si>
  <si>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</si>
  <si>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</si>
  <si>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</si>
  <si>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</si>
  <si>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</si>
  <si>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</si>
  <si>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</si>
  <si>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</si>
  <si>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</si>
  <si>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</si>
  <si>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</si>
  <si>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</si>
  <si>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</si>
  <si>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</si>
  <si>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</si>
  <si>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</si>
  <si>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</si>
  <si>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</si>
  <si>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</si>
  <si>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</si>
  <si>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</si>
  <si>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</si>
  <si>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</si>
  <si>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</si>
  <si>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</si>
  <si>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</si>
  <si>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</si>
  <si>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</si>
  <si>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</si>
  <si>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</si>
  <si>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</si>
  <si>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</si>
  <si>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</si>
  <si>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</si>
  <si>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</si>
  <si>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</si>
  <si>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</si>
  <si>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</si>
  <si>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</si>
  <si>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</si>
  <si>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</si>
  <si>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</si>
  <si>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</si>
  <si>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</si>
  <si>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</si>
  <si>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</si>
  <si>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</si>
  <si>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</si>
  <si>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</si>
  <si>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</si>
  <si>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</si>
  <si>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</si>
  <si>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</si>
  <si>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</si>
  <si>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</si>
  <si>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</si>
  <si>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</si>
  <si>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</si>
  <si>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</si>
  <si>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</si>
  <si>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</si>
  <si>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</si>
  <si>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</si>
  <si>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</si>
  <si>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</si>
  <si>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</si>
  <si>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</si>
  <si>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</si>
  <si>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</si>
  <si>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</si>
  <si>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</si>
  <si>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</si>
  <si>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</si>
  <si>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</si>
  <si>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</si>
  <si>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</si>
  <si>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</si>
  <si>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</si>
  <si>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</si>
  <si>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</si>
  <si>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</si>
  <si>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</si>
  <si>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</si>
  <si>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</si>
  <si>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</si>
  <si>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</si>
  <si>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</si>
  <si>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</si>
  <si>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</si>
  <si>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</si>
  <si>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</si>
  <si>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</si>
  <si>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</si>
  <si>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</si>
  <si>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</si>
  <si>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</si>
  <si>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</si>
  <si>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</si>
  <si>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</si>
  <si>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</si>
  <si>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</si>
  <si>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</si>
  <si>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</si>
  <si>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</si>
  <si>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</si>
  <si>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</si>
  <si>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</si>
  <si>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</si>
  <si>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</si>
  <si>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</si>
  <si>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</si>
  <si>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</si>
  <si>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</si>
  <si>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</si>
  <si>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</si>
  <si>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</si>
  <si>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</si>
  <si>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</si>
  <si>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</si>
  <si>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</si>
  <si>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</si>
  <si>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</si>
  <si>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</si>
  <si>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</si>
  <si>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</si>
  <si>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</si>
  <si>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</si>
  <si>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</si>
  <si>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</si>
  <si>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</si>
  <si>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</si>
  <si>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</si>
  <si>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</si>
  <si>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</si>
  <si>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</si>
  <si>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</si>
  <si>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</si>
  <si>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</si>
  <si>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</si>
  <si>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</si>
  <si>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</si>
  <si>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</si>
  <si>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</si>
  <si>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</si>
  <si>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</si>
  <si>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</si>
  <si>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</si>
  <si>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</si>
  <si>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</si>
  <si>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</si>
  <si>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</si>
  <si>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</si>
  <si>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</si>
  <si>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</si>
  <si>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</si>
  <si>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</si>
  <si>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</si>
  <si>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</si>
  <si>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</si>
  <si>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</si>
  <si>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</si>
  <si>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</si>
  <si>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</si>
  <si>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</si>
  <si>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</si>
  <si>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</si>
  <si>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</si>
  <si>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</si>
  <si>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</si>
  <si>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</si>
  <si>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</si>
  <si>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</si>
  <si>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</si>
  <si>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</si>
  <si>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</si>
  <si>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</si>
  <si>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</si>
  <si>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</si>
  <si>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</si>
  <si>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</si>
  <si>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</si>
  <si>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</si>
  <si>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</si>
  <si>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</si>
  <si>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</si>
  <si>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</si>
  <si>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</si>
  <si>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</si>
  <si>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</si>
  <si>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</si>
  <si>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</si>
  <si>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</si>
  <si>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</si>
  <si>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</si>
  <si>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</si>
  <si>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</si>
  <si>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</si>
  <si>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</si>
  <si>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</si>
  <si>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</si>
  <si>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</si>
  <si>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</si>
  <si>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</si>
  <si>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</si>
  <si>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</si>
  <si>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</si>
  <si>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</si>
  <si>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</si>
  <si>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</si>
  <si>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</si>
  <si>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</si>
  <si>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</si>
  <si>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</si>
  <si>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</si>
  <si>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</si>
  <si>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</si>
  <si>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</si>
  <si>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</si>
  <si>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</si>
  <si>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</si>
  <si>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</si>
  <si>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</si>
  <si>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</si>
  <si>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</si>
  <si>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</si>
  <si>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</si>
  <si>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</si>
  <si>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</si>
  <si>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</si>
  <si>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</si>
  <si>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</si>
  <si>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</si>
  <si>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</si>
  <si>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</si>
  <si>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</si>
  <si>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</si>
  <si>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</si>
  <si>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</si>
  <si>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</si>
  <si>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</si>
  <si>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</si>
  <si>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</si>
  <si>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</si>
  <si>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</si>
  <si>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</si>
  <si>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</si>
  <si>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</si>
  <si>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</si>
  <si>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</si>
  <si>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</si>
  <si>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</si>
  <si>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</si>
  <si>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</si>
  <si>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</si>
  <si>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</si>
  <si>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</si>
  <si>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</si>
  <si>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</si>
  <si>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</si>
  <si>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</si>
  <si>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</si>
  <si>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</si>
  <si>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</si>
  <si>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</si>
  <si>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</si>
  <si>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</si>
  <si>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</si>
  <si>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</si>
  <si>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</si>
  <si>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</si>
  <si>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</si>
  <si>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</si>
  <si>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</si>
  <si>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</si>
  <si>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</si>
  <si>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</si>
  <si>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</si>
  <si>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</si>
  <si>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</si>
  <si>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</si>
  <si>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</si>
  <si>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</si>
  <si>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</si>
  <si>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</si>
  <si>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</si>
  <si>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</si>
  <si>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</si>
  <si>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</si>
  <si>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</si>
  <si>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</si>
  <si>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</si>
  <si>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</si>
  <si>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</si>
  <si>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</si>
  <si>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</si>
  <si>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</si>
  <si>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</si>
  <si>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</si>
  <si>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</si>
  <si>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</si>
  <si>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</si>
  <si>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</si>
  <si>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</si>
  <si>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</si>
  <si>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</si>
  <si>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</si>
  <si>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</si>
  <si>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</si>
  <si>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</si>
  <si>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</si>
  <si>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</si>
  <si>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</si>
  <si>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</si>
  <si>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</si>
  <si>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</si>
  <si>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</si>
  <si>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</si>
  <si>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</si>
  <si>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</si>
  <si>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</si>
  <si>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</si>
  <si>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</si>
  <si>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</si>
  <si>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</si>
  <si>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</si>
  <si>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</si>
  <si>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</si>
  <si>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</si>
  <si>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</si>
  <si>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</si>
  <si>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</si>
  <si>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</si>
  <si>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</si>
  <si>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</si>
  <si>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</si>
  <si>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</si>
  <si>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</si>
  <si>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</si>
  <si>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</si>
  <si>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</si>
  <si>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</si>
  <si>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</si>
  <si>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</si>
  <si>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</si>
  <si>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</si>
  <si>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</si>
  <si>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</si>
  <si>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</si>
  <si>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</si>
  <si>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</si>
  <si>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</si>
  <si>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</si>
  <si>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</si>
  <si>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</si>
  <si>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</si>
  <si>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</si>
  <si>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</si>
  <si>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</si>
  <si>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</si>
  <si>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</si>
  <si>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</si>
  <si>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</si>
  <si>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</si>
  <si>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</si>
  <si>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</si>
  <si>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</si>
  <si>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</si>
  <si>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</si>
  <si>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</si>
  <si>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</si>
  <si>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</si>
  <si>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</si>
  <si>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</si>
  <si>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</si>
  <si>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</si>
  <si>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</si>
  <si>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</si>
  <si>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</si>
  <si>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</si>
  <si>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</si>
  <si>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</si>
  <si>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</si>
  <si>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</si>
  <si>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</si>
  <si>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</si>
  <si>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</si>
  <si>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</si>
  <si>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</si>
  <si>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</si>
  <si>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</si>
  <si>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</si>
  <si>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</si>
  <si>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</si>
  <si>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</si>
  <si>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</si>
  <si>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</si>
  <si>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</si>
  <si>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</si>
  <si>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</si>
  <si>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</si>
  <si>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</si>
  <si>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</si>
  <si>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</si>
  <si>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</si>
  <si>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</si>
  <si>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</si>
  <si>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</si>
  <si>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</si>
  <si>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</si>
  <si>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</si>
  <si>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</si>
  <si>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</si>
  <si>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</si>
  <si>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</si>
  <si>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</si>
  <si>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</si>
  <si>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</si>
  <si>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</si>
  <si>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</si>
  <si>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</si>
  <si>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</si>
  <si>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</si>
  <si>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</si>
  <si>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</si>
  <si>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</si>
  <si>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</si>
  <si>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</si>
  <si>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</si>
  <si>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</si>
  <si>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</si>
  <si>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</si>
  <si>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</si>
  <si>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</si>
  <si>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</si>
  <si>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</si>
  <si>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</si>
  <si>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</si>
  <si>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</si>
  <si>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</si>
  <si>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</si>
  <si>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</si>
  <si>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</si>
  <si>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</si>
  <si>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</si>
  <si>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</si>
  <si>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</si>
  <si>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</si>
  <si>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</si>
  <si>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</si>
  <si>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</si>
  <si>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</si>
  <si>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</si>
  <si>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</si>
  <si>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</si>
  <si>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</si>
  <si>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</si>
  <si>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</si>
  <si>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</si>
  <si>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</si>
  <si>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</si>
  <si>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</si>
  <si>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</si>
  <si>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</si>
  <si>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</si>
  <si>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</si>
  <si>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</si>
  <si>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</si>
  <si>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</si>
  <si>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</si>
  <si>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</si>
  <si>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</si>
  <si>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</si>
  <si>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</si>
  <si>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</si>
  <si>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</si>
  <si>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</si>
  <si>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</si>
  <si>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</si>
  <si>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</si>
  <si>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</si>
  <si>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</si>
  <si>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抵押</t>
  </si>
  <si>
    <t>房地产抵押价值</t>
  </si>
  <si>
    <t>其他：</t>
  </si>
  <si>
    <t>出让</t>
  </si>
  <si>
    <t>复印件</t>
  </si>
  <si>
    <t>否</t>
  </si>
  <si>
    <t>现房</t>
  </si>
  <si>
    <t>通电</t>
  </si>
  <si>
    <t>通路</t>
  </si>
  <si>
    <t>通讯</t>
  </si>
  <si>
    <t>通上水</t>
  </si>
  <si>
    <t>通下水</t>
  </si>
  <si>
    <t>燃气</t>
  </si>
  <si>
    <t>是</t>
  </si>
  <si>
    <t>成新度</t>
  </si>
  <si>
    <t>收益法</t>
  </si>
  <si>
    <t>钢混</t>
  </si>
  <si>
    <t>非生产用房</t>
  </si>
  <si>
    <t>押一</t>
  </si>
  <si>
    <t>按租金收入计税</t>
  </si>
  <si>
    <t>新世界酒店</t>
    <phoneticPr fontId="3" type="noConversion"/>
  </si>
  <si>
    <t>较好</t>
  </si>
  <si>
    <t>好</t>
  </si>
  <si>
    <t>六通</t>
  </si>
  <si>
    <t>单面临街</t>
  </si>
  <si>
    <t>商业</t>
    <phoneticPr fontId="31" type="noConversion"/>
  </si>
  <si>
    <t>正常</t>
  </si>
  <si>
    <t>1.5</t>
    <phoneticPr fontId="31" type="noConversion"/>
  </si>
  <si>
    <t>1</t>
    <phoneticPr fontId="31" type="noConversion"/>
  </si>
  <si>
    <t>0.8</t>
    <phoneticPr fontId="31" type="noConversion"/>
  </si>
  <si>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</si>
  <si>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</si>
  <si>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</si>
  <si>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</si>
  <si>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</si>
  <si>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</si>
  <si>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</si>
  <si>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全部缴纳</t>
  </si>
  <si>
    <t>已包含在土地取得成本中</t>
  </si>
  <si>
    <t>办公用房</t>
  </si>
  <si>
    <t>无</t>
  </si>
  <si>
    <t>通热</t>
  </si>
  <si>
    <t>——</t>
    <phoneticPr fontId="32" type="noConversion"/>
  </si>
  <si>
    <t>售价</t>
  </si>
  <si>
    <t>——</t>
    <phoneticPr fontId="31" type="noConversion"/>
  </si>
  <si>
    <t>——</t>
    <phoneticPr fontId="31" type="noConversion"/>
  </si>
  <si>
    <t>比较法-商业</t>
  </si>
  <si>
    <t>比较法-商业</t>
    <phoneticPr fontId="16" type="noConversion"/>
  </si>
  <si>
    <t>商业用房</t>
  </si>
  <si>
    <t>商业用房</t>
    <phoneticPr fontId="16" type="noConversion"/>
  </si>
  <si>
    <t>商业项目</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</si>
  <si>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</si>
  <si>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</si>
  <si>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</si>
  <si>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</si>
  <si>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1层</t>
    <phoneticPr fontId="25" type="noConversion"/>
  </si>
  <si>
    <t>地下一层</t>
  </si>
  <si>
    <t>地下一层</t>
    <phoneticPr fontId="25" type="noConversion"/>
  </si>
  <si>
    <t>B座地下一层3#</t>
  </si>
  <si>
    <t>D座地下一层6#</t>
  </si>
  <si>
    <t>D座地下一层9#</t>
  </si>
  <si>
    <t>王鹏</t>
  </si>
  <si>
    <t>崔锴</t>
  </si>
  <si>
    <t>北京中关村科技发展（控股）股份有限公司</t>
    <phoneticPr fontId="6" type="noConversion"/>
  </si>
  <si>
    <t>北京市</t>
    <phoneticPr fontId="6" type="noConversion"/>
  </si>
  <si>
    <r>
      <rPr>
        <sz val="12"/>
        <color theme="9" tint="-0.249977111117893"/>
        <rFont val="宋体"/>
        <family val="3"/>
        <charset val="134"/>
      </rPr>
      <t>《测绘报告》</t>
    </r>
    <r>
      <rPr>
        <sz val="12"/>
        <color theme="9" tint="-0.249977111117893"/>
        <rFont val="Arial"/>
        <family val="2"/>
      </rPr>
      <t/>
    </r>
    <phoneticPr fontId="6" type="noConversion"/>
  </si>
  <si>
    <t>分摊</t>
    <phoneticPr fontId="6" type="noConversion"/>
  </si>
  <si>
    <t>楼面单价</t>
  </si>
  <si>
    <t>总价</t>
  </si>
  <si>
    <t>项目局部</t>
  </si>
  <si>
    <r>
      <rPr>
        <b/>
        <sz val="11"/>
        <rFont val="宋体"/>
        <family val="3"/>
        <charset val="134"/>
      </rPr>
      <t>估价对象商业</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</si>
  <si>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20-30（含）</t>
  </si>
  <si>
    <t>较好</t>
    <phoneticPr fontId="31" type="noConversion"/>
  </si>
  <si>
    <t>朝阳首府商铺</t>
    <phoneticPr fontId="3" type="noConversion"/>
  </si>
  <si>
    <t>商业</t>
    <phoneticPr fontId="31" type="noConversion"/>
  </si>
  <si>
    <r>
      <t>1</t>
    </r>
    <r>
      <rPr>
        <sz val="11"/>
        <color indexed="8"/>
        <rFont val="宋体"/>
        <family val="3"/>
        <charset val="134"/>
      </rPr>
      <t>层</t>
    </r>
    <phoneticPr fontId="31" type="noConversion"/>
  </si>
  <si>
    <t>钢混</t>
    <phoneticPr fontId="31" type="noConversion"/>
  </si>
  <si>
    <t>普通装修</t>
  </si>
  <si>
    <t>普通装修</t>
    <phoneticPr fontId="31" type="noConversion"/>
  </si>
  <si>
    <t>七通</t>
  </si>
  <si>
    <t>七通</t>
    <phoneticPr fontId="31" type="noConversion"/>
  </si>
  <si>
    <t>标准层高</t>
  </si>
  <si>
    <t>标准层高</t>
    <phoneticPr fontId="31" type="noConversion"/>
  </si>
  <si>
    <t>——</t>
    <phoneticPr fontId="31" type="noConversion"/>
  </si>
  <si>
    <t>精装修</t>
  </si>
  <si>
    <t>精装修</t>
    <phoneticPr fontId="31" type="noConversion"/>
  </si>
  <si>
    <t>写字楼底商</t>
  </si>
  <si>
    <t>估价对象位于东大桥商圈，周边商业氛围较成熟，人流量较大，商业繁华度较好</t>
  </si>
  <si>
    <t>估价对象位于东大桥商圈，周边商业氛围较成熟，人流量较大，商业繁华度较好</t>
    <phoneticPr fontId="25"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</si>
  <si>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</si>
  <si>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</si>
  <si>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</si>
  <si>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</si>
  <si>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</si>
  <si>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</si>
  <si>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区域自然环境及人文环境较好；综合评价环境状况较好</t>
  </si>
  <si>
    <t>区域自然环境及人文环境较好；综合评价环境状况较好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</si>
  <si>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朝外北街</t>
    </r>
    <phoneticPr fontId="25" type="noConversion"/>
  </si>
  <si>
    <t>较一致</t>
    <phoneticPr fontId="25" type="noConversion"/>
  </si>
  <si>
    <t>朝阳门内北小街底商</t>
    <phoneticPr fontId="3" type="noConversion"/>
  </si>
  <si>
    <t>中汇广场商铺</t>
    <phoneticPr fontId="3" type="noConversion"/>
  </si>
  <si>
    <t>典型户型修正</t>
    <phoneticPr fontId="16" type="noConversion"/>
  </si>
  <si>
    <t>内部装修</t>
    <phoneticPr fontId="3" type="noConversion"/>
  </si>
  <si>
    <t>普通装修</t>
    <phoneticPr fontId="25" type="noConversion"/>
  </si>
  <si>
    <t>人流量</t>
    <phoneticPr fontId="3" type="noConversion"/>
  </si>
  <si>
    <t>较好</t>
    <phoneticPr fontId="25" type="noConversion"/>
  </si>
  <si>
    <t>可餐饮</t>
  </si>
  <si>
    <t>可餐饮</t>
    <phoneticPr fontId="31" type="noConversion"/>
  </si>
  <si>
    <t>临街状况</t>
    <phoneticPr fontId="31" type="noConversion"/>
  </si>
  <si>
    <t>城市次干道</t>
    <phoneticPr fontId="31" type="noConversion"/>
  </si>
  <si>
    <t>朝外北街</t>
    <phoneticPr fontId="31" type="noConversion"/>
  </si>
  <si>
    <t>写字楼底商</t>
    <phoneticPr fontId="31" type="noConversion"/>
  </si>
  <si>
    <t>住宅底商</t>
  </si>
  <si>
    <t>住宅底商</t>
    <phoneticPr fontId="31" type="noConversion"/>
  </si>
  <si>
    <t>30-40（含）</t>
  </si>
  <si>
    <t>东四十条</t>
    <phoneticPr fontId="31" type="noConversion"/>
  </si>
  <si>
    <t>朝阳门内北小街</t>
    <phoneticPr fontId="31" type="noConversion"/>
  </si>
  <si>
    <t>城市主干道</t>
    <phoneticPr fontId="31" type="noConversion"/>
  </si>
  <si>
    <t>朝阳门内大街</t>
    <phoneticPr fontId="31" type="noConversion"/>
  </si>
  <si>
    <t>城市主干道</t>
    <phoneticPr fontId="31" type="noConversion"/>
  </si>
  <si>
    <t>朝阳区吉庆里9号、10号楼</t>
    <phoneticPr fontId="6" type="noConversion"/>
  </si>
  <si>
    <t>收益比率</t>
  </si>
  <si>
    <t>地下</t>
  </si>
  <si>
    <t>2018-4</t>
    <phoneticPr fontId="143" type="noConversion"/>
  </si>
  <si>
    <t>2018-3</t>
    <phoneticPr fontId="3" type="noConversion"/>
  </si>
  <si>
    <t>宗地容积率</t>
  </si>
  <si>
    <t>七通一平</t>
  </si>
  <si>
    <t>按公示增长率计算</t>
  </si>
  <si>
    <t>楼层修正</t>
  </si>
  <si>
    <t>成本法</t>
  </si>
  <si>
    <t>成本法</t>
    <phoneticPr fontId="16" type="noConversion"/>
  </si>
  <si>
    <t>临街宽度及深度比例适宜程度较好，对土地无不利的影响</t>
    <phoneticPr fontId="79" type="noConversion"/>
  </si>
  <si>
    <t>宗地形状较规则，对宗地利用影响较好</t>
    <phoneticPr fontId="79" type="noConversion"/>
  </si>
  <si>
    <t>不临58条商业街</t>
  </si>
  <si>
    <t>一致</t>
  </si>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</sst>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2" fillId="0" borderId="1" xfId="0" applyFont="1" applyFill="1" applyBorder="1" applyAlignment="1" applyProtection="1">
      <alignment horizontal="left" vertical="center"/>
      <protection locked="0"/>
    </xf>
    <xf numFmtId="0" fontId="80" fillId="10" borderId="9"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0" fillId="7" borderId="5" xfId="0" applyFont="1" applyFill="1" applyBorder="1" applyAlignment="1" applyProtection="1">
      <alignment vertical="center" wrapText="1"/>
      <protection locked="0"/>
    </xf>
    <xf numFmtId="49" fontId="80" fillId="0" borderId="1" xfId="0" applyNumberFormat="1"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52" fillId="12" borderId="126" xfId="9"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171449</xdr:colOff>
      <xdr:row>1</xdr:row>
      <xdr:rowOff>584</xdr:rowOff>
    </xdr:from>
    <xdr:to>
      <xdr:col>14</xdr:col>
      <xdr:colOff>561974</xdr:colOff>
      <xdr:row>26</xdr:row>
      <xdr:rowOff>0</xdr:rowOff>
    </xdr:to>
    <xdr:pic>
      <xdr:nvPicPr>
        <xdr:cNvPr id="3" name="图片 2" descr="C:\Documents and Settings\Administrator\Application Data\Tencent\Users\2416965547\QQ\WinTemp\RichOle\5G)Z51V}_34GAMKTMDG1}S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49" y="172034"/>
          <a:ext cx="9991725" cy="4285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29</xdr:row>
      <xdr:rowOff>19050</xdr:rowOff>
    </xdr:from>
    <xdr:to>
      <xdr:col>8</xdr:col>
      <xdr:colOff>638175</xdr:colOff>
      <xdr:row>52</xdr:row>
      <xdr:rowOff>114300</xdr:rowOff>
    </xdr:to>
    <xdr:pic>
      <xdr:nvPicPr>
        <xdr:cNvPr id="4" name="图片 3" descr="C:\Documents and Settings\Administrator\Application Data\Tencent\Users\2416965547\QQ\WinTemp\RichOle\3F51O~19ST6U@$7}15CZ@K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4991100"/>
          <a:ext cx="5705475" cy="403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55</xdr:row>
      <xdr:rowOff>66675</xdr:rowOff>
    </xdr:from>
    <xdr:to>
      <xdr:col>8</xdr:col>
      <xdr:colOff>295275</xdr:colOff>
      <xdr:row>79</xdr:row>
      <xdr:rowOff>57150</xdr:rowOff>
    </xdr:to>
    <xdr:pic>
      <xdr:nvPicPr>
        <xdr:cNvPr id="5" name="图片 4" descr="C:\Documents and Settings\Administrator\Application Data\Tencent\Users\2416965547\QQ\WinTemp\RichOle\BDC2LGBIA0KI)(34`F_S9(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9496425"/>
          <a:ext cx="5334000"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209550</xdr:colOff>
      <xdr:row>27</xdr:row>
      <xdr:rowOff>85725</xdr:rowOff>
    </xdr:from>
    <xdr:to>
      <xdr:col>16</xdr:col>
      <xdr:colOff>590550</xdr:colOff>
      <xdr:row>49</xdr:row>
      <xdr:rowOff>161925</xdr:rowOff>
    </xdr:to>
    <xdr:pic>
      <xdr:nvPicPr>
        <xdr:cNvPr id="6" name="图片 5" descr="C:\Documents and Settings\Administrator\Application Data\Tencent\Users\2416965547\QQ\WinTemp\RichOle\}FK`K`R_4)6V06V18IZLJ{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81750" y="4714875"/>
          <a:ext cx="5181600"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北京市朝阳区吉庆里9号、10号楼房地产抵押价值预评估</v>
      </c>
    </row>
    <row r="3" spans="1:2" s="1593" customFormat="1">
      <c r="A3" s="1591" t="s">
        <v>1217</v>
      </c>
      <c r="B3" s="1592">
        <f>'预评函-封皮'!B40</f>
        <v>0</v>
      </c>
    </row>
    <row r="4" spans="1:2" s="1593" customFormat="1">
      <c r="A4" s="1591" t="s">
        <v>1218</v>
      </c>
      <c r="B4" s="1592" t="str">
        <f ca="1">'预评函-封皮'!B46</f>
        <v>王鹏（注册号：1120050019)、崔锴（注册号：1120100036)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受贵公司委托，我公司对北京市朝阳区吉庆里9号、10号楼房地产抵押价值进行了预评估。</v>
      </c>
    </row>
    <row r="7" spans="1:2" s="1593" customFormat="1">
      <c r="A7" s="1591" t="s">
        <v>1260</v>
      </c>
      <c r="B7" s="1592" t="str">
        <f>'预评函-1'!A7</f>
        <v>估价对象为北京市朝阳区吉庆里9号、10号楼房地产，为所有。根据分摊，估价对象（分摊）出让国有建设用地使用权面积为546.38平方米，建筑面积为2188.58平方米。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估价对象为北京市朝阳区吉庆里9号、10号楼房地产,属开发建设的商业项目，该项目尚在开发建设中。根据分摊，估价对象（分摊）出让国有建设用地使用权面积为546.38平方米，规划建筑面积为2188.58平方米。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2018年10月9日（评估专业人员实地查勘之日）</v>
      </c>
    </row>
    <row r="13" spans="1:2" s="1593" customFormat="1">
      <c r="A13" s="1591" t="s">
        <v>1223</v>
      </c>
      <c r="B13" s="1592"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6510</v>
      </c>
    </row>
    <row r="21" spans="1:2" s="1593" customFormat="1">
      <c r="A21" s="1591" t="s">
        <v>1231</v>
      </c>
      <c r="B21" s="1592">
        <f ca="1">'预评函-2'!D7</f>
        <v>29745</v>
      </c>
    </row>
    <row r="22" spans="1:2" s="1593" customFormat="1">
      <c r="A22" s="1591" t="s">
        <v>1232</v>
      </c>
      <c r="B22" s="1592" t="str">
        <f ca="1">'预评函-2'!D6</f>
        <v>陆仟伍佰壹拾万元整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6510</v>
      </c>
    </row>
    <row r="31" spans="1:2" s="1593" customFormat="1">
      <c r="A31" s="1591" t="s">
        <v>1270</v>
      </c>
      <c r="B31" s="1592">
        <f ca="1">'预评函-2'!D15</f>
        <v>29745</v>
      </c>
    </row>
    <row r="32" spans="1:2" s="1593" customFormat="1">
      <c r="A32" s="1591" t="s">
        <v>1237</v>
      </c>
      <c r="B32" s="1592" t="str">
        <f ca="1">'预评函-2'!D14</f>
        <v>陆仟伍佰壹拾万元整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北京市朝阳区吉庆里9号、10号楼房地产</v>
      </c>
    </row>
    <row r="42" spans="1:2" s="1593" customFormat="1">
      <c r="A42" s="1591" t="s">
        <v>1284</v>
      </c>
      <c r="B42" s="1592" t="str">
        <f>'预评函-3'!B2</f>
        <v>建筑面积</v>
      </c>
    </row>
    <row r="43" spans="1:2" s="1593" customFormat="1">
      <c r="A43" s="1591" t="s">
        <v>1285</v>
      </c>
      <c r="B43" s="1592">
        <f>'预评函-3'!B4</f>
        <v>2188.58</v>
      </c>
    </row>
    <row r="44" spans="1:2" s="1593" customFormat="1">
      <c r="A44" s="1591" t="s">
        <v>1269</v>
      </c>
      <c r="B44" s="1592" t="str">
        <f>'预评函-3'!C2</f>
        <v>(分摊)土地面积</v>
      </c>
    </row>
    <row r="45" spans="1:2" s="1593" customFormat="1">
      <c r="A45" s="1591" t="s">
        <v>1241</v>
      </c>
      <c r="B45" s="1592">
        <f>'预评函-3'!C4</f>
        <v>546.38</v>
      </c>
    </row>
    <row r="46" spans="1:2" s="1593" customFormat="1">
      <c r="A46" s="1591" t="s">
        <v>1267</v>
      </c>
      <c r="B46" s="1592" t="str">
        <f>'预评函-3'!D2</f>
        <v>出让国有建设用地使用权价值</v>
      </c>
    </row>
    <row r="47" spans="1:2" s="1593" customFormat="1">
      <c r="A47" s="1591" t="s">
        <v>1242</v>
      </c>
      <c r="B47" s="1592">
        <f ca="1">'预评函-3'!D4</f>
        <v>4948</v>
      </c>
    </row>
    <row r="48" spans="1:2" s="1593" customFormat="1">
      <c r="A48" s="1591" t="s">
        <v>1243</v>
      </c>
      <c r="B48" s="1592">
        <f ca="1">'预评函-3'!E4</f>
        <v>22608</v>
      </c>
    </row>
    <row r="49" spans="1:2" s="1593" customFormat="1">
      <c r="A49" s="1591" t="s">
        <v>1244</v>
      </c>
      <c r="B49" s="1592" t="str">
        <f ca="1">'预评函-3'!D5</f>
        <v>肆仟玖佰肆拾捌万元整</v>
      </c>
    </row>
    <row r="50" spans="1:2" s="1593" customFormat="1">
      <c r="A50" s="1591" t="s">
        <v>1268</v>
      </c>
      <c r="B50" s="1592" t="str">
        <f>'预评函-3'!F2</f>
        <v>在建建筑物价值</v>
      </c>
    </row>
    <row r="51" spans="1:2" s="1593" customFormat="1">
      <c r="A51" s="1591" t="s">
        <v>1245</v>
      </c>
      <c r="B51" s="1592">
        <f ca="1">'预评函-3'!F4</f>
        <v>1562</v>
      </c>
    </row>
    <row r="52" spans="1:2" s="1593" customFormat="1">
      <c r="A52" s="1591" t="s">
        <v>1246</v>
      </c>
      <c r="B52" s="1592">
        <f ca="1">'预评函-3'!G4</f>
        <v>7137</v>
      </c>
    </row>
    <row r="53" spans="1:2" s="1593" customFormat="1">
      <c r="A53" s="1591" t="s">
        <v>1274</v>
      </c>
      <c r="B53" s="1592" t="str">
        <f ca="1">'预评函-3'!F5</f>
        <v>壹仟伍佰陆拾贰万元整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1686</v>
      </c>
      <c r="C1" s="2009" t="s">
        <v>758</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1143</v>
      </c>
      <c r="R1" s="2010" t="s">
        <v>1137</v>
      </c>
      <c r="S1" s="2010" t="s">
        <v>1699</v>
      </c>
      <c r="T1" s="2012" t="s">
        <v>1700</v>
      </c>
      <c r="U1" s="2010" t="s">
        <v>1701</v>
      </c>
      <c r="V1" s="2010" t="s">
        <v>1702</v>
      </c>
      <c r="W1" s="2010" t="s">
        <v>755</v>
      </c>
    </row>
    <row r="2" spans="1:23">
      <c r="A2" s="2014" t="s">
        <v>22</v>
      </c>
      <c r="B2" s="2017" t="s">
        <v>3041</v>
      </c>
      <c r="C2" s="2015" t="s">
        <v>759</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1139</v>
      </c>
      <c r="S2" s="2016" t="s">
        <v>1708</v>
      </c>
      <c r="T2" s="2016" t="s">
        <v>1709</v>
      </c>
      <c r="U2" s="2016" t="s">
        <v>1708</v>
      </c>
      <c r="V2" s="2016" t="s">
        <v>1710</v>
      </c>
      <c r="W2" s="2016" t="s">
        <v>1708</v>
      </c>
    </row>
    <row r="3" spans="1:23">
      <c r="A3" s="2014" t="s">
        <v>3043</v>
      </c>
      <c r="B3" s="2017" t="s">
        <v>3095</v>
      </c>
      <c r="C3" s="2018" t="s">
        <v>760</v>
      </c>
      <c r="D3" s="2016" t="s">
        <v>1711</v>
      </c>
      <c r="E3" s="2016" t="s">
        <v>16</v>
      </c>
      <c r="F3" s="2016" t="s">
        <v>1712</v>
      </c>
      <c r="G3" s="2016">
        <v>50</v>
      </c>
      <c r="H3" s="2016" t="s">
        <v>1712</v>
      </c>
      <c r="I3" s="2016" t="s">
        <v>1713</v>
      </c>
      <c r="J3" s="2016" t="s">
        <v>1714</v>
      </c>
      <c r="K3" s="2016" t="s">
        <v>1715</v>
      </c>
      <c r="L3" s="2016" t="s">
        <v>1715</v>
      </c>
      <c r="M3" s="2016" t="s">
        <v>1715</v>
      </c>
      <c r="N3" s="2016" t="s">
        <v>1715</v>
      </c>
      <c r="O3" s="2016" t="s">
        <v>1715</v>
      </c>
      <c r="P3" s="2016" t="s">
        <v>1715</v>
      </c>
      <c r="Q3" s="2016" t="s">
        <v>1715</v>
      </c>
      <c r="R3" s="2016" t="s">
        <v>1138</v>
      </c>
      <c r="S3" s="2016" t="s">
        <v>1715</v>
      </c>
      <c r="T3" s="2016" t="s">
        <v>1716</v>
      </c>
      <c r="U3" s="2016" t="s">
        <v>1715</v>
      </c>
      <c r="V3" s="2016" t="s">
        <v>1717</v>
      </c>
      <c r="W3" s="2016" t="s">
        <v>1715</v>
      </c>
    </row>
    <row r="4" spans="1:23">
      <c r="A4" s="2014"/>
      <c r="B4" s="2014" t="s">
        <v>3124</v>
      </c>
      <c r="C4" s="2015" t="s">
        <v>761</v>
      </c>
      <c r="D4" s="2016" t="s">
        <v>867</v>
      </c>
      <c r="E4" s="2016" t="s">
        <v>1718</v>
      </c>
      <c r="F4" s="2016" t="s">
        <v>1719</v>
      </c>
      <c r="G4" s="2016">
        <v>70</v>
      </c>
      <c r="H4" s="2016" t="s">
        <v>1719</v>
      </c>
      <c r="I4" s="2016" t="s">
        <v>1720</v>
      </c>
      <c r="K4" s="2016" t="s">
        <v>1721</v>
      </c>
      <c r="L4" s="2016" t="s">
        <v>1721</v>
      </c>
      <c r="M4" s="2016" t="s">
        <v>1721</v>
      </c>
      <c r="N4" s="2016" t="s">
        <v>1721</v>
      </c>
      <c r="O4" s="2016" t="s">
        <v>1721</v>
      </c>
      <c r="P4" s="2016" t="s">
        <v>1721</v>
      </c>
      <c r="Q4" s="2016" t="s">
        <v>1721</v>
      </c>
      <c r="R4" s="2016" t="s">
        <v>1140</v>
      </c>
      <c r="S4" s="2016" t="s">
        <v>1721</v>
      </c>
      <c r="T4" s="2016" t="s">
        <v>1722</v>
      </c>
      <c r="U4" s="2016" t="s">
        <v>1721</v>
      </c>
      <c r="W4" s="2016" t="s">
        <v>1721</v>
      </c>
    </row>
    <row r="5" spans="1:23">
      <c r="A5" s="2014"/>
      <c r="B5" s="2014" t="s">
        <v>1723</v>
      </c>
      <c r="C5" s="2015" t="s">
        <v>762</v>
      </c>
      <c r="F5" s="2016" t="s">
        <v>1724</v>
      </c>
      <c r="H5" s="2016" t="s">
        <v>1725</v>
      </c>
      <c r="I5" s="2016" t="s">
        <v>1726</v>
      </c>
      <c r="K5" s="2016" t="s">
        <v>1727</v>
      </c>
      <c r="L5" s="2016" t="s">
        <v>1727</v>
      </c>
      <c r="M5" s="2016" t="s">
        <v>1727</v>
      </c>
      <c r="N5" s="2016" t="s">
        <v>1727</v>
      </c>
      <c r="O5" s="2016" t="s">
        <v>1727</v>
      </c>
      <c r="P5" s="2016" t="s">
        <v>1727</v>
      </c>
      <c r="Q5" s="2016" t="s">
        <v>1727</v>
      </c>
      <c r="R5" s="2016" t="s">
        <v>1141</v>
      </c>
      <c r="S5" s="2016" t="s">
        <v>1727</v>
      </c>
      <c r="T5" s="2016" t="s">
        <v>1728</v>
      </c>
      <c r="U5" s="2016" t="s">
        <v>1727</v>
      </c>
      <c r="W5" s="2016" t="s">
        <v>1727</v>
      </c>
    </row>
    <row r="6" spans="1:23">
      <c r="A6" s="2014"/>
      <c r="B6" s="2017"/>
      <c r="C6" s="2020" t="s">
        <v>30</v>
      </c>
      <c r="F6" s="2016" t="s">
        <v>1725</v>
      </c>
      <c r="H6" s="2016" t="s">
        <v>1729</v>
      </c>
      <c r="I6" s="2016" t="s">
        <v>1730</v>
      </c>
      <c r="K6" s="2016" t="s">
        <v>1731</v>
      </c>
      <c r="L6" s="2016" t="s">
        <v>1731</v>
      </c>
      <c r="M6" s="2016" t="s">
        <v>1731</v>
      </c>
      <c r="N6" s="2016" t="s">
        <v>1731</v>
      </c>
      <c r="O6" s="2016" t="s">
        <v>1731</v>
      </c>
      <c r="P6" s="2016" t="s">
        <v>1731</v>
      </c>
      <c r="Q6" s="2016" t="s">
        <v>1731</v>
      </c>
      <c r="R6" s="2016" t="s">
        <v>1142</v>
      </c>
      <c r="S6" s="2016" t="s">
        <v>1731</v>
      </c>
      <c r="T6" s="2016"/>
      <c r="U6" s="2016" t="s">
        <v>1731</v>
      </c>
      <c r="W6" s="2016" t="s">
        <v>1731</v>
      </c>
    </row>
    <row r="7" spans="1:23">
      <c r="A7" s="2014"/>
      <c r="B7" s="2017"/>
      <c r="C7" s="2015" t="s">
        <v>31</v>
      </c>
      <c r="F7" s="2016" t="s">
        <v>1732</v>
      </c>
      <c r="H7" s="2016" t="s">
        <v>1733</v>
      </c>
      <c r="I7" s="2016" t="s">
        <v>1734</v>
      </c>
    </row>
    <row r="8" spans="1:23">
      <c r="A8" s="2014"/>
      <c r="B8" s="2014"/>
      <c r="C8" s="2015" t="s">
        <v>763</v>
      </c>
      <c r="F8" s="2016" t="s">
        <v>1735</v>
      </c>
      <c r="H8" s="2016"/>
      <c r="I8" s="2016" t="s">
        <v>1736</v>
      </c>
    </row>
    <row r="9" spans="1:23">
      <c r="A9" s="2014"/>
      <c r="B9" s="2014"/>
      <c r="C9" s="2015" t="s">
        <v>764</v>
      </c>
      <c r="F9" s="2016" t="s">
        <v>1737</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856</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857</v>
      </c>
      <c r="B52" s="2021" t="s">
        <v>858</v>
      </c>
      <c r="C52" s="2019" t="s">
        <v>859</v>
      </c>
      <c r="D52" s="2019" t="s">
        <v>860</v>
      </c>
    </row>
    <row r="53" spans="1:4">
      <c r="A53" s="3020" t="s">
        <v>861</v>
      </c>
      <c r="B53" s="2022" t="s">
        <v>862</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2" t="s">
        <v>863</v>
      </c>
      <c r="C54" s="2019" t="s">
        <v>1277</v>
      </c>
    </row>
    <row r="55" spans="1:4">
      <c r="A55" s="3020"/>
      <c r="B55" s="2022" t="s">
        <v>864</v>
      </c>
      <c r="C55" s="2019" t="s">
        <v>1278</v>
      </c>
    </row>
    <row r="56" spans="1:4">
      <c r="A56" s="3020"/>
      <c r="B56" s="2022" t="s">
        <v>865</v>
      </c>
      <c r="C56" s="2019" t="s">
        <v>1282</v>
      </c>
    </row>
    <row r="57" spans="1:4">
      <c r="A57" s="3020"/>
      <c r="B57" s="2022" t="s">
        <v>866</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J30" sqref="J30"/>
    </sheetView>
  </sheetViews>
  <sheetFormatPr defaultColWidth="10" defaultRowHeight="18" customHeight="1"/>
  <cols>
    <col min="1" max="1" width="14.875" style="2032" customWidth="1"/>
    <col min="2" max="3" width="11.5" style="2032" customWidth="1"/>
    <col min="4" max="4" width="11"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1738</v>
      </c>
      <c r="B1" s="3021" t="str">
        <f>IF(B10="北京市","北京市",C10)&amp;F10&amp;IF(结果表!G1="在建","出让国有建设用地使用权及在建建筑物",IF(结果表!G1="土地","出让国有建设用地使用权",))&amp;B9&amp;"预评估"</f>
        <v>北京市朝阳区吉庆里9号、10号楼房地产抵押价值预评估</v>
      </c>
      <c r="C1" s="3022"/>
      <c r="D1" s="3022"/>
      <c r="E1" s="3022"/>
      <c r="F1" s="3022"/>
      <c r="G1" s="3022"/>
      <c r="H1" s="3022"/>
      <c r="I1" s="302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北京市朝阳区吉庆里9号、10号楼房地产抵押价值</v>
      </c>
    </row>
    <row r="2" spans="1:19" ht="18" customHeight="1">
      <c r="A2" s="2026" t="s">
        <v>1739</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北京市朝阳区吉庆里9号、10号楼房地产</v>
      </c>
    </row>
    <row r="3" spans="1:19" ht="18" customHeight="1">
      <c r="A3" s="2035" t="s">
        <v>1740</v>
      </c>
      <c r="B3" s="2036">
        <v>43382</v>
      </c>
      <c r="C3" s="2037" t="s">
        <v>1741</v>
      </c>
      <c r="D3" s="2036">
        <f>B3</f>
        <v>43382</v>
      </c>
      <c r="E3" s="2026"/>
      <c r="F3" s="2026"/>
      <c r="G3" s="2026"/>
      <c r="H3" s="2026"/>
      <c r="I3" s="2026"/>
      <c r="J3" s="2026"/>
      <c r="K3" s="2027"/>
      <c r="L3" s="2028"/>
      <c r="M3" s="2028"/>
      <c r="N3" s="2029"/>
      <c r="O3" s="2030"/>
      <c r="P3" s="2029"/>
      <c r="Q3" s="2029"/>
      <c r="R3" s="2029"/>
      <c r="S3" s="2031"/>
    </row>
    <row r="4" spans="1:19" ht="18" customHeight="1" thickBot="1">
      <c r="A4" s="2038" t="s">
        <v>1742</v>
      </c>
      <c r="B4" s="2039" t="s">
        <v>3055</v>
      </c>
      <c r="C4" s="1038">
        <f ca="1">SUMIF(注册房地产估价师,B4,估价师及机构信息!B3:B24)</f>
        <v>1120050019</v>
      </c>
      <c r="D4" s="2039" t="s">
        <v>3056</v>
      </c>
      <c r="E4" s="1039">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王鹏（注册号：1120050019)、崔锴（注册号：1120100036)</v>
      </c>
      <c r="L4" s="2028"/>
      <c r="M4" s="2028"/>
      <c r="N4" s="2029"/>
      <c r="O4" s="2030"/>
      <c r="P4" s="2029"/>
      <c r="Q4" s="2029"/>
      <c r="R4" s="2029"/>
      <c r="S4" s="2031"/>
    </row>
    <row r="5" spans="1:19" ht="18" customHeight="1" thickTop="1">
      <c r="A5" s="2044" t="s">
        <v>1743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1744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1745</v>
      </c>
      <c r="B7" s="2960" t="s">
        <v>3057</v>
      </c>
      <c r="C7" s="2050"/>
      <c r="D7" s="2051"/>
      <c r="E7" s="2034"/>
      <c r="F7" s="2042"/>
      <c r="G7" s="2042"/>
      <c r="H7" s="2042"/>
      <c r="I7" s="2042"/>
      <c r="J7" s="2042"/>
      <c r="K7" s="2053"/>
      <c r="L7" s="2028"/>
      <c r="M7" s="2028"/>
      <c r="N7" s="2029"/>
      <c r="O7" s="2030"/>
      <c r="P7" s="2029"/>
      <c r="Q7" s="2029"/>
      <c r="R7" s="2029"/>
    </row>
    <row r="8" spans="1:19" ht="18" customHeight="1">
      <c r="A8" s="2048" t="s">
        <v>1746</v>
      </c>
      <c r="B8" s="2054" t="s">
        <v>2994</v>
      </c>
      <c r="C8" s="2055"/>
      <c r="D8" s="3024" t="s">
        <v>1747</v>
      </c>
      <c r="E8" s="2056" t="s">
        <v>2995</v>
      </c>
      <c r="F8" s="2057"/>
      <c r="G8" s="2026"/>
      <c r="H8" s="2026"/>
      <c r="I8" s="2026"/>
      <c r="J8" s="2042"/>
      <c r="K8" s="2043"/>
      <c r="L8" s="2028"/>
      <c r="M8" s="2028"/>
      <c r="N8" s="2029"/>
      <c r="O8" s="2030"/>
      <c r="P8" s="2029"/>
      <c r="Q8" s="2029"/>
      <c r="R8" s="2029"/>
    </row>
    <row r="9" spans="1:19" ht="18" customHeight="1" thickBot="1">
      <c r="A9" s="2040" t="s">
        <v>1748</v>
      </c>
      <c r="B9" s="2058" t="s">
        <v>2995</v>
      </c>
      <c r="C9" s="2059"/>
      <c r="D9" s="3025"/>
      <c r="E9" s="2058"/>
      <c r="F9" s="2060"/>
      <c r="G9" s="2061"/>
      <c r="H9" s="2061"/>
      <c r="I9" s="2061"/>
      <c r="J9" s="2042"/>
      <c r="K9" s="2053"/>
      <c r="L9" s="2028"/>
      <c r="M9" s="2028"/>
      <c r="N9" s="2029"/>
      <c r="O9" s="2030"/>
      <c r="P9" s="2029"/>
      <c r="Q9" s="2029"/>
      <c r="R9" s="2029"/>
    </row>
    <row r="10" spans="1:19" ht="18" customHeight="1" thickTop="1">
      <c r="A10" s="2062" t="s">
        <v>1749</v>
      </c>
      <c r="B10" s="2063" t="s">
        <v>2996</v>
      </c>
      <c r="C10" s="2940" t="s">
        <v>3058</v>
      </c>
      <c r="D10" s="2047"/>
      <c r="E10" s="2064" t="s">
        <v>1750</v>
      </c>
      <c r="F10" s="2942" t="s">
        <v>3114</v>
      </c>
      <c r="G10" s="2065"/>
      <c r="H10" s="2066"/>
      <c r="I10" s="2047"/>
      <c r="J10" s="2042"/>
      <c r="K10" s="2053"/>
      <c r="L10" s="2028"/>
      <c r="M10" s="2028"/>
      <c r="N10" s="2029"/>
      <c r="O10" s="2030"/>
      <c r="P10" s="2029"/>
      <c r="Q10" s="2029"/>
      <c r="R10" s="2029"/>
    </row>
    <row r="11" spans="1:19" ht="18" customHeight="1">
      <c r="A11" s="2067" t="s">
        <v>1751</v>
      </c>
      <c r="B11" s="2068"/>
      <c r="C11" s="2069"/>
      <c r="D11" s="2070"/>
      <c r="E11" s="2042"/>
      <c r="F11" s="2042"/>
      <c r="G11" s="2042"/>
      <c r="H11" s="2042"/>
      <c r="I11" s="2042"/>
      <c r="J11" s="2042"/>
      <c r="K11" s="2053"/>
      <c r="L11" s="2028"/>
      <c r="M11" s="2028"/>
      <c r="N11" s="2029"/>
      <c r="O11" s="2030"/>
      <c r="P11" s="2029"/>
      <c r="Q11" s="2029"/>
      <c r="R11" s="2029"/>
    </row>
    <row r="12" spans="1:19" ht="18" customHeight="1">
      <c r="A12" s="2071" t="s">
        <v>1752</v>
      </c>
      <c r="B12" s="2068" t="s">
        <v>2997</v>
      </c>
      <c r="C12" s="2072" t="s">
        <v>1753</v>
      </c>
      <c r="D12" s="2073" t="s">
        <v>1754</v>
      </c>
      <c r="E12" s="2073" t="s">
        <v>1755</v>
      </c>
      <c r="F12" s="2073" t="s">
        <v>1756</v>
      </c>
      <c r="G12" s="2073" t="s">
        <v>1757</v>
      </c>
      <c r="H12" s="2073" t="s">
        <v>1758</v>
      </c>
      <c r="I12" s="2073" t="s">
        <v>1759</v>
      </c>
      <c r="J12" s="2042"/>
      <c r="K12" s="2053"/>
      <c r="L12" s="2028"/>
      <c r="M12" s="2028"/>
      <c r="N12" s="2029"/>
      <c r="O12" s="2030"/>
      <c r="P12" s="2029"/>
      <c r="Q12" s="2029"/>
      <c r="R12" s="2029"/>
    </row>
    <row r="13" spans="1:19" ht="18" customHeight="1">
      <c r="A13" s="2074"/>
      <c r="B13" s="2075"/>
      <c r="C13" s="2076" t="s">
        <v>1760</v>
      </c>
      <c r="D13" s="2077"/>
      <c r="E13" s="2077">
        <v>51618</v>
      </c>
      <c r="F13" s="2077"/>
      <c r="G13" s="2077"/>
      <c r="H13" s="2077"/>
      <c r="I13" s="1048"/>
      <c r="J13" s="2042"/>
      <c r="K13" s="2053"/>
      <c r="L13" s="2028"/>
      <c r="M13" s="2028"/>
      <c r="N13" s="2029"/>
      <c r="O13" s="2030"/>
      <c r="P13" s="2029"/>
      <c r="Q13" s="2029"/>
      <c r="R13" s="2029"/>
    </row>
    <row r="14" spans="1:19" ht="18" customHeight="1">
      <c r="A14" s="2074"/>
      <c r="B14" s="2075"/>
      <c r="C14" s="2076" t="s">
        <v>1761</v>
      </c>
      <c r="D14" s="1051"/>
      <c r="E14" s="1051">
        <v>40</v>
      </c>
      <c r="F14" s="1051"/>
      <c r="G14" s="1051"/>
      <c r="H14" s="1051"/>
      <c r="I14" s="1051"/>
      <c r="J14" s="2042"/>
      <c r="K14" s="2078"/>
      <c r="L14" s="2028"/>
      <c r="M14" s="2028"/>
      <c r="N14" s="2029"/>
      <c r="O14" s="2030"/>
      <c r="P14" s="2029"/>
      <c r="Q14" s="2029"/>
      <c r="R14" s="2029"/>
    </row>
    <row r="15" spans="1:19" ht="18" customHeight="1">
      <c r="A15" s="2062"/>
      <c r="B15" s="2079"/>
      <c r="C15" s="2076" t="s">
        <v>1762</v>
      </c>
      <c r="D15" s="1050" t="str">
        <f>IF(B12="出让",IF(D13="","",ROUNDDOWN(MIN((D13-$D$3)/365,D14),2)),D14)</f>
        <v/>
      </c>
      <c r="E15" s="1050">
        <f>IF(B12="出让",IF(E13="","",ROUNDDOWN(MIN((E13-$D$3)/365,E14),2)),E14)</f>
        <v>22.56</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0"/>
      <c r="L15" s="2081"/>
      <c r="M15" s="2081"/>
      <c r="N15" s="2082"/>
      <c r="O15" s="2081"/>
      <c r="P15" s="2082"/>
      <c r="Q15" s="2029"/>
      <c r="R15" s="2029"/>
    </row>
    <row r="16" spans="1:19" ht="30.75" customHeight="1">
      <c r="A16" s="2064" t="s">
        <v>1763</v>
      </c>
      <c r="B16" s="3031"/>
      <c r="C16" s="3032"/>
      <c r="D16" s="3033"/>
      <c r="E16" s="2083" t="s">
        <v>1764</v>
      </c>
      <c r="F16" s="3034"/>
      <c r="G16" s="3035"/>
      <c r="H16" s="3035"/>
      <c r="I16" s="3036"/>
      <c r="J16" s="2029"/>
      <c r="K16" s="2080"/>
      <c r="L16" s="2081"/>
      <c r="M16" s="2081"/>
      <c r="N16" s="2082"/>
      <c r="O16" s="2081"/>
      <c r="P16" s="2082"/>
      <c r="Q16" s="2029"/>
      <c r="R16" s="2029"/>
    </row>
    <row r="17" spans="1:22" ht="18" customHeight="1">
      <c r="A17" s="2084" t="s">
        <v>1765</v>
      </c>
      <c r="B17" s="2035" t="s">
        <v>1766</v>
      </c>
      <c r="C17" s="1055">
        <f>'数据-汇总表'!E3</f>
        <v>2188.58</v>
      </c>
      <c r="D17" s="2085" t="s">
        <v>1767</v>
      </c>
      <c r="E17" s="3037" t="s">
        <v>3059</v>
      </c>
      <c r="F17" s="3038"/>
      <c r="G17" s="3038"/>
      <c r="H17" s="3038"/>
      <c r="I17" s="3039"/>
      <c r="J17" s="2029"/>
      <c r="K17" s="2086"/>
      <c r="L17" s="2081"/>
      <c r="M17" s="2081"/>
      <c r="N17" s="2082"/>
      <c r="O17" s="2081"/>
      <c r="P17" s="2082"/>
      <c r="Q17" s="2029"/>
      <c r="R17" s="2029"/>
      <c r="S17" s="2029"/>
      <c r="T17" s="2029"/>
      <c r="U17" s="2029"/>
      <c r="V17" s="2029"/>
    </row>
    <row r="18" spans="1:22" ht="36" customHeight="1" thickBot="1">
      <c r="A18" s="2087" t="s">
        <v>1768</v>
      </c>
      <c r="B18" s="2038" t="s">
        <v>1769</v>
      </c>
      <c r="C18" s="1445">
        <f>'数据-汇总表'!D3</f>
        <v>546.38</v>
      </c>
      <c r="D18" s="2088" t="s">
        <v>1767</v>
      </c>
      <c r="E18" s="3040" t="s">
        <v>3060</v>
      </c>
      <c r="F18" s="3041"/>
      <c r="G18" s="3041"/>
      <c r="H18" s="3041"/>
      <c r="I18" s="3042"/>
      <c r="J18" s="2029"/>
      <c r="K18" s="2086"/>
      <c r="L18" s="2081"/>
      <c r="M18" s="2081"/>
      <c r="N18" s="2082"/>
      <c r="O18" s="2081"/>
      <c r="P18" s="2082"/>
      <c r="Q18" s="2029"/>
      <c r="R18" s="2029"/>
      <c r="S18" s="2029"/>
      <c r="T18" s="2029"/>
      <c r="U18" s="2029"/>
      <c r="V18" s="2029"/>
    </row>
    <row r="19" spans="1:22" ht="37.5" customHeight="1" thickTop="1" thickBot="1">
      <c r="A19" s="373" t="s">
        <v>1770</v>
      </c>
      <c r="B19" s="352" t="s">
        <v>1771</v>
      </c>
      <c r="C19" s="2089" t="s">
        <v>2999</v>
      </c>
      <c r="D19" s="2090" t="s">
        <v>1772</v>
      </c>
      <c r="E19" s="2091"/>
      <c r="F19" s="2092" t="str">
        <f>IF(AND(C19="是",E19="否"),"是否提供他项权证或相关说明","")</f>
        <v/>
      </c>
      <c r="G19" s="2093"/>
      <c r="H19" s="2042"/>
      <c r="I19" s="2042"/>
      <c r="J19" s="2042"/>
      <c r="K19" s="2053"/>
      <c r="L19" s="2028"/>
      <c r="M19" s="2028"/>
      <c r="N19" s="2082"/>
      <c r="O19" s="2081"/>
      <c r="P19" s="2082"/>
      <c r="Q19" s="2029"/>
      <c r="R19" s="2029"/>
      <c r="S19" s="2029"/>
      <c r="T19" s="2029"/>
      <c r="U19" s="2029"/>
      <c r="V19" s="2029"/>
    </row>
    <row r="20" spans="1:22" ht="18" customHeight="1">
      <c r="A20" s="2094" t="s">
        <v>1773</v>
      </c>
      <c r="B20" s="3027" t="s">
        <v>1774</v>
      </c>
      <c r="C20" s="3028"/>
      <c r="D20" s="3029" t="s">
        <v>1775</v>
      </c>
      <c r="E20" s="3030"/>
      <c r="F20" s="2095" t="s">
        <v>1776</v>
      </c>
      <c r="G20" s="2042"/>
      <c r="H20" s="2042"/>
      <c r="I20" s="2042"/>
      <c r="J20" s="2042"/>
      <c r="K20" s="3026" t="s">
        <v>1777</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1778</v>
      </c>
      <c r="C21" s="2097" t="s">
        <v>2998</v>
      </c>
      <c r="D21" s="2098" t="s">
        <v>1779</v>
      </c>
      <c r="E21" s="2099" t="s">
        <v>70</v>
      </c>
      <c r="F21" s="2100"/>
      <c r="G21" s="2042"/>
      <c r="H21" s="2042"/>
      <c r="I21" s="2042"/>
      <c r="J21" s="2042"/>
      <c r="K21" s="302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t="s">
        <v>1780</v>
      </c>
      <c r="C22" s="2097" t="s">
        <v>1781</v>
      </c>
      <c r="D22" s="2026"/>
      <c r="E22" s="2026"/>
      <c r="F22" s="2102"/>
      <c r="G22" s="2042"/>
      <c r="H22" s="2042"/>
      <c r="I22" s="2042"/>
      <c r="J22" s="2042"/>
      <c r="K22" s="302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1782</v>
      </c>
      <c r="B23" s="183" t="s">
        <v>1783</v>
      </c>
      <c r="C23" s="2104"/>
      <c r="D23" s="2105" t="s">
        <v>1783</v>
      </c>
      <c r="E23" s="2106"/>
      <c r="F23" s="2102"/>
      <c r="G23" s="2042"/>
      <c r="H23" s="2042"/>
      <c r="I23" s="2042"/>
      <c r="J23" s="2042"/>
      <c r="K23" s="2107"/>
      <c r="L23" s="746"/>
      <c r="M23" s="2028"/>
      <c r="N23" s="2082"/>
      <c r="O23" s="2081"/>
      <c r="P23" s="2082"/>
      <c r="Q23" s="2029"/>
      <c r="R23" s="2029"/>
      <c r="S23" s="2029"/>
      <c r="T23" s="2029"/>
      <c r="U23" s="2029"/>
      <c r="V23" s="2029"/>
    </row>
    <row r="24" spans="1:22" ht="18" customHeight="1">
      <c r="A24" s="2108"/>
      <c r="B24" s="183" t="s">
        <v>1784</v>
      </c>
      <c r="C24" s="2109"/>
      <c r="D24" s="2103" t="s">
        <v>1784</v>
      </c>
      <c r="E24" s="2110"/>
      <c r="F24" s="2102"/>
      <c r="G24" s="2042"/>
      <c r="H24" s="2042"/>
      <c r="I24" s="2042"/>
      <c r="J24" s="2042"/>
      <c r="K24" s="2107"/>
      <c r="L24" s="746"/>
      <c r="M24" s="2028"/>
      <c r="N24" s="2082"/>
      <c r="O24" s="2081"/>
      <c r="P24" s="2082"/>
      <c r="Q24" s="2029"/>
      <c r="R24" s="2029"/>
      <c r="S24" s="2029"/>
      <c r="T24" s="2029"/>
      <c r="U24" s="2029"/>
      <c r="V24" s="2029"/>
    </row>
    <row r="25" spans="1:22" ht="18" customHeight="1">
      <c r="A25" s="2108"/>
      <c r="B25" s="183" t="s">
        <v>1785</v>
      </c>
      <c r="C25" s="2109"/>
      <c r="D25" s="2103" t="s">
        <v>1785</v>
      </c>
      <c r="E25" s="2110"/>
      <c r="F25" s="2102"/>
      <c r="G25" s="2042"/>
      <c r="H25" s="2042"/>
      <c r="I25" s="2042"/>
      <c r="J25" s="2042"/>
      <c r="K25" s="2053"/>
      <c r="L25" s="2028"/>
      <c r="M25" s="2028"/>
      <c r="N25" s="2082"/>
      <c r="O25" s="2081"/>
      <c r="P25" s="2082"/>
      <c r="Q25" s="2029"/>
      <c r="R25" s="2029"/>
      <c r="S25" s="2029"/>
      <c r="T25" s="2029"/>
      <c r="U25" s="2029"/>
      <c r="V25" s="2029"/>
    </row>
    <row r="26" spans="1:22" ht="18" customHeight="1" thickBot="1">
      <c r="A26" s="2111"/>
      <c r="B26" s="2112" t="s">
        <v>1786</v>
      </c>
      <c r="C26" s="2113"/>
      <c r="D26" s="2114" t="s">
        <v>1787</v>
      </c>
      <c r="E26" s="2115"/>
      <c r="F26" s="2116"/>
      <c r="G26" s="2061"/>
      <c r="H26" s="2061"/>
      <c r="I26" s="2061"/>
      <c r="J26" s="2042"/>
      <c r="K26" s="2053"/>
      <c r="L26" s="2028"/>
      <c r="M26" s="2028"/>
      <c r="N26" s="2082"/>
      <c r="O26" s="2081"/>
      <c r="P26" s="2082"/>
      <c r="Q26" s="2029"/>
      <c r="R26" s="2029"/>
      <c r="S26" s="2029"/>
      <c r="T26" s="2029"/>
      <c r="U26" s="2029"/>
      <c r="V26" s="2029"/>
    </row>
    <row r="27" spans="1:22" ht="18" customHeight="1" thickTop="1">
      <c r="A27" s="3044" t="s">
        <v>1788</v>
      </c>
      <c r="B27" s="2062" t="s">
        <v>1789</v>
      </c>
      <c r="C27" s="2117" t="s">
        <v>3044</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44"/>
      <c r="B28" s="2035" t="s">
        <v>1790</v>
      </c>
      <c r="C28" s="2119" t="s">
        <v>3034</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44"/>
      <c r="B29" s="2035" t="s">
        <v>1791</v>
      </c>
      <c r="C29" s="2122" t="s">
        <v>2999</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45"/>
      <c r="B30" s="2035" t="s">
        <v>1792</v>
      </c>
      <c r="C30" s="3046"/>
      <c r="D30" s="3047"/>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48" t="s">
        <v>1793</v>
      </c>
      <c r="B31" s="2124" t="s">
        <v>3000</v>
      </c>
      <c r="C31" s="2125" t="str">
        <f>IF(B31="现房","成新及维护状况正常否",IF(B31="在建","工程状态是否正常",IF(B31="土地","是否闲置","-")))</f>
        <v>成新及维护状况正常否</v>
      </c>
      <c r="D31" s="2126"/>
      <c r="E31" s="2127"/>
      <c r="F31" s="2042"/>
      <c r="G31" s="2042"/>
      <c r="H31" s="2042"/>
      <c r="I31" s="2042"/>
      <c r="J31" s="2042"/>
      <c r="K31" s="2052"/>
      <c r="L31" s="2028"/>
      <c r="M31" s="2028"/>
      <c r="N31" s="2029"/>
      <c r="O31" s="2030"/>
      <c r="P31" s="2029"/>
      <c r="Q31" s="2029"/>
      <c r="R31" s="2029"/>
      <c r="S31" s="2029"/>
      <c r="T31" s="2029"/>
      <c r="U31" s="2029"/>
      <c r="V31" s="2029"/>
    </row>
    <row r="32" spans="1:22" ht="18" customHeight="1">
      <c r="A32" s="3049"/>
      <c r="B32" s="2124"/>
      <c r="C32" s="2125" t="str">
        <f>IF(B32="现房","成新及维护状况是否正常",IF(B32="在建","工程状态是否正常",IF(B32="土地","是否闲置","-")))</f>
        <v>-</v>
      </c>
      <c r="D32" s="2126"/>
      <c r="E32" s="2127"/>
      <c r="F32" s="2042"/>
      <c r="G32" s="2042"/>
      <c r="H32" s="2042"/>
      <c r="I32" s="2042"/>
      <c r="J32" s="2042"/>
      <c r="K32" s="2053"/>
      <c r="L32" s="2028"/>
      <c r="M32" s="2028"/>
      <c r="N32" s="2029"/>
      <c r="O32" s="2030"/>
      <c r="P32" s="2029"/>
      <c r="Q32" s="2029"/>
      <c r="R32" s="2029"/>
      <c r="S32" s="2029"/>
      <c r="T32" s="2029"/>
      <c r="U32" s="2029"/>
      <c r="V32" s="2029"/>
    </row>
    <row r="33" spans="1:22" ht="18" customHeight="1">
      <c r="A33" s="3049"/>
      <c r="B33" s="2128"/>
      <c r="C33" s="2067" t="str">
        <f>IF(B33="现房","成新及维护状况是否正常",IF(B33="在建","工程状态是否正常",IF(B33="土地","是否闲置","-")))</f>
        <v>-</v>
      </c>
      <c r="D33" s="2129"/>
      <c r="E33" s="2130"/>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1794</v>
      </c>
      <c r="B34" s="2131" t="s">
        <v>3002</v>
      </c>
      <c r="C34" s="2131" t="s">
        <v>3001</v>
      </c>
      <c r="D34" s="2131" t="s">
        <v>3003</v>
      </c>
      <c r="E34" s="2131" t="s">
        <v>3004</v>
      </c>
      <c r="F34" s="2131" t="s">
        <v>3005</v>
      </c>
      <c r="G34" s="2131" t="s">
        <v>3006</v>
      </c>
      <c r="H34" s="2131" t="s">
        <v>3035</v>
      </c>
      <c r="I34" s="2042"/>
      <c r="J34" s="2042"/>
      <c r="K34" s="1795">
        <f>COUNTIF(B34:H34,"——")</f>
        <v>0</v>
      </c>
      <c r="L34" s="2072" t="s">
        <v>1795</v>
      </c>
      <c r="M34" s="2072" t="s">
        <v>1796</v>
      </c>
      <c r="N34" s="2072" t="s">
        <v>1797</v>
      </c>
      <c r="O34" s="2072" t="s">
        <v>1798</v>
      </c>
      <c r="P34" s="2072" t="s">
        <v>1799</v>
      </c>
      <c r="Q34" s="2072" t="s">
        <v>1800</v>
      </c>
      <c r="R34" s="2072" t="s">
        <v>1801</v>
      </c>
      <c r="S34" s="3043" t="s">
        <v>1802</v>
      </c>
      <c r="T34" s="2132" t="str">
        <f>NUMBERSTRING(7-K34,1)&amp;"通"</f>
        <v>七通</v>
      </c>
      <c r="U34" s="2029"/>
      <c r="V34" s="2029"/>
    </row>
    <row r="35" spans="1:22" ht="18" customHeight="1">
      <c r="A35" s="2133"/>
      <c r="B35" s="3050" t="s">
        <v>1803</v>
      </c>
      <c r="C35" s="3050"/>
      <c r="D35" s="3050"/>
      <c r="E35" s="3050"/>
      <c r="F35" s="2134" t="str">
        <f>C10</f>
        <v>北京市</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43"/>
      <c r="T35" s="48" t="str">
        <f>IF(T34="一通",L35,IF(T34="二通",M35,IF(T34="三通",N35,IF(T34="四通",O35,IF(T34="五通",P35,IF(T34="六通",Q35,R35))))))</f>
        <v>通路、通电、通讯、通上水、通下水、燃气、通热</v>
      </c>
      <c r="U35" s="2029"/>
      <c r="V35" s="2029"/>
    </row>
    <row r="36" spans="1:22" ht="18" customHeight="1">
      <c r="A36" s="2135"/>
      <c r="B36" s="2134" t="s">
        <v>1804</v>
      </c>
      <c r="C36" s="2134" t="s">
        <v>1805</v>
      </c>
      <c r="D36" s="2134" t="s">
        <v>1806</v>
      </c>
      <c r="E36" s="2134" t="s">
        <v>1807</v>
      </c>
      <c r="F36" s="2136"/>
      <c r="G36" s="2042"/>
      <c r="H36" s="2042"/>
      <c r="I36" s="2042"/>
      <c r="J36" s="2042"/>
      <c r="K36" s="2053"/>
      <c r="L36" s="2028"/>
      <c r="M36" s="2028"/>
      <c r="N36" s="2029"/>
      <c r="O36" s="2030"/>
      <c r="P36" s="2029"/>
      <c r="Q36" s="2029"/>
      <c r="R36" s="2029"/>
      <c r="S36" s="2029"/>
      <c r="T36" s="2029"/>
      <c r="U36" s="2029"/>
      <c r="V36" s="2029"/>
    </row>
    <row r="37" spans="1:22" ht="18" customHeight="1">
      <c r="A37" s="2137" t="s">
        <v>1808</v>
      </c>
      <c r="B37" s="2138" t="s">
        <v>269</v>
      </c>
      <c r="C37" s="2138"/>
      <c r="D37" s="2138"/>
      <c r="E37" s="2138"/>
      <c r="F37" s="2136"/>
      <c r="G37" s="2042"/>
      <c r="H37" s="2042"/>
      <c r="I37" s="2042"/>
      <c r="J37" s="2042"/>
      <c r="K37" s="2053"/>
      <c r="L37" s="2028"/>
      <c r="M37" s="2028"/>
      <c r="N37" s="2029"/>
      <c r="O37" s="2030"/>
      <c r="P37" s="2029"/>
      <c r="Q37" s="2029"/>
      <c r="R37" s="2029"/>
      <c r="S37" s="2029"/>
      <c r="T37" s="2029"/>
      <c r="U37" s="2029"/>
      <c r="V37" s="2029"/>
    </row>
    <row r="38" spans="1:22" ht="18" customHeight="1" thickBot="1">
      <c r="A38" s="2139" t="s">
        <v>1809</v>
      </c>
      <c r="B38" s="2140" t="s">
        <v>311</v>
      </c>
      <c r="C38" s="2140"/>
      <c r="D38" s="2140"/>
      <c r="E38" s="2140"/>
      <c r="F38" s="2141"/>
      <c r="G38" s="2061"/>
      <c r="H38" s="2061"/>
      <c r="I38" s="2061"/>
      <c r="J38" s="2042"/>
      <c r="K38" s="2053"/>
      <c r="L38" s="2028"/>
      <c r="M38" s="2028"/>
      <c r="N38" s="2029"/>
      <c r="O38" s="2030"/>
      <c r="P38" s="2029"/>
      <c r="Q38" s="2029"/>
      <c r="R38" s="2029"/>
      <c r="S38" s="2029"/>
      <c r="T38" s="2029"/>
      <c r="U38" s="2029"/>
      <c r="V38" s="2029"/>
    </row>
    <row r="39" spans="1:22" s="2146" customFormat="1" ht="18" customHeight="1" thickTop="1" thickBot="1">
      <c r="A39" s="2142" t="s">
        <v>1810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1811</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1812</v>
      </c>
      <c r="B42" s="1795" t="s">
        <v>1813</v>
      </c>
      <c r="C42" s="1795" t="s">
        <v>1814</v>
      </c>
      <c r="D42" s="1795" t="s">
        <v>1815</v>
      </c>
      <c r="E42" s="1795" t="s">
        <v>1816</v>
      </c>
      <c r="F42" s="1795" t="s">
        <v>1817</v>
      </c>
      <c r="G42" s="1795" t="s">
        <v>1818</v>
      </c>
      <c r="H42" s="1795" t="s">
        <v>1819</v>
      </c>
      <c r="I42" s="1795" t="s">
        <v>1820</v>
      </c>
      <c r="J42" s="2150" t="s">
        <v>1821</v>
      </c>
      <c r="K42" s="2073" t="s">
        <v>1822</v>
      </c>
      <c r="L42" s="2073" t="s">
        <v>1823</v>
      </c>
      <c r="M42" s="2073" t="s">
        <v>1824</v>
      </c>
      <c r="N42" s="1795" t="s">
        <v>1825</v>
      </c>
      <c r="O42" s="1795" t="s">
        <v>1826</v>
      </c>
      <c r="P42" s="1795" t="s">
        <v>1827</v>
      </c>
      <c r="Q42" s="2072" t="s">
        <v>1828</v>
      </c>
      <c r="R42" s="2072" t="s">
        <v>1829</v>
      </c>
      <c r="S42" s="2029"/>
      <c r="T42" s="2029"/>
      <c r="U42" s="2029"/>
      <c r="V42" s="2029"/>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7" customWidth="1"/>
    <col min="2" max="2" width="11" style="2157" customWidth="1"/>
    <col min="3" max="3" width="12.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1830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1831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1832</v>
      </c>
      <c r="B2" s="11" t="s">
        <v>1833</v>
      </c>
      <c r="C2" s="11" t="s">
        <v>1834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1835</v>
      </c>
      <c r="AZ2" s="1271" t="s">
        <v>1836</v>
      </c>
      <c r="BA2" s="11" t="s">
        <v>1837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ROUND(2188.58/(48923.36+9122.04)*14490.94,2)</f>
        <v>546.38</v>
      </c>
      <c r="B3" s="14">
        <f>IF(C3="否",G5-AT5,G5)</f>
        <v>2188.58</v>
      </c>
      <c r="C3" s="2166" t="s">
        <v>1838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1839</v>
      </c>
      <c r="B5" s="1803"/>
      <c r="C5" s="1803"/>
      <c r="D5" s="1806"/>
      <c r="E5" s="16" t="s">
        <v>1</v>
      </c>
      <c r="F5" s="16">
        <f>SUM(F13:F587)</f>
        <v>0</v>
      </c>
      <c r="G5" s="16">
        <f>SUM(G13:G587)</f>
        <v>2188.58</v>
      </c>
      <c r="H5" s="16">
        <f t="shared" ref="H5:AT5" si="0">SUM(H13:H656)</f>
        <v>2188.58</v>
      </c>
      <c r="I5" s="16">
        <f t="shared" si="0"/>
        <v>2188.58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1839</v>
      </c>
      <c r="AW5" s="1803"/>
      <c r="AX5" s="1803"/>
      <c r="AY5" s="17" t="s">
        <v>3</v>
      </c>
      <c r="AZ5" s="18">
        <f t="shared" ref="AZ5:BT5" si="1">SUM(AZ13:AZ656)</f>
        <v>2188.58</v>
      </c>
      <c r="BA5" s="18">
        <f t="shared" si="1"/>
        <v>2188.58</v>
      </c>
      <c r="BB5" s="18">
        <f t="shared" si="1"/>
        <v>2188.58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1840</v>
      </c>
      <c r="B6" s="2172"/>
      <c r="C6" s="2172"/>
      <c r="D6" s="2173"/>
      <c r="E6" s="16">
        <f>H6+AC6+AT6</f>
        <v>546.38</v>
      </c>
      <c r="F6" s="16" t="s">
        <v>1</v>
      </c>
      <c r="G6" s="16" t="s">
        <v>2</v>
      </c>
      <c r="H6" s="20">
        <f>SUMIF(I$12:AB$12,"总值",I6:AB6)</f>
        <v>546.38</v>
      </c>
      <c r="I6" s="16">
        <f t="shared" ref="I6:AB6" si="2">ROUND($A$3*I5/$B$3,2)</f>
        <v>546.38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1840</v>
      </c>
      <c r="AW6" s="2172"/>
      <c r="AX6" s="2172"/>
      <c r="AY6" s="21">
        <f>IF(AY3&gt;0,AY3,ROUND($A$3*AZ5/$B$3,2))</f>
        <v>546.38</v>
      </c>
      <c r="AZ6" s="16" t="s">
        <v>3</v>
      </c>
      <c r="BA6" s="16">
        <f>ROUND($AY$6*BA5/$AZ$5,2)</f>
        <v>546.38</v>
      </c>
      <c r="BB6" s="16">
        <f>ROUND($AY$6*BB5/$AZ$5,2)</f>
        <v>546.38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1841</v>
      </c>
      <c r="B7" s="2107" t="s">
        <v>1842</v>
      </c>
      <c r="C7" s="2107" t="s">
        <v>1843</v>
      </c>
      <c r="D7" s="2107" t="s">
        <v>1844</v>
      </c>
      <c r="E7" s="2107" t="s">
        <v>1845</v>
      </c>
      <c r="F7" s="2107" t="s">
        <v>1846</v>
      </c>
      <c r="G7" s="2176" t="s">
        <v>1847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1848</v>
      </c>
      <c r="AV7" s="23" t="s">
        <v>1849</v>
      </c>
      <c r="AW7" s="2164" t="s">
        <v>1850</v>
      </c>
      <c r="AX7" s="23" t="s">
        <v>1843</v>
      </c>
      <c r="AY7" s="1803" t="s">
        <v>1851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1852</v>
      </c>
      <c r="H8" s="2182" t="s">
        <v>1853</v>
      </c>
      <c r="I8" s="2183"/>
      <c r="J8" s="1818"/>
      <c r="K8" s="1818"/>
      <c r="L8" s="1818"/>
      <c r="M8" s="1818"/>
      <c r="N8" s="1818"/>
      <c r="O8" s="1818"/>
      <c r="P8" s="1818"/>
      <c r="Q8" s="1818"/>
      <c r="R8" s="1818"/>
      <c r="S8" s="1818"/>
      <c r="T8" s="1818"/>
      <c r="U8" s="1818"/>
      <c r="V8" s="2184"/>
      <c r="W8" s="1818"/>
      <c r="X8" s="1818"/>
      <c r="Y8" s="1818"/>
      <c r="Z8" s="1818"/>
      <c r="AA8" s="2184"/>
      <c r="AB8" s="2185"/>
      <c r="AC8" s="982" t="s">
        <v>1854</v>
      </c>
      <c r="AD8" s="2186"/>
      <c r="AE8" s="2178"/>
      <c r="AF8" s="1818"/>
      <c r="AG8" s="1818"/>
      <c r="AH8" s="1818"/>
      <c r="AI8" s="1818"/>
      <c r="AJ8" s="1818"/>
      <c r="AK8" s="1818"/>
      <c r="AL8" s="1818"/>
      <c r="AM8" s="1818"/>
      <c r="AN8" s="1818"/>
      <c r="AO8" s="1818"/>
      <c r="AP8" s="1818"/>
      <c r="AQ8" s="1818"/>
      <c r="AR8" s="1818"/>
      <c r="AS8" s="1818"/>
      <c r="AT8" s="1293" t="s">
        <v>1855</v>
      </c>
      <c r="AU8" s="2180" t="s">
        <v>1856</v>
      </c>
      <c r="AV8" s="1293"/>
      <c r="AW8" s="2163"/>
      <c r="AX8" s="1293"/>
      <c r="AY8" s="2164" t="s">
        <v>1857</v>
      </c>
      <c r="AZ8" s="1817" t="s">
        <v>1858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3"/>
      <c r="H9" s="2188" t="s">
        <v>1859</v>
      </c>
      <c r="I9" s="2189" t="s">
        <v>3116</v>
      </c>
      <c r="J9" s="982"/>
      <c r="K9" s="2189"/>
      <c r="L9" s="982"/>
      <c r="M9" s="2189"/>
      <c r="N9" s="982"/>
      <c r="O9" s="2189"/>
      <c r="P9" s="982"/>
      <c r="Q9" s="2189"/>
      <c r="R9" s="982"/>
      <c r="S9" s="2189"/>
      <c r="T9" s="982"/>
      <c r="U9" s="2189"/>
      <c r="V9" s="982"/>
      <c r="W9" s="2189"/>
      <c r="X9" s="2190"/>
      <c r="Y9" s="2189"/>
      <c r="Z9" s="982"/>
      <c r="AA9" s="2189"/>
      <c r="AB9" s="982"/>
      <c r="AC9" s="2181" t="s">
        <v>1859</v>
      </c>
      <c r="AD9" s="15" t="s">
        <v>1860</v>
      </c>
      <c r="AE9" s="1299"/>
      <c r="AF9" s="15" t="s">
        <v>1861</v>
      </c>
      <c r="AG9" s="1299"/>
      <c r="AH9" s="15" t="s">
        <v>1860</v>
      </c>
      <c r="AI9" s="1299"/>
      <c r="AJ9" s="15" t="s">
        <v>1861</v>
      </c>
      <c r="AK9" s="1299"/>
      <c r="AL9" s="15" t="s">
        <v>1860</v>
      </c>
      <c r="AM9" s="1299"/>
      <c r="AN9" s="15" t="s">
        <v>1861</v>
      </c>
      <c r="AO9" s="1299"/>
      <c r="AP9" s="15" t="s">
        <v>1860</v>
      </c>
      <c r="AQ9" s="1299"/>
      <c r="AR9" s="15" t="s">
        <v>1861</v>
      </c>
      <c r="AS9" s="2191"/>
      <c r="AT9" s="2180"/>
      <c r="AU9" s="2180" t="s">
        <v>1862</v>
      </c>
      <c r="AV9" s="1293"/>
      <c r="AW9" s="2163"/>
      <c r="AX9" s="1293"/>
      <c r="AY9" s="28"/>
      <c r="AZ9" s="28" t="s">
        <v>1852</v>
      </c>
      <c r="BA9" s="2192" t="s">
        <v>1863</v>
      </c>
      <c r="BB9" s="2193"/>
      <c r="BC9" s="1339"/>
      <c r="BD9" s="1339"/>
      <c r="BE9" s="1339"/>
      <c r="BF9" s="1339"/>
      <c r="BG9" s="1339"/>
      <c r="BH9" s="1339"/>
      <c r="BI9" s="1339"/>
      <c r="BJ9" s="1339"/>
      <c r="BK9" s="2194"/>
      <c r="BL9" s="15" t="s">
        <v>1864</v>
      </c>
      <c r="BM9" s="1818"/>
      <c r="BN9" s="2183"/>
      <c r="BO9" s="1818"/>
      <c r="BP9" s="1818"/>
      <c r="BQ9" s="1818"/>
      <c r="BR9" s="1818"/>
      <c r="BS9" s="1818"/>
      <c r="BT9" s="26"/>
    </row>
    <row r="10" spans="1:72" s="2187" customFormat="1" ht="12.75">
      <c r="A10" s="2180"/>
      <c r="B10" s="2180"/>
      <c r="C10" s="2180"/>
      <c r="D10" s="2180"/>
      <c r="E10" s="2180"/>
      <c r="F10" s="2180"/>
      <c r="G10" s="1293"/>
      <c r="H10" s="28"/>
      <c r="I10" s="2189" t="s">
        <v>1373</v>
      </c>
      <c r="J10" s="982"/>
      <c r="K10" s="2195"/>
      <c r="L10" s="982"/>
      <c r="M10" s="2195"/>
      <c r="N10" s="982"/>
      <c r="O10" s="2195"/>
      <c r="P10" s="982"/>
      <c r="Q10" s="2195"/>
      <c r="R10" s="982"/>
      <c r="S10" s="2195"/>
      <c r="T10" s="982"/>
      <c r="U10" s="2195"/>
      <c r="V10" s="982"/>
      <c r="W10" s="2195"/>
      <c r="X10" s="982"/>
      <c r="Y10" s="2195"/>
      <c r="Z10" s="982"/>
      <c r="AA10" s="2195"/>
      <c r="AB10" s="982"/>
      <c r="AC10" s="1293"/>
      <c r="AD10" s="15" t="s">
        <v>1865</v>
      </c>
      <c r="AE10" s="2196"/>
      <c r="AF10" s="15" t="s">
        <v>1865</v>
      </c>
      <c r="AG10" s="2196"/>
      <c r="AH10" s="15" t="s">
        <v>1866</v>
      </c>
      <c r="AI10" s="2196"/>
      <c r="AJ10" s="15" t="s">
        <v>1866</v>
      </c>
      <c r="AK10" s="2196"/>
      <c r="AL10" s="15" t="s">
        <v>1867</v>
      </c>
      <c r="AM10" s="1299"/>
      <c r="AN10" s="15" t="s">
        <v>1867</v>
      </c>
      <c r="AO10" s="1299"/>
      <c r="AP10" s="15" t="s">
        <v>1868</v>
      </c>
      <c r="AQ10" s="1299"/>
      <c r="AR10" s="15" t="s">
        <v>1868</v>
      </c>
      <c r="AS10" s="1299"/>
      <c r="AT10" s="2180"/>
      <c r="AU10" s="2180"/>
      <c r="AV10" s="1293"/>
      <c r="AW10" s="2163"/>
      <c r="AX10" s="1293"/>
      <c r="AY10" s="28"/>
      <c r="AZ10" s="28"/>
      <c r="BA10" s="2197" t="s">
        <v>1859</v>
      </c>
      <c r="BB10" s="2198" t="str">
        <f>I9</f>
        <v>地下</v>
      </c>
      <c r="BC10" s="29">
        <f>K9</f>
        <v>0</v>
      </c>
      <c r="BD10" s="29">
        <f>M9</f>
        <v>0</v>
      </c>
      <c r="BE10" s="29">
        <f>O9</f>
        <v>0</v>
      </c>
      <c r="BF10" s="29">
        <f>Q9</f>
        <v>0</v>
      </c>
      <c r="BG10" s="29">
        <f>S9</f>
        <v>0</v>
      </c>
      <c r="BH10" s="29">
        <f>U9</f>
        <v>0</v>
      </c>
      <c r="BI10" s="29">
        <f>W9</f>
        <v>0</v>
      </c>
      <c r="BJ10" s="29">
        <f>Y9</f>
        <v>0</v>
      </c>
      <c r="BK10" s="29">
        <f>AA9</f>
        <v>0</v>
      </c>
      <c r="BL10" s="25" t="s">
        <v>1859</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3"/>
      <c r="H11" s="2197"/>
      <c r="I11" s="2200" t="s">
        <v>3042</v>
      </c>
      <c r="J11" s="2201"/>
      <c r="K11" s="2200"/>
      <c r="L11" s="2201"/>
      <c r="M11" s="2200"/>
      <c r="N11" s="2201"/>
      <c r="O11" s="2200"/>
      <c r="P11" s="2201"/>
      <c r="Q11" s="2200"/>
      <c r="R11" s="2201"/>
      <c r="S11" s="2200"/>
      <c r="T11" s="2201"/>
      <c r="U11" s="2200"/>
      <c r="V11" s="2201"/>
      <c r="W11" s="2200"/>
      <c r="X11" s="2201"/>
      <c r="Y11" s="2200"/>
      <c r="Z11" s="2201"/>
      <c r="AA11" s="2200"/>
      <c r="AB11" s="2201"/>
      <c r="AC11" s="1293"/>
      <c r="AD11" s="2202" t="s">
        <v>1869</v>
      </c>
      <c r="AE11" s="1819"/>
      <c r="AF11" s="2202" t="s">
        <v>1869</v>
      </c>
      <c r="AG11" s="1819"/>
      <c r="AH11" s="2202" t="s">
        <v>1870</v>
      </c>
      <c r="AI11" s="2203"/>
      <c r="AJ11" s="2202" t="s">
        <v>1870</v>
      </c>
      <c r="AK11" s="1819"/>
      <c r="AL11" s="1817"/>
      <c r="AM11" s="1819"/>
      <c r="AN11" s="1817"/>
      <c r="AO11" s="1819"/>
      <c r="AP11" s="1817"/>
      <c r="AQ11" s="1819"/>
      <c r="AR11" s="1817"/>
      <c r="AS11" s="1819"/>
      <c r="AT11" s="2163"/>
      <c r="AU11" s="2180"/>
      <c r="AV11" s="1293"/>
      <c r="AW11" s="2163"/>
      <c r="AX11" s="1293"/>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2" t="s">
        <v>1872</v>
      </c>
      <c r="W12" s="11" t="s">
        <v>1871</v>
      </c>
      <c r="X12" s="11" t="s">
        <v>1872</v>
      </c>
      <c r="Y12" s="11" t="s">
        <v>1871</v>
      </c>
      <c r="Z12" s="11" t="s">
        <v>1872</v>
      </c>
      <c r="AA12" s="11" t="s">
        <v>1871</v>
      </c>
      <c r="AB12" s="11" t="s">
        <v>1872</v>
      </c>
      <c r="AC12" s="2207"/>
      <c r="AD12" s="1806"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5" t="s">
        <v>1872</v>
      </c>
      <c r="AT12" s="2208"/>
      <c r="AU12" s="2205"/>
      <c r="AV12" s="31"/>
      <c r="AW12" s="2164"/>
      <c r="AX12" s="31"/>
      <c r="AY12" s="2209"/>
      <c r="AZ12" s="28"/>
      <c r="BA12" s="2197"/>
      <c r="BB12" s="24" t="str">
        <f>I11</f>
        <v>商业用房</v>
      </c>
      <c r="BC12" s="2210">
        <f>K11</f>
        <v>0</v>
      </c>
      <c r="BD12" s="2210">
        <f>M11</f>
        <v>0</v>
      </c>
      <c r="BE12" s="2185">
        <f>O11</f>
        <v>0</v>
      </c>
      <c r="BF12" s="2185">
        <f>Q11</f>
        <v>0</v>
      </c>
      <c r="BG12" s="2185">
        <f>S11</f>
        <v>0</v>
      </c>
      <c r="BH12" s="2185">
        <f>U11</f>
        <v>0</v>
      </c>
      <c r="BI12" s="2185">
        <f>W11</f>
        <v>0</v>
      </c>
      <c r="BJ12" s="2185">
        <f>Y11</f>
        <v>0</v>
      </c>
      <c r="BK12" s="2185">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24" customHeight="1">
      <c r="A13" s="1273"/>
      <c r="B13" s="1273"/>
      <c r="C13" s="2961" t="str">
        <f>项目基本情况!F10</f>
        <v>朝阳区吉庆里9号、10号楼</v>
      </c>
      <c r="D13" s="2211" t="s">
        <v>3007</v>
      </c>
      <c r="E13" s="16">
        <f>IF($C$3="是",ROUND($A$3*G13/$B$3,2),ROUND($A$3*(G13-AT13)/$B$3,2))</f>
        <v>546.38</v>
      </c>
      <c r="F13" s="32"/>
      <c r="G13" s="33">
        <f>H13+AC13+AT13</f>
        <v>2188.58</v>
      </c>
      <c r="H13" s="20">
        <f>SUMIF(I$12:AB$12,"总值",I13:AB13)</f>
        <v>2188.58</v>
      </c>
      <c r="I13" s="2212">
        <v>2188.58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朝阳区吉庆里9号、10号楼</v>
      </c>
      <c r="AY13" s="1806">
        <f>ROUND($AY$6*AZ13/$AZ$5,2)</f>
        <v>546.38</v>
      </c>
      <c r="AZ13" s="16">
        <f>BA13+BL13</f>
        <v>2188.58</v>
      </c>
      <c r="BA13" s="16">
        <f>SUM(BB13:BK13)</f>
        <v>2188.58</v>
      </c>
      <c r="BB13" s="16">
        <f>IF($D13="是",I13-J13,0)</f>
        <v>2188.58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1898</v>
      </c>
      <c r="B1" s="1393"/>
      <c r="C1" s="1393"/>
      <c r="D1" s="1393"/>
      <c r="E1" s="1393"/>
      <c r="F1" s="1393"/>
      <c r="G1" s="1393"/>
      <c r="H1" s="1393"/>
      <c r="I1" s="1393"/>
      <c r="J1" s="1393"/>
      <c r="K1" s="1393"/>
      <c r="L1" s="1393"/>
      <c r="M1" s="1393"/>
      <c r="N1" s="1393"/>
      <c r="O1" s="1393"/>
      <c r="P1" s="1393"/>
    </row>
    <row r="2" spans="1:16" ht="15">
      <c r="A2" s="3062" t="s">
        <v>1899</v>
      </c>
      <c r="B2" s="3062"/>
      <c r="C2" s="3062"/>
      <c r="D2" s="968" t="s">
        <v>1875</v>
      </c>
      <c r="E2" s="2225" t="s">
        <v>1876</v>
      </c>
      <c r="F2" s="1393"/>
      <c r="G2" s="2226"/>
      <c r="H2" s="2227"/>
      <c r="I2" s="2228" t="s">
        <v>1900</v>
      </c>
      <c r="J2" s="1393"/>
      <c r="K2" s="1393"/>
      <c r="L2" s="1393"/>
      <c r="M2" s="1393"/>
      <c r="N2" s="1428"/>
      <c r="O2" s="1393"/>
      <c r="P2" s="1393"/>
    </row>
    <row r="3" spans="1:16" ht="15.75" thickBot="1">
      <c r="A3" s="3063" t="s">
        <v>1873</v>
      </c>
      <c r="B3" s="3063"/>
      <c r="C3" s="3063"/>
      <c r="D3" s="46">
        <f>'数据-基础表'!AY6</f>
        <v>546.38</v>
      </c>
      <c r="E3" s="46">
        <f>'数据-基础表'!AZ5</f>
        <v>2188.58</v>
      </c>
      <c r="F3" s="1393"/>
      <c r="G3" s="1400"/>
      <c r="H3" s="1248" t="s">
        <v>1874</v>
      </c>
      <c r="I3" s="55">
        <f>ROUND('数据-基础表'!B3/'数据-基础表'!A3,2)</f>
        <v>4.01</v>
      </c>
      <c r="J3" s="1393"/>
      <c r="K3" s="1393"/>
      <c r="L3" s="1393"/>
      <c r="M3" s="1393"/>
      <c r="N3" s="1428"/>
      <c r="O3" s="1393"/>
      <c r="P3" s="1393"/>
    </row>
    <row r="4" spans="1:16" ht="15">
      <c r="A4" s="3064"/>
      <c r="B4" s="3065"/>
      <c r="C4" s="3066"/>
      <c r="D4" s="2229" t="s">
        <v>1875</v>
      </c>
      <c r="E4" s="2230" t="s">
        <v>1876</v>
      </c>
      <c r="F4" s="1393"/>
      <c r="G4" s="2231" t="s">
        <v>1901</v>
      </c>
      <c r="H4" s="1248" t="s">
        <v>1881</v>
      </c>
      <c r="I4" s="55">
        <f>ROUND(SUMIF('数据-基础表'!I9:AS9,"地上",'数据-基础表'!I5:AS5)/'数据-基础表'!A3,2)</f>
        <v>0</v>
      </c>
      <c r="J4" s="1393"/>
      <c r="K4" s="1393"/>
      <c r="L4" s="1393"/>
      <c r="M4" s="1393"/>
      <c r="N4" s="1428"/>
      <c r="O4" s="1393"/>
      <c r="P4" s="1393"/>
    </row>
    <row r="5" spans="1:16">
      <c r="A5" s="47" t="s">
        <v>1877</v>
      </c>
      <c r="B5" s="3067" t="s">
        <v>1878</v>
      </c>
      <c r="C5" s="3067"/>
      <c r="D5" s="48">
        <f>ROUND($D$3*E5/$E$3,2)</f>
        <v>0</v>
      </c>
      <c r="E5" s="49">
        <f>SUMIF('数据-基础表'!$11:$11,"住宅",'数据-基础表'!$5:$5)</f>
        <v>0</v>
      </c>
      <c r="F5" s="1393"/>
      <c r="G5" s="1400"/>
      <c r="H5" s="1248" t="s">
        <v>1874</v>
      </c>
      <c r="I5" s="55">
        <f>ROUND(E31/D31,2)</f>
        <v>4.01</v>
      </c>
      <c r="J5" s="1393"/>
      <c r="K5" s="1393"/>
      <c r="L5" s="1393"/>
      <c r="M5" s="1393"/>
      <c r="N5" s="1393"/>
      <c r="O5" s="1393"/>
      <c r="P5" s="1393"/>
    </row>
    <row r="6" spans="1:16" ht="15" thickBot="1">
      <c r="A6" s="2232"/>
      <c r="B6" s="3067" t="s">
        <v>1879</v>
      </c>
      <c r="C6" s="3067"/>
      <c r="D6" s="48">
        <f>ROUND($D$3*E6/$E$3,2)</f>
        <v>546.38</v>
      </c>
      <c r="E6" s="49">
        <f>E3-E5</f>
        <v>2188.58</v>
      </c>
      <c r="F6" s="1393"/>
      <c r="G6" s="2233" t="s">
        <v>1880</v>
      </c>
      <c r="H6" s="1400" t="s">
        <v>1881</v>
      </c>
      <c r="I6" s="940">
        <f>ROUND(F31/D31,2)</f>
        <v>0</v>
      </c>
      <c r="J6" s="1393"/>
      <c r="K6" s="1393"/>
      <c r="L6" s="1393"/>
      <c r="M6" s="1393"/>
      <c r="N6" s="1393"/>
      <c r="O6" s="1393"/>
      <c r="P6" s="1393"/>
    </row>
    <row r="7" spans="1:16" ht="15">
      <c r="A7" s="3059"/>
      <c r="B7" s="3060"/>
      <c r="C7" s="3061"/>
      <c r="D7" s="2229" t="s">
        <v>1875</v>
      </c>
      <c r="E7" s="2234" t="s">
        <v>1882</v>
      </c>
      <c r="F7" s="1393"/>
      <c r="G7" s="2226" t="s">
        <v>1883</v>
      </c>
      <c r="H7" s="64"/>
      <c r="I7" s="420"/>
      <c r="J7" s="1393"/>
      <c r="K7" s="1393"/>
      <c r="L7" s="1393"/>
      <c r="M7" s="1393"/>
      <c r="N7" s="1393"/>
      <c r="O7" s="1393"/>
      <c r="P7" s="1393"/>
    </row>
    <row r="8" spans="1:16">
      <c r="A8" s="47" t="s">
        <v>1884</v>
      </c>
      <c r="B8" s="50" t="s">
        <v>1885</v>
      </c>
      <c r="C8" s="48" t="s">
        <v>1886</v>
      </c>
      <c r="D8" s="48">
        <f t="shared" ref="D8:D15" si="0">ROUND($D$3*E8/$E$3,2)</f>
        <v>0</v>
      </c>
      <c r="E8" s="51">
        <f>SUMIF('数据-基础表'!BB10:BK10,"地上",'数据-基础表'!BB5:BK5)</f>
        <v>0</v>
      </c>
      <c r="F8" s="1393"/>
      <c r="G8" s="2235"/>
      <c r="H8" s="2235"/>
      <c r="I8" s="1393"/>
      <c r="J8" s="1393"/>
      <c r="K8" s="1393"/>
      <c r="L8" s="1393"/>
      <c r="M8" s="1393"/>
      <c r="N8" s="1393"/>
      <c r="O8" s="1393"/>
      <c r="P8" s="1393"/>
    </row>
    <row r="9" spans="1:16">
      <c r="A9" s="2236"/>
      <c r="B9" s="2237"/>
      <c r="C9" s="48" t="s">
        <v>1887</v>
      </c>
      <c r="D9" s="48">
        <f t="shared" si="0"/>
        <v>0</v>
      </c>
      <c r="E9" s="52">
        <v>0</v>
      </c>
      <c r="F9" s="1393"/>
      <c r="G9" s="2235"/>
      <c r="H9" s="2235"/>
      <c r="I9" s="1393"/>
      <c r="J9" s="1393"/>
      <c r="K9" s="1393"/>
      <c r="L9" s="1393"/>
      <c r="M9" s="1393"/>
      <c r="N9" s="1393"/>
      <c r="O9" s="1393"/>
      <c r="P9" s="1393"/>
    </row>
    <row r="10" spans="1:16">
      <c r="A10" s="2236"/>
      <c r="B10" s="2237"/>
      <c r="C10" s="48" t="s">
        <v>1896</v>
      </c>
      <c r="D10" s="48">
        <f t="shared" si="0"/>
        <v>546.38</v>
      </c>
      <c r="E10" s="51">
        <f>SUMPRODUCT(('数据-基础表'!BB10:BK10="地下")*('数据-基础表'!BB11:BK11="商业")*('数据-基础表'!BB5:BK5))</f>
        <v>2188.58</v>
      </c>
      <c r="F10" s="1393"/>
      <c r="G10" s="2235"/>
      <c r="H10" s="2235"/>
      <c r="I10" s="1393"/>
      <c r="J10" s="1393"/>
      <c r="K10" s="1393"/>
      <c r="L10" s="1393"/>
      <c r="M10" s="1393"/>
      <c r="N10" s="1393"/>
      <c r="O10" s="1393"/>
      <c r="P10" s="1393"/>
    </row>
    <row r="11" spans="1:16">
      <c r="A11" s="2236"/>
      <c r="B11" s="2237"/>
      <c r="C11" s="48" t="s">
        <v>1888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1889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1890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1902</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1897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1891</v>
      </c>
      <c r="D16" s="50">
        <f>SUM(D8:D15)</f>
        <v>546.38</v>
      </c>
      <c r="E16" s="53">
        <f>SUM(E8:E15)</f>
        <v>2188.58</v>
      </c>
      <c r="F16" s="1393"/>
      <c r="G16" s="2235"/>
      <c r="H16" s="2238" t="s">
        <v>1903</v>
      </c>
      <c r="I16" s="2239"/>
      <c r="J16" s="1393"/>
      <c r="K16" s="3056" t="s">
        <v>1903</v>
      </c>
      <c r="L16" s="3057"/>
      <c r="M16" s="3057"/>
      <c r="N16" s="3057"/>
      <c r="O16" s="3057"/>
      <c r="P16" s="3058"/>
    </row>
    <row r="17" spans="1:19" ht="15">
      <c r="A17" s="2240" t="s">
        <v>1904</v>
      </c>
      <c r="B17" s="2241" t="s">
        <v>1905</v>
      </c>
      <c r="C17" s="2242" t="s">
        <v>1906</v>
      </c>
      <c r="D17" s="2243" t="s">
        <v>1894</v>
      </c>
      <c r="E17" s="2244" t="s">
        <v>1895</v>
      </c>
      <c r="F17" s="2245"/>
      <c r="G17" s="2246"/>
      <c r="H17" s="2247" t="s">
        <v>1907</v>
      </c>
      <c r="I17" s="2248" t="s">
        <v>1892</v>
      </c>
      <c r="J17" s="1393"/>
      <c r="K17" s="3053" t="s">
        <v>1908</v>
      </c>
      <c r="L17" s="3054"/>
      <c r="M17" s="3055"/>
      <c r="N17" s="3053" t="s">
        <v>1909</v>
      </c>
      <c r="O17" s="3054"/>
      <c r="P17" s="3055"/>
      <c r="R17" s="2226" t="s">
        <v>1910</v>
      </c>
      <c r="S17" s="64"/>
    </row>
    <row r="18" spans="1:19" ht="15">
      <c r="A18" s="2236"/>
      <c r="B18" s="2249"/>
      <c r="C18" s="2250"/>
      <c r="D18" s="2251"/>
      <c r="E18" s="2252" t="s">
        <v>1911</v>
      </c>
      <c r="F18" s="2253" t="s">
        <v>1912</v>
      </c>
      <c r="G18" s="2254" t="s">
        <v>1913</v>
      </c>
      <c r="H18" s="1263" t="s">
        <v>1914</v>
      </c>
      <c r="I18" s="2255" t="s">
        <v>1915</v>
      </c>
      <c r="J18" s="1393"/>
      <c r="K18" s="1263" t="s">
        <v>1916</v>
      </c>
      <c r="L18" s="2256" t="s">
        <v>1917</v>
      </c>
      <c r="M18" s="1047" t="s">
        <v>1918</v>
      </c>
      <c r="N18" s="1263" t="s">
        <v>1916</v>
      </c>
      <c r="O18" s="2256" t="s">
        <v>1917</v>
      </c>
      <c r="P18" s="1047" t="s">
        <v>1918</v>
      </c>
      <c r="R18" s="1248" t="s">
        <v>1919</v>
      </c>
      <c r="S18" s="1248" t="s">
        <v>1920</v>
      </c>
    </row>
    <row r="19" spans="1:19">
      <c r="A19" s="2257"/>
      <c r="B19" s="50" t="s">
        <v>1893</v>
      </c>
      <c r="C19" s="2258" t="str">
        <f>定义!A3</f>
        <v>商业用房</v>
      </c>
      <c r="D19" s="48">
        <f>ROUND($D$3*E19/$E$3,2)</f>
        <v>546.38</v>
      </c>
      <c r="E19" s="56">
        <f t="shared" ref="E19:E26" si="1">SUM(F19:G19)</f>
        <v>2188.58</v>
      </c>
      <c r="F19" s="57"/>
      <c r="G19" s="58">
        <f>'数据-基础表'!I13</f>
        <v>2188.58</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546.38</v>
      </c>
      <c r="S19" s="1249">
        <f t="shared" si="5"/>
        <v>2188.58</v>
      </c>
    </row>
    <row r="20" spans="1:19">
      <c r="A20" s="2261"/>
      <c r="B20" s="50" t="s">
        <v>1921</v>
      </c>
      <c r="C20" s="2258"/>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c r="A21" s="2261"/>
      <c r="B21" s="50" t="s">
        <v>1921</v>
      </c>
      <c r="C21" s="2258"/>
      <c r="D21" s="48">
        <f t="shared" si="6"/>
        <v>0</v>
      </c>
      <c r="E21" s="56">
        <f t="shared" si="1"/>
        <v>0</v>
      </c>
      <c r="F21" s="57"/>
      <c r="G21" s="58"/>
      <c r="H21" s="721">
        <f t="shared" si="7"/>
        <v>0</v>
      </c>
      <c r="I21" s="51">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50" t="s">
        <v>1921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1921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1921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1921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1921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15.75" thickBot="1">
      <c r="A27" s="2261"/>
      <c r="B27" s="48"/>
      <c r="C27" s="2264" t="s">
        <v>1922</v>
      </c>
      <c r="D27" s="1394">
        <f>SUM(D19:D26)</f>
        <v>546.38</v>
      </c>
      <c r="E27" s="1395">
        <f>IF(SUM(E19:E26)='数据-基础表'!BA5,SUM(E19:E26),IF(F27="地上面积有误","面积有误","地下面积有误"))</f>
        <v>2188.58</v>
      </c>
      <c r="F27" s="1394">
        <f>IF(SUM(F19:F26)=E8,SUM(F19:F26),"地上面积有误")</f>
        <v>0</v>
      </c>
      <c r="G27" s="1396">
        <f>SUM(G19:G26)</f>
        <v>2188.58</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546.38</v>
      </c>
      <c r="S27" s="1248">
        <f>IF(SUM(S19:S26)=$E$3,SUM(S19:S26),SUM(S19:S26)&amp;"误差"&amp;ROUND(SUM(S19:S26)-E3,2))</f>
        <v>2188.58</v>
      </c>
    </row>
    <row r="28" spans="1:19">
      <c r="A28" s="2261"/>
      <c r="B28" s="50" t="s">
        <v>1923</v>
      </c>
      <c r="C28" s="1260" t="s">
        <v>1924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1923</v>
      </c>
      <c r="C29" s="2265" t="s">
        <v>1925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1922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1926</v>
      </c>
      <c r="D31" s="727">
        <f>D27+D30</f>
        <v>546.38</v>
      </c>
      <c r="E31" s="727">
        <f>E27+E30</f>
        <v>2188.58</v>
      </c>
      <c r="F31" s="728">
        <f>F27+F30</f>
        <v>0</v>
      </c>
      <c r="G31" s="729">
        <f>G27+G30</f>
        <v>2188.58</v>
      </c>
      <c r="H31" s="1393"/>
      <c r="I31" s="1393"/>
      <c r="J31" s="1393"/>
      <c r="K31" s="1393"/>
      <c r="L31" s="1393"/>
      <c r="M31" s="1393"/>
      <c r="N31" s="1393"/>
      <c r="O31" s="1393"/>
      <c r="P31" s="1393"/>
    </row>
    <row r="32" spans="1:19">
      <c r="A32" s="2231"/>
      <c r="B32" s="2231" t="s">
        <v>1927</v>
      </c>
      <c r="C32" s="2231"/>
      <c r="D32" s="2231"/>
      <c r="E32" s="1275">
        <f>SUMIF(C19:C26,"*住宅*",E19:E26)</f>
        <v>0</v>
      </c>
      <c r="F32" s="2231"/>
      <c r="G32" s="2231"/>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11.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1928</v>
      </c>
      <c r="B1" s="730"/>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1929</v>
      </c>
      <c r="B2" s="1267">
        <f>项目基本情况!D3</f>
        <v>43382</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2" t="s">
        <v>1934</v>
      </c>
      <c r="AA4" s="2242"/>
      <c r="AB4" s="2242"/>
      <c r="AC4" s="2242"/>
      <c r="AD4" s="2242"/>
      <c r="AE4" s="2240" t="s">
        <v>1935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1936</v>
      </c>
      <c r="B5" s="2288" t="s">
        <v>1937</v>
      </c>
      <c r="C5" s="2289" t="s">
        <v>1938</v>
      </c>
      <c r="D5" s="2290" t="s">
        <v>1939</v>
      </c>
      <c r="E5" s="1269" t="s">
        <v>1940</v>
      </c>
      <c r="F5" s="2291" t="s">
        <v>1941</v>
      </c>
      <c r="G5" s="1269" t="s">
        <v>1942</v>
      </c>
      <c r="H5" s="1269" t="s">
        <v>1943</v>
      </c>
      <c r="I5" s="1269" t="s">
        <v>1944</v>
      </c>
      <c r="J5" s="2292" t="s">
        <v>1945</v>
      </c>
      <c r="K5" s="2293" t="s">
        <v>1946</v>
      </c>
      <c r="L5" s="2294" t="s">
        <v>1947</v>
      </c>
      <c r="M5" s="2295" t="s">
        <v>1948</v>
      </c>
      <c r="N5" s="2296" t="s">
        <v>3008</v>
      </c>
      <c r="O5" s="2294" t="s">
        <v>1949</v>
      </c>
      <c r="P5" s="2297" t="s">
        <v>1950</v>
      </c>
      <c r="Q5" s="69" t="s">
        <v>1951</v>
      </c>
      <c r="R5" s="2298" t="s">
        <v>1952</v>
      </c>
      <c r="S5" s="2299" t="s">
        <v>1953</v>
      </c>
      <c r="T5" s="2300" t="s">
        <v>1954</v>
      </c>
      <c r="U5" s="1268" t="s">
        <v>1955</v>
      </c>
      <c r="V5" s="1269" t="s">
        <v>1956</v>
      </c>
      <c r="W5" s="1269" t="s">
        <v>1957</v>
      </c>
      <c r="X5" s="71"/>
      <c r="Y5" s="70" t="s">
        <v>1958</v>
      </c>
      <c r="Z5" s="2301" t="s">
        <v>1955</v>
      </c>
      <c r="AA5" s="1269" t="s">
        <v>1956</v>
      </c>
      <c r="AB5" s="1269" t="s">
        <v>1957</v>
      </c>
      <c r="AC5" s="71"/>
      <c r="AD5" s="71" t="s">
        <v>1958</v>
      </c>
      <c r="AE5" s="1268" t="s">
        <v>1959</v>
      </c>
      <c r="AF5" s="1269" t="s">
        <v>1960</v>
      </c>
      <c r="AG5" s="70" t="s">
        <v>1961</v>
      </c>
      <c r="AH5" s="1268" t="s">
        <v>1962</v>
      </c>
      <c r="AI5" s="2301" t="s">
        <v>1963</v>
      </c>
      <c r="AJ5" s="2301" t="s">
        <v>1964</v>
      </c>
      <c r="AK5" s="1269" t="s">
        <v>1965</v>
      </c>
      <c r="AL5" s="1269" t="s">
        <v>1966</v>
      </c>
      <c r="AM5" s="70" t="s">
        <v>1967</v>
      </c>
      <c r="AN5" s="2302" t="s">
        <v>1968</v>
      </c>
      <c r="AO5" s="2072" t="s">
        <v>1969</v>
      </c>
      <c r="AP5" s="1250" t="s">
        <v>1970</v>
      </c>
      <c r="AQ5" s="2303" t="s">
        <v>1971</v>
      </c>
      <c r="AR5" s="2303" t="s">
        <v>1972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商业用房</v>
      </c>
      <c r="B6" s="2305" t="str">
        <f>IF(A6=0,"","经营性")</f>
        <v>经营性</v>
      </c>
      <c r="C6" s="2306" t="s">
        <v>1373</v>
      </c>
      <c r="D6" s="1052">
        <f>SUMIF(项目基本情况!D$12:I$12,C6,项目基本情况!D$14:I$14)</f>
        <v>40</v>
      </c>
      <c r="E6" s="1049">
        <f>IF(B6="","",SUMIF(项目基本情况!D$12:I$12,C6,项目基本情况!D$13:I$13))</f>
        <v>51618</v>
      </c>
      <c r="F6" s="72">
        <f>SUMIF(项目基本情况!D$12:I$12,C6,项目基本情况!D$15:I$15)</f>
        <v>22.56</v>
      </c>
      <c r="G6" s="73">
        <f>IF(ISERROR(ROUND(POWER(1+H6,D6-F6)*(POWER(1+H6,F6)-1)/(POWER(1+H6,D6)-1),3)),0,ROUND(POWER(1+H6,D6-F6)*(POWER(1+H6,F6)-1)/(POWER(1+H6,D6)-1),3))</f>
        <v>0.74199999999999999</v>
      </c>
      <c r="H6" s="800">
        <v>0.04</v>
      </c>
      <c r="I6" s="800">
        <v>5.5E-2</v>
      </c>
      <c r="J6" s="74">
        <v>8.5000000000000006E-2</v>
      </c>
      <c r="K6" s="1252">
        <f>SUMIF('数据-汇总表'!C$19:C$33,A6,'数据-汇总表'!E$19:E$33)</f>
        <v>2188.58</v>
      </c>
      <c r="L6" s="801">
        <v>2800</v>
      </c>
      <c r="M6" s="75">
        <f t="shared" ref="M6:M14" si="0">ROUND(K6*L6/10000,0)</f>
        <v>613</v>
      </c>
      <c r="N6" s="799">
        <f>ROUND(1-(2018-2000)/60,2)</f>
        <v>0.7</v>
      </c>
      <c r="O6" s="75" t="str">
        <f>IF($N$5="成新度","——",ROUND(M6*N6,0))</f>
        <v>——</v>
      </c>
      <c r="P6" s="76" t="str">
        <f>IF($N$5="成新度","——",M6-O6)</f>
        <v>——</v>
      </c>
      <c r="Q6" s="802">
        <v>0.3</v>
      </c>
      <c r="R6" s="77">
        <f ca="1">SUMIF('数据-汇总表'!C$19:C$33,A6,'数据-汇总表'!R$19:R$27)</f>
        <v>546.38</v>
      </c>
      <c r="S6" s="54">
        <f>IF('数据-汇总表'!$I$17="按面积比例",SUMIF('数据-汇总表'!C$19:C$33,A6,'数据-汇总表'!K$19:K$33),SUMIF('数据-汇总表'!C$19:C$33,A6,'数据-汇总表'!N$19:N$33))</f>
        <v>0</v>
      </c>
      <c r="T6" s="1444">
        <f>ROUND($L$14*S6/10000,0)</f>
        <v>0</v>
      </c>
      <c r="U6" s="78">
        <f>8*0.6</f>
        <v>4.8</v>
      </c>
      <c r="V6" s="79">
        <v>0.04</v>
      </c>
      <c r="W6" s="79">
        <v>0.1</v>
      </c>
      <c r="X6" s="1262"/>
      <c r="Y6" s="80">
        <f>N6</f>
        <v>0.7</v>
      </c>
      <c r="Z6" s="81"/>
      <c r="AA6" s="74"/>
      <c r="AB6" s="74"/>
      <c r="AC6" s="1262"/>
      <c r="AD6" s="82"/>
      <c r="AE6" s="1263">
        <f ca="1">IF(AN6="",0,SUMIF(INDIRECT("'"&amp;AN6&amp;"'"&amp;"!E:E"),$AE$5,INDIRECT("'"&amp;AN6&amp;"'"&amp;"!F:F")))</f>
        <v>22.56</v>
      </c>
      <c r="AF6" s="1804"/>
      <c r="AG6" s="147">
        <f>IF(AF6="",0,AE6-AF6)</f>
        <v>0</v>
      </c>
      <c r="AH6" s="83"/>
      <c r="AI6" s="85">
        <v>365</v>
      </c>
      <c r="AJ6" s="86"/>
      <c r="AK6" s="87">
        <v>1.4999999999999999E-2</v>
      </c>
      <c r="AL6" s="88">
        <v>1.5E-3</v>
      </c>
      <c r="AM6" s="89">
        <v>0.01</v>
      </c>
      <c r="AN6" s="2307" t="s">
        <v>3009</v>
      </c>
      <c r="AO6" s="55">
        <f ca="1">SUMIF(INDIRECT("'"&amp;AN6&amp;"'"&amp;"!A:A"),"总价",INDIRECT("'"&amp;AN6&amp;"'"&amp;"!B:B"))</f>
        <v>4840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1973</v>
      </c>
      <c r="B14" s="2305" t="s">
        <v>1974</v>
      </c>
      <c r="C14" s="2310" t="s">
        <v>1973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5"/>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1975</v>
      </c>
      <c r="B15" s="2305" t="s">
        <v>1974</v>
      </c>
      <c r="C15" s="2310" t="s">
        <v>1976</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5"/>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1977</v>
      </c>
      <c r="B16" s="97"/>
      <c r="C16" s="1006"/>
      <c r="D16" s="2312"/>
      <c r="E16" s="97"/>
      <c r="F16" s="97"/>
      <c r="G16" s="98">
        <f>ROUND(SUMPRODUCT(G6:G13,K6:K13)/SUMPRODUCT((G6:G13&gt;0)*(K6:K13)),3)</f>
        <v>0.74199999999999999</v>
      </c>
      <c r="H16" s="99">
        <f>ROUND(SUMPRODUCT(H6:H13,K6:K13)/SUMPRODUCT((H6:H13&gt;0)*(K6:K13)),3)</f>
        <v>0.04</v>
      </c>
      <c r="I16" s="100"/>
      <c r="J16" s="100"/>
      <c r="K16" s="101">
        <f>SUM(K6:K15)</f>
        <v>2188.58</v>
      </c>
      <c r="L16" s="102">
        <f>ROUND(M16*10000/SUM(K6:K14),0)</f>
        <v>2801</v>
      </c>
      <c r="M16" s="102">
        <f>SUM(M6:M14)</f>
        <v>613</v>
      </c>
      <c r="N16" s="103">
        <f>ROUND(SUMPRODUCT(M6:M14,N6:N14)/M16,3)</f>
        <v>0.7</v>
      </c>
      <c r="O16" s="102">
        <f>SUM(O6:O14)</f>
        <v>0</v>
      </c>
      <c r="P16" s="102">
        <f>SUM(P6:P14)</f>
        <v>0</v>
      </c>
      <c r="Q16" s="104">
        <f>ROUND(SUMPRODUCT(Q6:Q13,K6:K13)/SUMPRODUCT((Q6:Q13&gt;0)*(K6:K13)),2)</f>
        <v>0.3</v>
      </c>
      <c r="R16" s="1256">
        <f ca="1">SUM(R6:R13)</f>
        <v>546.38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1978</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1979</v>
      </c>
      <c r="B19" s="112">
        <v>0</v>
      </c>
      <c r="C19" s="2275" t="s">
        <v>1980</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1981</v>
      </c>
      <c r="B20" s="113">
        <v>2</v>
      </c>
      <c r="C20" s="2275" t="s">
        <v>1982</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1983</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1984</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1985</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1986</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1987</v>
      </c>
      <c r="B26" s="2318" t="s">
        <v>1988</v>
      </c>
      <c r="C26" s="2319" t="s">
        <v>1989</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1990</v>
      </c>
      <c r="B27" s="116"/>
      <c r="C27" s="1764" t="s">
        <v>1991</v>
      </c>
      <c r="D27" s="2321"/>
      <c r="E27" s="1428"/>
      <c r="F27" s="1428"/>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1992</v>
      </c>
      <c r="B28" s="119">
        <v>200</v>
      </c>
      <c r="C28" s="2324"/>
      <c r="D28" s="2321"/>
      <c r="E28" s="1428"/>
      <c r="F28" s="1428"/>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1993</v>
      </c>
      <c r="B29" s="121">
        <f>ROUND(B28*'数据-基础表'!I13/10000,0)</f>
        <v>44</v>
      </c>
      <c r="C29" s="1764" t="s">
        <v>1994</v>
      </c>
      <c r="D29" s="2321"/>
      <c r="E29" s="1428"/>
      <c r="F29" s="1428"/>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1995</v>
      </c>
      <c r="B30" s="722">
        <v>200</v>
      </c>
      <c r="C30" s="2324"/>
      <c r="D30" s="2321"/>
      <c r="E30" s="1428"/>
      <c r="F30" s="1428"/>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1996</v>
      </c>
      <c r="B31" s="120">
        <f>B30-B32</f>
        <v>200</v>
      </c>
      <c r="C31" s="1764"/>
      <c r="D31" s="2321"/>
      <c r="E31" s="1428"/>
      <c r="F31" s="1428"/>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1997</v>
      </c>
      <c r="B32" s="723">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1998</v>
      </c>
      <c r="B33" s="724">
        <v>0.05</v>
      </c>
      <c r="C33" s="1763" t="s">
        <v>1999</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2000</v>
      </c>
      <c r="B34" s="122">
        <v>0.1</v>
      </c>
      <c r="C34" s="1763" t="s">
        <v>2001</v>
      </c>
      <c r="D34" s="2276" t="s">
        <v>2002</v>
      </c>
      <c r="E34" s="730"/>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2003</v>
      </c>
      <c r="B35" s="119">
        <v>200</v>
      </c>
      <c r="C35" s="1763" t="s">
        <v>2004</v>
      </c>
      <c r="D35" s="2321"/>
      <c r="E35" s="1428"/>
      <c r="F35" s="1428"/>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2005</v>
      </c>
      <c r="B36" s="123">
        <v>1.4999999999999999E-2</v>
      </c>
      <c r="C36" s="1763" t="s">
        <v>2006</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2007</v>
      </c>
      <c r="B37" s="124">
        <v>0.03</v>
      </c>
      <c r="C37" s="1763" t="s">
        <v>2008</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2009</v>
      </c>
      <c r="B38" s="122">
        <v>0.03</v>
      </c>
      <c r="C38" s="1763" t="s">
        <v>2008</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2010</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2011</v>
      </c>
      <c r="B40" s="1301">
        <f ca="1">存贷款利率!G1</f>
        <v>4.7500000000000001E-2</v>
      </c>
      <c r="C40" s="1763" t="s">
        <v>2012</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2013</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2014</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2015</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2016</v>
      </c>
      <c r="B44" s="128">
        <v>7.0000000000000007E-2</v>
      </c>
      <c r="C44" s="1763" t="s">
        <v>2017</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2018</v>
      </c>
      <c r="B45" s="126">
        <v>0.03</v>
      </c>
      <c r="C45" s="1764" t="s">
        <v>2019</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2020</v>
      </c>
      <c r="B46" s="126">
        <v>0.02</v>
      </c>
      <c r="C46" s="1764" t="s">
        <v>2021</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2022</v>
      </c>
      <c r="B47" s="129">
        <v>0</v>
      </c>
      <c r="C47" s="1764" t="s">
        <v>2023</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2024</v>
      </c>
      <c r="B48" s="130">
        <v>0.03</v>
      </c>
      <c r="C48" s="1771" t="s">
        <v>2025</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2026</v>
      </c>
      <c r="B49" s="126">
        <v>5.0000000000000001E-4</v>
      </c>
      <c r="C49" s="1771" t="s">
        <v>2027</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2028</v>
      </c>
      <c r="B50" s="131">
        <v>1.2E-2</v>
      </c>
      <c r="C50" s="1428"/>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2029</v>
      </c>
      <c r="B51" s="132">
        <v>0.12</v>
      </c>
      <c r="C51" s="1428"/>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2030</v>
      </c>
      <c r="B52" s="133">
        <f>SUMIF(A54:A63,B53,B54:B63)</f>
        <v>30</v>
      </c>
      <c r="C52" s="1428"/>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2031</v>
      </c>
      <c r="B53" s="2334" t="s">
        <v>212</v>
      </c>
      <c r="C53" s="1428" t="s">
        <v>2032</v>
      </c>
      <c r="D53" s="2335" t="s">
        <v>2033</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2034</v>
      </c>
      <c r="B54" s="84">
        <v>30</v>
      </c>
      <c r="C54" s="1428">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2035</v>
      </c>
      <c r="B55" s="84"/>
      <c r="C55" s="1428">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2036</v>
      </c>
      <c r="B56" s="84"/>
      <c r="C56" s="1428">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2037</v>
      </c>
      <c r="B57" s="84"/>
      <c r="C57" s="1428">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2038</v>
      </c>
      <c r="B58" s="84"/>
      <c r="C58" s="1428">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2039</v>
      </c>
      <c r="B59" s="84"/>
      <c r="C59" s="1428">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2040</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2041</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2042</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2043</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8" t="s">
        <v>2044</v>
      </c>
      <c r="B1" s="3069"/>
      <c r="C1" s="3069"/>
      <c r="D1" s="3069"/>
      <c r="E1" s="3069"/>
      <c r="F1" s="3069"/>
      <c r="G1" s="306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2045</v>
      </c>
      <c r="D2" s="2364"/>
      <c r="E2" s="2365"/>
      <c r="F2" s="2284"/>
      <c r="G2" s="2363" t="s">
        <v>2046</v>
      </c>
      <c r="H2" s="2366"/>
      <c r="I2" s="2366"/>
      <c r="J2" s="2366"/>
      <c r="K2" s="2366"/>
      <c r="L2" s="2366"/>
      <c r="M2" s="2366"/>
      <c r="N2" s="2366"/>
      <c r="O2" s="2366"/>
      <c r="P2" s="2366"/>
      <c r="Q2" s="2366"/>
      <c r="R2" s="2366"/>
    </row>
    <row r="3" spans="1:29" ht="27">
      <c r="A3" s="415" t="s">
        <v>2047</v>
      </c>
      <c r="B3" s="1269" t="s">
        <v>2048</v>
      </c>
      <c r="C3" s="2368"/>
      <c r="D3" s="2369"/>
      <c r="E3" s="431" t="s">
        <v>2047</v>
      </c>
      <c r="F3" s="2370" t="s">
        <v>2049</v>
      </c>
      <c r="G3" s="2371"/>
      <c r="H3" s="2366"/>
      <c r="I3" s="2366"/>
      <c r="J3" s="2366"/>
      <c r="K3" s="2366"/>
      <c r="L3" s="2366"/>
      <c r="M3" s="2366"/>
      <c r="N3" s="2366"/>
      <c r="O3" s="2366"/>
      <c r="P3" s="2366"/>
      <c r="Q3" s="2366"/>
      <c r="R3" s="2366"/>
    </row>
    <row r="4" spans="1:29" ht="40.5">
      <c r="A4" s="431"/>
      <c r="B4" s="1795" t="s">
        <v>2050</v>
      </c>
      <c r="C4" s="2965" t="s">
        <v>3082</v>
      </c>
      <c r="D4" s="2369"/>
      <c r="E4" s="2373"/>
      <c r="F4" s="42" t="s">
        <v>2051</v>
      </c>
      <c r="G4" s="2374"/>
      <c r="H4" s="2366"/>
      <c r="I4" s="2366"/>
      <c r="J4" s="2366"/>
      <c r="K4" s="2366"/>
      <c r="L4" s="2366"/>
      <c r="M4" s="2366"/>
      <c r="N4" s="2366"/>
      <c r="O4" s="2366"/>
      <c r="P4" s="2366"/>
      <c r="Q4" s="2366"/>
      <c r="R4" s="2366"/>
    </row>
    <row r="5" spans="1:29" ht="15">
      <c r="A5" s="431"/>
      <c r="B5" s="1795" t="s">
        <v>2052</v>
      </c>
      <c r="C5" s="2372"/>
      <c r="D5" s="2369"/>
      <c r="E5" s="2373"/>
      <c r="F5" s="1795" t="s">
        <v>2053</v>
      </c>
      <c r="G5" s="2374"/>
      <c r="H5" s="2366"/>
      <c r="I5" s="2366"/>
      <c r="J5" s="2366"/>
      <c r="K5" s="2366"/>
      <c r="L5" s="2366"/>
      <c r="M5" s="2366"/>
      <c r="N5" s="2366"/>
      <c r="O5" s="2366"/>
      <c r="P5" s="2366"/>
      <c r="Q5" s="2366"/>
      <c r="R5" s="2366"/>
    </row>
    <row r="6" spans="1:29" ht="54">
      <c r="A6" s="431"/>
      <c r="B6" s="1795" t="s">
        <v>2054</v>
      </c>
      <c r="C6" s="2966" t="s">
        <v>3084</v>
      </c>
      <c r="D6" s="2369"/>
      <c r="E6" s="2373"/>
      <c r="F6" s="1795" t="s">
        <v>2055</v>
      </c>
      <c r="G6" s="2374"/>
      <c r="H6" s="2366"/>
      <c r="I6" s="2366"/>
      <c r="J6" s="2366"/>
      <c r="K6" s="2366"/>
      <c r="L6" s="2366"/>
      <c r="M6" s="2366"/>
      <c r="N6" s="2366"/>
      <c r="O6" s="2366"/>
      <c r="P6" s="2366"/>
      <c r="Q6" s="2366"/>
      <c r="R6" s="2366"/>
    </row>
    <row r="7" spans="1:29" ht="27.75" thickBot="1">
      <c r="A7" s="431"/>
      <c r="B7" s="1795" t="s">
        <v>2053</v>
      </c>
      <c r="C7" s="2966" t="s">
        <v>3086</v>
      </c>
      <c r="D7" s="2375"/>
      <c r="E7" s="2376"/>
      <c r="F7" s="2377" t="s">
        <v>2056</v>
      </c>
      <c r="G7" s="2378"/>
      <c r="H7" s="2366"/>
      <c r="I7" s="2366"/>
      <c r="J7" s="2366"/>
      <c r="K7" s="2366"/>
      <c r="L7" s="2366"/>
      <c r="M7" s="2366"/>
      <c r="N7" s="2366"/>
      <c r="O7" s="2366"/>
      <c r="P7" s="2366"/>
      <c r="Q7" s="2366"/>
      <c r="R7" s="2366"/>
    </row>
    <row r="8" spans="1:29" ht="27">
      <c r="A8" s="431"/>
      <c r="B8" s="1795" t="s">
        <v>2055</v>
      </c>
      <c r="C8" s="2966" t="s">
        <v>3088</v>
      </c>
      <c r="D8" s="2375"/>
      <c r="E8" s="2375"/>
      <c r="F8" s="1134"/>
      <c r="G8" s="1134"/>
      <c r="H8" s="2366"/>
      <c r="I8" s="2366"/>
      <c r="J8" s="2366"/>
      <c r="K8" s="2366"/>
      <c r="L8" s="2366"/>
      <c r="M8" s="2366"/>
      <c r="N8" s="2366"/>
      <c r="O8" s="2366"/>
      <c r="P8" s="2366"/>
      <c r="Q8" s="2366"/>
      <c r="R8" s="2366"/>
    </row>
    <row r="9" spans="1:29" ht="27">
      <c r="A9" s="431"/>
      <c r="B9" s="1795" t="s">
        <v>2057</v>
      </c>
      <c r="C9" s="2965" t="s">
        <v>3090</v>
      </c>
      <c r="D9" s="2369"/>
      <c r="E9" s="2375"/>
      <c r="F9" s="1134"/>
      <c r="G9" s="1134"/>
      <c r="H9" s="2366"/>
      <c r="I9" s="2366"/>
      <c r="J9" s="2366"/>
      <c r="K9" s="2366"/>
      <c r="L9" s="2366"/>
      <c r="M9" s="2366"/>
      <c r="N9" s="2366"/>
      <c r="O9" s="2366"/>
      <c r="P9" s="2366"/>
      <c r="Q9" s="2366"/>
      <c r="R9" s="2366"/>
    </row>
    <row r="10" spans="1:29" s="117" customFormat="1" ht="15.75" thickBot="1">
      <c r="A10" s="2379"/>
      <c r="B10" s="2380" t="s">
        <v>2058</v>
      </c>
      <c r="C10" s="2381" t="s">
        <v>3091</v>
      </c>
      <c r="D10" s="2369"/>
      <c r="E10" s="2369"/>
      <c r="F10" s="1134"/>
      <c r="G10" s="1134"/>
      <c r="H10" s="2382"/>
      <c r="I10" s="2383"/>
      <c r="J10" s="2384"/>
      <c r="K10" s="2382"/>
      <c r="L10" s="2366"/>
      <c r="M10" s="2366"/>
      <c r="N10" s="2366"/>
      <c r="O10" s="2366"/>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66"/>
      <c r="M11" s="2366"/>
      <c r="N11" s="2366"/>
      <c r="O11" s="2366"/>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66"/>
      <c r="M12" s="2366"/>
      <c r="N12" s="2366"/>
      <c r="O12" s="2366"/>
      <c r="P12" s="2389"/>
      <c r="Q12" s="2389"/>
      <c r="R12" s="2358"/>
      <c r="S12" s="2359"/>
      <c r="T12" s="2359"/>
      <c r="U12" s="2359"/>
      <c r="V12" s="2359"/>
      <c r="W12" s="2359"/>
      <c r="X12" s="2359"/>
      <c r="Y12" s="2359"/>
      <c r="Z12" s="2359"/>
      <c r="AA12" s="2359"/>
      <c r="AB12" s="2359"/>
      <c r="AC12" s="2359"/>
    </row>
    <row r="13" spans="1:29" ht="19.5" thickBot="1">
      <c r="A13" s="2390" t="s">
        <v>2059</v>
      </c>
      <c r="B13" s="2386"/>
      <c r="C13" s="2386"/>
      <c r="D13" s="2391"/>
      <c r="E13" s="2386"/>
      <c r="F13" s="2386"/>
      <c r="G13" s="2386"/>
      <c r="L13" s="2366"/>
      <c r="M13" s="2366"/>
      <c r="N13" s="2366"/>
      <c r="O13" s="2366"/>
    </row>
    <row r="14" spans="1:29" ht="15.75" thickBot="1">
      <c r="A14" s="2395"/>
      <c r="B14" s="2396"/>
      <c r="C14" s="2397" t="s">
        <v>2060</v>
      </c>
      <c r="D14" s="2369"/>
      <c r="E14" s="2398"/>
      <c r="F14" s="2398"/>
      <c r="G14" s="2363" t="s">
        <v>2061</v>
      </c>
      <c r="L14" s="2366"/>
      <c r="M14" s="2366"/>
      <c r="N14" s="2366"/>
      <c r="O14" s="2366"/>
    </row>
    <row r="15" spans="1:29" ht="27">
      <c r="A15" s="68" t="s">
        <v>2062</v>
      </c>
      <c r="B15" s="1268" t="s">
        <v>2048</v>
      </c>
      <c r="C15" s="2399">
        <f>C3</f>
        <v>0</v>
      </c>
      <c r="D15" s="2369"/>
      <c r="E15" s="2400" t="s">
        <v>2063</v>
      </c>
      <c r="F15" s="1268" t="s">
        <v>2064</v>
      </c>
      <c r="G15" s="135">
        <f>G3</f>
        <v>0</v>
      </c>
      <c r="L15" s="2366"/>
      <c r="M15" s="2366"/>
      <c r="N15" s="2366"/>
      <c r="O15" s="2366"/>
    </row>
    <row r="16" spans="1:29" ht="42.75">
      <c r="A16" s="645"/>
      <c r="B16" s="2401" t="s">
        <v>2050</v>
      </c>
      <c r="C16" s="2402" t="str">
        <f>C4</f>
        <v>估价对象位于东大桥商圈，周边商业氛围较成熟，人流量较大，商业繁华度较好</v>
      </c>
      <c r="D16" s="2369"/>
      <c r="E16" s="2403"/>
      <c r="F16" s="2404" t="s">
        <v>2051</v>
      </c>
      <c r="G16" s="136">
        <f>G4</f>
        <v>0</v>
      </c>
    </row>
    <row r="17" spans="1:18" ht="15">
      <c r="A17" s="645"/>
      <c r="B17" s="2401" t="s">
        <v>2052</v>
      </c>
      <c r="C17" s="2402">
        <f>C5</f>
        <v>0</v>
      </c>
      <c r="D17" s="2375"/>
      <c r="E17" s="2403"/>
      <c r="F17" s="2404" t="s">
        <v>2065</v>
      </c>
      <c r="G17" s="1569"/>
    </row>
    <row r="18" spans="1:18" ht="57">
      <c r="A18" s="645"/>
      <c r="B18" s="2404" t="s">
        <v>2054</v>
      </c>
      <c r="C18" s="136" t="str">
        <f>C6</f>
        <v>估价对象周边道路状况较好、公共交通通达情况较好、停车便捷程度较好，综合评价交通便捷度较好</v>
      </c>
      <c r="D18" s="2375"/>
      <c r="E18" s="2403"/>
      <c r="F18" s="2404" t="s">
        <v>2056</v>
      </c>
      <c r="G18" s="136">
        <f>G7</f>
        <v>0</v>
      </c>
    </row>
    <row r="19" spans="1:18" ht="15">
      <c r="A19" s="645"/>
      <c r="B19" s="2404" t="s">
        <v>2066</v>
      </c>
      <c r="C19" s="2967" t="s">
        <v>3092</v>
      </c>
      <c r="D19" s="2369"/>
      <c r="E19" s="2403"/>
      <c r="F19" s="1795" t="s">
        <v>2053</v>
      </c>
      <c r="G19" s="136">
        <f>G5</f>
        <v>0</v>
      </c>
    </row>
    <row r="20" spans="1:18" ht="28.5">
      <c r="A20" s="645"/>
      <c r="B20" s="2404" t="s">
        <v>2067</v>
      </c>
      <c r="C20" s="2402" t="str">
        <f>C9</f>
        <v>区域自然环境及人文环境较好；综合评价环境状况较好</v>
      </c>
      <c r="D20" s="2375"/>
      <c r="E20" s="2403"/>
      <c r="F20" s="1795" t="s">
        <v>2068</v>
      </c>
      <c r="G20" s="136">
        <f>G6</f>
        <v>0</v>
      </c>
    </row>
    <row r="21" spans="1:18" ht="28.5">
      <c r="A21" s="645"/>
      <c r="B21" s="1795" t="s">
        <v>2053</v>
      </c>
      <c r="C21" s="136" t="str">
        <f>C7</f>
        <v>估价对象所在区域公共配套设施齐备情况较好</v>
      </c>
      <c r="D21" s="2369"/>
      <c r="E21" s="2403"/>
      <c r="F21" s="2404" t="s">
        <v>2069</v>
      </c>
      <c r="G21" s="2405"/>
    </row>
    <row r="22" spans="1:18" ht="13.5" customHeight="1">
      <c r="A22" s="645"/>
      <c r="B22" s="1795" t="s">
        <v>2055</v>
      </c>
      <c r="C22" s="136" t="str">
        <f>C8</f>
        <v>估价对象所在区域基础设施水平较好</v>
      </c>
      <c r="D22" s="2369"/>
      <c r="E22" s="2403"/>
      <c r="F22" s="2404" t="s">
        <v>2058</v>
      </c>
      <c r="G22" s="1569"/>
    </row>
    <row r="23" spans="1:18" s="2366" customFormat="1" ht="15.75" thickBot="1">
      <c r="A23" s="645"/>
      <c r="B23" s="2404" t="s">
        <v>2069</v>
      </c>
      <c r="C23" s="2405" t="s">
        <v>3018</v>
      </c>
      <c r="D23" s="2392"/>
      <c r="E23" s="2406"/>
      <c r="F23" s="2407" t="s">
        <v>2070</v>
      </c>
      <c r="G23" s="2408"/>
      <c r="H23" s="2392"/>
      <c r="I23" s="2393"/>
      <c r="J23" s="2392"/>
      <c r="K23" s="2392"/>
      <c r="L23" s="2393"/>
      <c r="M23" s="2392"/>
      <c r="N23" s="2392"/>
      <c r="O23" s="2393"/>
      <c r="P23" s="2392"/>
      <c r="Q23" s="2392"/>
      <c r="R23" s="2394"/>
    </row>
    <row r="24" spans="1:18" s="2366" customFormat="1" ht="15.75" thickBot="1">
      <c r="A24" s="2409"/>
      <c r="B24" s="2407" t="s">
        <v>2071</v>
      </c>
      <c r="C24" s="137" t="str">
        <f>C10</f>
        <v>城市次干道-朝外北街</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5" sqref="I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2188.58</v>
      </c>
      <c r="C1" s="1742"/>
      <c r="D1" s="1742"/>
      <c r="E1" s="1742"/>
      <c r="F1" s="1742"/>
      <c r="G1" s="1740"/>
    </row>
    <row r="2" spans="1:10" ht="16.5">
      <c r="A2" s="1743" t="s">
        <v>1349</v>
      </c>
      <c r="B2" s="1743">
        <f>SUM(C14:C23)</f>
        <v>546.38</v>
      </c>
      <c r="C2" s="1742"/>
      <c r="D2" s="1742"/>
      <c r="E2" s="1742"/>
      <c r="F2" s="1742"/>
      <c r="G2" s="1740"/>
    </row>
    <row r="3" spans="1:10" ht="16.5">
      <c r="A3" s="1743" t="s">
        <v>1358</v>
      </c>
      <c r="B3" s="1744">
        <f>项目基本情况!D3</f>
        <v>43382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6510</v>
      </c>
      <c r="C5" s="1743">
        <f ca="1">ROUND(B5*10000/$B$1,0)</f>
        <v>29745</v>
      </c>
      <c r="D5" s="1743">
        <f ca="1">ROUND(B5*10000/$B$2,0)</f>
        <v>119148</v>
      </c>
      <c r="E5" s="1742"/>
      <c r="F5" s="1740"/>
      <c r="G5" s="1740"/>
    </row>
    <row r="6" spans="1:10" ht="16.5">
      <c r="A6" s="1743" t="s">
        <v>1352</v>
      </c>
      <c r="B6" s="1743">
        <f ca="1">SUM(G14:G23)</f>
        <v>6510</v>
      </c>
      <c r="C6" s="1743">
        <f ca="1">ROUND(B6*10000/$B$1,0)</f>
        <v>29745</v>
      </c>
      <c r="D6" s="1743">
        <f ca="1">ROUND(B6*10000/$B$2,0)</f>
        <v>119148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2188.58</v>
      </c>
      <c r="C14" s="1741">
        <f>结果表!C118</f>
        <v>546.38</v>
      </c>
      <c r="D14" s="1741">
        <f ca="1">结果表!H118</f>
        <v>6510</v>
      </c>
      <c r="E14" s="1741">
        <f ca="1">ROUND(D14*10000/B14,0)</f>
        <v>29745</v>
      </c>
      <c r="F14" s="1741">
        <f ca="1">ROUND(D14*10000/C14,0)</f>
        <v>119148</v>
      </c>
      <c r="G14" s="1741">
        <f ca="1">结果表!D122</f>
        <v>6510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0" zoomScale="80" zoomScaleNormal="100" zoomScaleSheetLayoutView="80" zoomScalePageLayoutView="80" workbookViewId="0">
      <selection activeCell="F24" sqref="F24"/>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3" t="s">
        <v>2072</v>
      </c>
      <c r="B1" s="2415"/>
      <c r="C1" s="2416"/>
      <c r="D1" s="2415"/>
      <c r="E1" s="2415"/>
      <c r="F1" s="2417" t="s">
        <v>2073</v>
      </c>
      <c r="G1" s="2068" t="s">
        <v>3000</v>
      </c>
      <c r="H1" s="2418" t="str">
        <f>IF(G1="现房","——","估价对象范围")</f>
        <v>——</v>
      </c>
      <c r="I1" s="2419" t="s">
        <v>3063</v>
      </c>
    </row>
    <row r="2" spans="1:12" ht="21.75" customHeight="1" thickBot="1">
      <c r="A2" s="3142" t="str">
        <f>项目基本情况!S2</f>
        <v>北京市朝阳区吉庆里9号、10号楼房地产</v>
      </c>
      <c r="B2" s="3143"/>
      <c r="C2" s="3143"/>
      <c r="D2" s="3143"/>
      <c r="E2" s="3143"/>
      <c r="F2" s="3143"/>
      <c r="G2" s="3143"/>
      <c r="H2" s="3143"/>
      <c r="I2" s="3144"/>
    </row>
    <row r="3" spans="1:12" ht="12.75">
      <c r="A3" s="3145" t="s">
        <v>2074</v>
      </c>
      <c r="B3" s="3146"/>
      <c r="C3" s="3146"/>
      <c r="D3" s="3146"/>
      <c r="E3" s="3146"/>
      <c r="F3" s="3146"/>
      <c r="G3" s="3146"/>
      <c r="H3" s="3146"/>
      <c r="I3" s="3146"/>
    </row>
    <row r="4" spans="1:12" ht="14.25">
      <c r="A4" s="2422" t="s">
        <v>2075</v>
      </c>
      <c r="B4" s="2423" t="s">
        <v>2076</v>
      </c>
      <c r="C4" s="2424" t="s">
        <v>3123</v>
      </c>
      <c r="D4" s="2424" t="s">
        <v>3009</v>
      </c>
      <c r="E4" s="3126" t="s">
        <v>2077</v>
      </c>
      <c r="F4" s="3139"/>
      <c r="G4" s="3139"/>
      <c r="H4" s="3139"/>
      <c r="I4" s="312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7" t="s">
        <v>2078</v>
      </c>
      <c r="B5" s="3043">
        <v>25</v>
      </c>
      <c r="C5" s="3147"/>
      <c r="D5" s="3135"/>
      <c r="E5" s="140" t="s">
        <v>2079</v>
      </c>
      <c r="F5" s="2426"/>
      <c r="G5" s="2426"/>
      <c r="H5" s="2426"/>
      <c r="I5" s="1831"/>
    </row>
    <row r="6" spans="1:12" ht="12.75">
      <c r="A6" s="3117"/>
      <c r="B6" s="3043"/>
      <c r="C6" s="3149"/>
      <c r="D6" s="3135"/>
      <c r="E6" s="140" t="s">
        <v>2080</v>
      </c>
      <c r="F6" s="2426"/>
      <c r="G6" s="2426"/>
      <c r="H6" s="2426"/>
      <c r="I6" s="1831"/>
    </row>
    <row r="7" spans="1:12" ht="12.75">
      <c r="A7" s="3117"/>
      <c r="B7" s="3043"/>
      <c r="C7" s="3148"/>
      <c r="D7" s="3135"/>
      <c r="E7" s="140" t="s">
        <v>2081</v>
      </c>
      <c r="F7" s="2426"/>
      <c r="G7" s="2426"/>
      <c r="H7" s="2426"/>
      <c r="I7" s="1831"/>
    </row>
    <row r="8" spans="1:12" ht="12.75">
      <c r="A8" s="3117" t="s">
        <v>2082</v>
      </c>
      <c r="B8" s="3043">
        <v>15</v>
      </c>
      <c r="C8" s="3147"/>
      <c r="D8" s="3135"/>
      <c r="E8" s="140" t="s">
        <v>2083</v>
      </c>
      <c r="F8" s="2426"/>
      <c r="G8" s="2426"/>
      <c r="H8" s="2426"/>
      <c r="I8" s="1831"/>
    </row>
    <row r="9" spans="1:12" ht="12.75">
      <c r="A9" s="3117"/>
      <c r="B9" s="3043"/>
      <c r="C9" s="3148"/>
      <c r="D9" s="3135"/>
      <c r="E9" s="140" t="s">
        <v>2084</v>
      </c>
      <c r="F9" s="2426"/>
      <c r="G9" s="2426"/>
      <c r="H9" s="2426"/>
      <c r="I9" s="1831"/>
    </row>
    <row r="10" spans="1:12" ht="12.75">
      <c r="A10" s="3117" t="s">
        <v>2085</v>
      </c>
      <c r="B10" s="3043">
        <v>15</v>
      </c>
      <c r="C10" s="3147"/>
      <c r="D10" s="3135"/>
      <c r="E10" s="140" t="s">
        <v>2086</v>
      </c>
      <c r="F10" s="2426"/>
      <c r="G10" s="2426"/>
      <c r="H10" s="2426"/>
      <c r="I10" s="1831"/>
    </row>
    <row r="11" spans="1:12" ht="12.75">
      <c r="A11" s="3117"/>
      <c r="B11" s="3043"/>
      <c r="C11" s="3148"/>
      <c r="D11" s="3135"/>
      <c r="E11" s="140" t="s">
        <v>2087</v>
      </c>
      <c r="F11" s="2426"/>
      <c r="G11" s="2426"/>
      <c r="H11" s="2426"/>
      <c r="I11" s="1831"/>
    </row>
    <row r="12" spans="1:12" ht="12.75">
      <c r="A12" s="3117" t="s">
        <v>2088</v>
      </c>
      <c r="B12" s="3043">
        <v>15</v>
      </c>
      <c r="C12" s="3147"/>
      <c r="D12" s="3135"/>
      <c r="E12" s="140" t="s">
        <v>2089</v>
      </c>
      <c r="F12" s="2426"/>
      <c r="G12" s="2426"/>
      <c r="H12" s="2426"/>
      <c r="I12" s="1831"/>
    </row>
    <row r="13" spans="1:12" ht="12.75">
      <c r="A13" s="3117"/>
      <c r="B13" s="3043"/>
      <c r="C13" s="3148"/>
      <c r="D13" s="3135"/>
      <c r="E13" s="140" t="s">
        <v>2090</v>
      </c>
      <c r="F13" s="2426"/>
      <c r="G13" s="2426"/>
      <c r="H13" s="2426"/>
      <c r="I13" s="1831"/>
    </row>
    <row r="14" spans="1:12" ht="12.75">
      <c r="A14" s="3117" t="s">
        <v>2091</v>
      </c>
      <c r="B14" s="3043">
        <v>30</v>
      </c>
      <c r="C14" s="3147">
        <v>4</v>
      </c>
      <c r="D14" s="3135">
        <v>6</v>
      </c>
      <c r="E14" s="140" t="s">
        <v>2092</v>
      </c>
      <c r="F14" s="2426"/>
      <c r="G14" s="2426"/>
      <c r="H14" s="2426"/>
      <c r="I14" s="1831"/>
    </row>
    <row r="15" spans="1:12" ht="12.75">
      <c r="A15" s="3117"/>
      <c r="B15" s="3043"/>
      <c r="C15" s="3149"/>
      <c r="D15" s="3135"/>
      <c r="E15" s="140" t="s">
        <v>2093</v>
      </c>
      <c r="F15" s="2426"/>
      <c r="G15" s="2426"/>
      <c r="H15" s="2426"/>
      <c r="I15" s="1831"/>
    </row>
    <row r="16" spans="1:12" ht="12.75">
      <c r="A16" s="3117"/>
      <c r="B16" s="3043"/>
      <c r="C16" s="3148"/>
      <c r="D16" s="3135"/>
      <c r="E16" s="140" t="s">
        <v>2094</v>
      </c>
      <c r="F16" s="2426"/>
      <c r="G16" s="2426"/>
      <c r="H16" s="2426"/>
      <c r="I16" s="1831"/>
    </row>
    <row r="17" spans="1:35" ht="15">
      <c r="A17" s="2427" t="s">
        <v>2095</v>
      </c>
      <c r="B17" s="64"/>
      <c r="C17" s="141">
        <f>SUM(C5:C16)</f>
        <v>4</v>
      </c>
      <c r="D17" s="141">
        <f>SUM(D5:D16)</f>
        <v>6</v>
      </c>
      <c r="E17" s="138"/>
      <c r="F17" s="138"/>
      <c r="G17" s="138"/>
      <c r="H17" s="138"/>
      <c r="I17" s="138"/>
      <c r="K17" s="2425"/>
      <c r="L17" s="2428" t="s">
        <v>2096</v>
      </c>
      <c r="M17" s="2428" t="s">
        <v>2097</v>
      </c>
    </row>
    <row r="18" spans="1:35" ht="15.75" thickBot="1">
      <c r="A18" s="2429" t="s">
        <v>2098</v>
      </c>
      <c r="B18" s="2430"/>
      <c r="C18" s="142">
        <f>ROUND(C17/SUM(C17:D17),2)</f>
        <v>0.4</v>
      </c>
      <c r="D18" s="142">
        <f>1-C18</f>
        <v>0.6</v>
      </c>
      <c r="E18" s="138"/>
      <c r="F18" s="138"/>
      <c r="G18" s="138"/>
      <c r="H18" s="138"/>
      <c r="I18" s="138"/>
      <c r="K18" s="2425" t="s">
        <v>2099</v>
      </c>
      <c r="L18" s="2425">
        <f>IF(C1="",'数据-汇总表'!E3,SUMIF(项目类型,C1,'数据-汇总表'!E17:E26)+SUMIF(项目类型,C1,'数据-汇总表'!I17:I26))</f>
        <v>2188.58</v>
      </c>
      <c r="M18" s="2425">
        <f>IF(C1="",'数据-汇总表'!E3,SUMIF(项目类型,C1,'数据-汇总表'!E17:E26))</f>
        <v>2188.58</v>
      </c>
    </row>
    <row r="19" spans="1:35" ht="15">
      <c r="A19" s="2431" t="s">
        <v>2100</v>
      </c>
      <c r="B19" s="2432" t="s">
        <v>2101</v>
      </c>
      <c r="C19" s="143">
        <f ca="1">SUMIF(INDIRECT("'"&amp;C4&amp;"'"&amp;"!A:A"),结果表!B19,INDIRECT("'"&amp;C4&amp;"'"&amp;"!B:B"))</f>
        <v>9016</v>
      </c>
      <c r="D19" s="144">
        <f ca="1">SUMIF(INDIRECT("'"&amp;D4&amp;"'"&amp;"!A:A"),结果表!B19,INDIRECT("'"&amp;D4&amp;"'"&amp;"!B:B"))</f>
        <v>4840</v>
      </c>
      <c r="E19" s="2431" t="s">
        <v>2102</v>
      </c>
      <c r="F19" s="2432" t="s">
        <v>2101</v>
      </c>
      <c r="G19" s="145">
        <f ca="1">ROUND(C19*$C$18+D19*$D$18,0)</f>
        <v>6510</v>
      </c>
      <c r="H19" s="2433" t="s">
        <v>2103</v>
      </c>
      <c r="I19" s="138"/>
      <c r="K19" s="2425" t="s">
        <v>2104</v>
      </c>
      <c r="L19" s="2425">
        <f>IF(C1="",'数据-汇总表'!D3,SUMIF(项目类型,C1,'数据-汇总表'!D17:D26)+SUMIF(项目类型,C1,'数据-汇总表'!H17:H27))</f>
        <v>546.38</v>
      </c>
      <c r="M19" s="2425">
        <f>IF(C1="",'数据-汇总表'!D3,SUMIF(项目类型,C1,'数据-汇总表'!D17:D26))</f>
        <v>546.38</v>
      </c>
    </row>
    <row r="20" spans="1:35" ht="15">
      <c r="A20" s="2434"/>
      <c r="B20" s="1248" t="s">
        <v>2105</v>
      </c>
      <c r="C20" s="146">
        <f ca="1">SUMIF(INDIRECT("'"&amp;C4&amp;"'"&amp;"!A:A"),结果表!B20,INDIRECT("'"&amp;C4&amp;"'"&amp;"!B:B"))</f>
        <v>41196</v>
      </c>
      <c r="D20" s="147">
        <f ca="1">SUMIF(INDIRECT("'"&amp;D4&amp;"'"&amp;"!A:A"),结果表!B20,INDIRECT("'"&amp;D4&amp;"'"&amp;"!B:B"))</f>
        <v>22115</v>
      </c>
      <c r="E20" s="2434"/>
      <c r="F20" s="1248" t="s">
        <v>2105</v>
      </c>
      <c r="G20" s="148">
        <f ca="1">ROUND(C20*$C$18+D20*$D$18,0)</f>
        <v>29747</v>
      </c>
      <c r="H20" s="981" t="s">
        <v>2106</v>
      </c>
      <c r="I20" s="138"/>
    </row>
    <row r="21" spans="1:35" ht="15" customHeight="1" thickBot="1">
      <c r="A21" s="1001"/>
      <c r="B21" s="2435" t="s">
        <v>2107</v>
      </c>
      <c r="C21" s="787">
        <f ca="1">ROUND(C19*10000/L19,0)</f>
        <v>165013</v>
      </c>
      <c r="D21" s="788">
        <f ca="1">ROUND(D19*10000/L19,0)</f>
        <v>88583</v>
      </c>
      <c r="E21" s="1001"/>
      <c r="F21" s="2435" t="s">
        <v>2107</v>
      </c>
      <c r="G21" s="149">
        <f ca="1">ROUND(G19*10000/L19,0)</f>
        <v>119148</v>
      </c>
      <c r="H21" s="2436" t="s">
        <v>2106</v>
      </c>
      <c r="I21" s="138"/>
    </row>
    <row r="22" spans="1:35" ht="15" thickBot="1">
      <c r="A22" s="2279" t="s">
        <v>2108</v>
      </c>
      <c r="B22" s="2437"/>
      <c r="C22" s="2438"/>
      <c r="D22" s="789">
        <f ca="1">IF(C19&lt;D19,D19/C19-1,C19/D19-1)</f>
        <v>0.86280991735537182</v>
      </c>
      <c r="E22" s="138"/>
      <c r="F22" s="138"/>
      <c r="G22" s="138"/>
      <c r="H22" s="138"/>
      <c r="I22" s="138"/>
    </row>
    <row r="23" spans="1:35" ht="13.5" thickBot="1">
      <c r="A23" s="2415"/>
      <c r="B23" s="2415"/>
      <c r="C23" s="2415"/>
      <c r="D23" s="2415"/>
      <c r="E23" s="138"/>
      <c r="F23" s="138"/>
      <c r="G23" s="138"/>
      <c r="H23" s="138"/>
      <c r="I23" s="138"/>
    </row>
    <row r="24" spans="1:35" ht="14.25">
      <c r="A24" s="3156" t="s">
        <v>2109</v>
      </c>
      <c r="B24" s="2432" t="s">
        <v>2101</v>
      </c>
      <c r="C24" s="145">
        <f>IF(B30=0,0,D30)</f>
        <v>0</v>
      </c>
      <c r="D24" s="2439"/>
      <c r="E24" s="138"/>
      <c r="F24" s="138"/>
      <c r="G24" s="138"/>
      <c r="H24" s="138"/>
      <c r="I24" s="138"/>
    </row>
    <row r="25" spans="1:35" ht="14.25">
      <c r="A25" s="3157"/>
      <c r="B25" s="1248" t="s">
        <v>2105</v>
      </c>
      <c r="C25" s="150">
        <f>IF(B30=0,0,C30)</f>
        <v>0</v>
      </c>
      <c r="D25" s="2440"/>
      <c r="E25" s="138"/>
      <c r="F25" s="138"/>
      <c r="G25" s="138"/>
      <c r="H25" s="138"/>
      <c r="I25" s="138"/>
    </row>
    <row r="26" spans="1:35" ht="13.5" customHeight="1">
      <c r="A26" s="2441" t="s">
        <v>2110</v>
      </c>
      <c r="B26" s="151" t="s">
        <v>2111</v>
      </c>
      <c r="C26" s="151" t="s">
        <v>2112</v>
      </c>
      <c r="D26" s="152" t="s">
        <v>2113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2114</v>
      </c>
      <c r="B30" s="151"/>
      <c r="C30" s="151"/>
      <c r="D30" s="151"/>
      <c r="E30" s="2924" t="s">
        <v>2984</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2115</v>
      </c>
      <c r="B32" s="2445"/>
      <c r="C32" s="153">
        <f ca="1">IF(D32="总价",G19-C24,G20-C25)</f>
        <v>6510</v>
      </c>
      <c r="D32" s="2446" t="s">
        <v>3062</v>
      </c>
      <c r="E32" s="138"/>
      <c r="F32" s="138"/>
      <c r="G32" s="138"/>
      <c r="H32" s="138"/>
      <c r="I32" s="138"/>
    </row>
    <row r="33" spans="1:15" ht="15">
      <c r="A33" s="958" t="s">
        <v>2116</v>
      </c>
      <c r="B33" s="2447"/>
      <c r="C33" s="2448" t="s">
        <v>3115</v>
      </c>
      <c r="D33" s="2449" t="s">
        <v>3009</v>
      </c>
      <c r="E33" s="2450" t="s">
        <v>2117</v>
      </c>
      <c r="F33" s="2451" t="str">
        <f>IF(D32="楼面单价","取值（单价）","取值（总价）")</f>
        <v>取值（总价）</v>
      </c>
      <c r="G33" s="138"/>
      <c r="H33" s="138"/>
      <c r="I33" s="138"/>
    </row>
    <row r="34" spans="1:15" ht="15">
      <c r="A34" s="2452"/>
      <c r="B34" s="2453" t="s">
        <v>2118</v>
      </c>
      <c r="C34" s="157">
        <f ca="1">IF(C33="自定义",F34,C32-C35)</f>
        <v>4948</v>
      </c>
      <c r="D34" s="1056">
        <f ca="1">IF(C33="自定义",ROUND(C34/C32,3),IF(C33="收益比率",SUMIF(INDIRECT("'"&amp;D33&amp;"'"&amp;"!b:b"),"土地收益比率",INDIRECT("'"&amp;D33&amp;"'"&amp;"!c:c")),SUMIF(INDIRECT("'"&amp;D33&amp;"'"&amp;"!b:b"),"土地成本比率",INDIRECT("'"&amp;D33&amp;"'"&amp;"!c:c"))))</f>
        <v>0.76</v>
      </c>
      <c r="E34" s="2454" t="s">
        <v>2119</v>
      </c>
      <c r="F34" s="1736"/>
      <c r="G34" s="138"/>
      <c r="H34" s="138"/>
      <c r="I34" s="138"/>
    </row>
    <row r="35" spans="1:15" ht="15.75" thickBot="1">
      <c r="A35" s="2455"/>
      <c r="B35" s="2456" t="s">
        <v>2120</v>
      </c>
      <c r="C35" s="1442">
        <f ca="1">IF(C33="自定义",F35,ROUND(C32*D35,0))</f>
        <v>1562</v>
      </c>
      <c r="D35" s="1443">
        <f ca="1">IF(C33="自定义",ROUND(C35/C32,3),IF(C33="收益比率",SUMIF(INDIRECT("'"&amp;D33&amp;"'"&amp;"!b:b"),"建筑物收益比率",INDIRECT("'"&amp;D33&amp;"'"&amp;"!c:c")),SUMIF(INDIRECT("'"&amp;D33&amp;"'"&amp;"!b:b"),"建筑物成本比率",INDIRECT("'"&amp;D33&amp;"'"&amp;"!c:c"))))</f>
        <v>0.24</v>
      </c>
      <c r="E35" s="2457" t="s">
        <v>2121</v>
      </c>
      <c r="F35" s="163"/>
      <c r="G35" s="138"/>
      <c r="H35" s="138"/>
      <c r="I35" s="138"/>
    </row>
    <row r="36" spans="1:15" ht="15.75" thickBot="1">
      <c r="A36" s="3136" t="s">
        <v>2122</v>
      </c>
      <c r="B36" s="2458" t="s">
        <v>2123</v>
      </c>
      <c r="C36" s="154"/>
      <c r="D36" s="2459"/>
      <c r="E36" s="2460"/>
      <c r="F36" s="2461"/>
      <c r="G36" s="138"/>
      <c r="H36" s="138"/>
      <c r="I36" s="138"/>
    </row>
    <row r="37" spans="1:15" ht="15.75" thickBot="1">
      <c r="A37" s="3137"/>
      <c r="B37" s="2265" t="s">
        <v>2124</v>
      </c>
      <c r="C37" s="156"/>
      <c r="D37" s="1393"/>
      <c r="E37" s="1393"/>
      <c r="F37" s="2461"/>
      <c r="G37" s="138"/>
      <c r="H37" s="138"/>
      <c r="I37" s="138"/>
    </row>
    <row r="38" spans="1:15" ht="15.75" thickBot="1">
      <c r="A38" s="3138"/>
      <c r="B38" s="2462" t="s">
        <v>2125</v>
      </c>
      <c r="C38" s="725"/>
      <c r="D38" s="2463" t="s">
        <v>2126</v>
      </c>
      <c r="E38" s="1393"/>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53" t="s">
        <v>2136</v>
      </c>
      <c r="B45" s="3154"/>
      <c r="C45" s="3155"/>
      <c r="D45" s="164">
        <f ca="1">ROUND(H101*F45,0)</f>
        <v>6510</v>
      </c>
      <c r="E45" s="165" t="s">
        <v>2137</v>
      </c>
      <c r="F45" s="166">
        <v>1</v>
      </c>
      <c r="G45" s="167" t="s">
        <v>2138</v>
      </c>
      <c r="H45" s="138"/>
      <c r="I45" s="138"/>
      <c r="J45" s="3072" t="s">
        <v>2139</v>
      </c>
      <c r="K45" s="3072"/>
      <c r="L45" s="3072"/>
      <c r="M45" s="3072"/>
      <c r="N45" s="3072"/>
      <c r="O45" s="3072"/>
    </row>
    <row r="46" spans="1:15" ht="14.25" customHeight="1">
      <c r="A46" s="3150" t="s">
        <v>2140</v>
      </c>
      <c r="B46" s="3151"/>
      <c r="C46" s="3151"/>
      <c r="D46" s="3151"/>
      <c r="E46" s="3151"/>
      <c r="F46" s="3151"/>
      <c r="G46" s="3152"/>
      <c r="H46" s="2477"/>
      <c r="I46" s="168"/>
      <c r="J46" s="1809">
        <v>1</v>
      </c>
      <c r="K46" s="3072" t="s">
        <v>2141</v>
      </c>
      <c r="L46" s="3072"/>
      <c r="M46" s="3073"/>
      <c r="N46" s="3073"/>
      <c r="O46" s="3073"/>
    </row>
    <row r="47" spans="1:15" ht="12" customHeight="1">
      <c r="A47" s="169" t="s">
        <v>2142</v>
      </c>
      <c r="B47" s="170"/>
      <c r="C47" s="171"/>
      <c r="D47" s="172" t="s">
        <v>2143</v>
      </c>
      <c r="E47" s="24" t="s">
        <v>2144</v>
      </c>
      <c r="F47" s="173" t="s">
        <v>2145</v>
      </c>
      <c r="G47" s="174" t="s">
        <v>2146</v>
      </c>
      <c r="H47" s="2477"/>
      <c r="I47" s="168"/>
      <c r="J47" s="1809">
        <v>2</v>
      </c>
      <c r="K47" s="3072" t="s">
        <v>2147</v>
      </c>
      <c r="L47" s="3072"/>
      <c r="M47" s="3074">
        <f>'数据-取费表'!B2</f>
        <v>43382</v>
      </c>
      <c r="N47" s="3074"/>
      <c r="O47" s="3074"/>
    </row>
    <row r="48" spans="1:15" ht="25.5">
      <c r="A48" s="3140" t="s">
        <v>2148</v>
      </c>
      <c r="B48" s="3141"/>
      <c r="C48" s="3141"/>
      <c r="D48" s="140">
        <f>IF(H48="情况1",0,IF(H48="情况2",D52,IF(H48="情况3",D53,IF(H48="情况4",D54))))</f>
        <v>0</v>
      </c>
      <c r="E48" s="1798" t="str">
        <f>IF(H48="情况4","(销售额-原购置价)×税（费）率","销售额×税（费）率")</f>
        <v>销售额×税（费）率</v>
      </c>
      <c r="F48" s="175" t="str">
        <f>IF(H48="情况1","免征",'数据-取费表'!B41)</f>
        <v>免征</v>
      </c>
      <c r="G48" s="2478" t="s">
        <v>2149</v>
      </c>
      <c r="H48" s="2479" t="s">
        <v>2150</v>
      </c>
      <c r="I48" s="2477"/>
      <c r="J48" s="1809">
        <v>3</v>
      </c>
      <c r="K48" s="3072" t="s">
        <v>2151</v>
      </c>
      <c r="L48" s="3072"/>
      <c r="M48" s="3075">
        <f ca="1">H101</f>
        <v>6510</v>
      </c>
      <c r="N48" s="3075"/>
      <c r="O48" s="3075"/>
    </row>
    <row r="49" spans="1:35" ht="25.5" customHeight="1">
      <c r="A49" s="176" t="s">
        <v>2152</v>
      </c>
      <c r="B49" s="3120" t="s">
        <v>2153</v>
      </c>
      <c r="C49" s="3120"/>
      <c r="D49" s="177">
        <v>0</v>
      </c>
      <c r="E49" s="23" t="s">
        <v>2154</v>
      </c>
      <c r="F49" s="28" t="s">
        <v>34</v>
      </c>
      <c r="G49" s="3101"/>
      <c r="H49" s="138"/>
      <c r="I49" s="2480"/>
      <c r="J49" s="1809">
        <v>4</v>
      </c>
      <c r="K49" s="3072" t="str">
        <f>IF(项目基本情况!E8="房地产抵押价值","房地产抵押价值","抵押担保权已注销时的房地产抵押价值")</f>
        <v>房地产抵押价值</v>
      </c>
      <c r="L49" s="3072"/>
      <c r="M49" s="3075">
        <f ca="1">IF(项目基本情况!E8="房地产抵押价值",H107,H109)</f>
        <v>6510</v>
      </c>
      <c r="N49" s="3075"/>
      <c r="O49" s="3075"/>
    </row>
    <row r="50" spans="1:35" ht="25.5" customHeight="1">
      <c r="A50" s="178"/>
      <c r="B50" s="3120" t="s">
        <v>2155</v>
      </c>
      <c r="C50" s="3120"/>
      <c r="D50" s="179"/>
      <c r="E50" s="31"/>
      <c r="F50" s="180"/>
      <c r="G50" s="3102"/>
      <c r="H50" s="138"/>
      <c r="I50" s="2480"/>
      <c r="J50" s="3072" t="s">
        <v>2156</v>
      </c>
      <c r="K50" s="3072"/>
      <c r="L50" s="3072"/>
      <c r="M50" s="3072"/>
      <c r="N50" s="3072"/>
      <c r="O50" s="3072"/>
    </row>
    <row r="51" spans="1:35" ht="12" customHeight="1">
      <c r="A51" s="181"/>
      <c r="B51" s="3120" t="s">
        <v>2157</v>
      </c>
      <c r="C51" s="3120"/>
      <c r="D51" s="182"/>
      <c r="E51" s="30"/>
      <c r="F51" s="180"/>
      <c r="G51" s="3103"/>
      <c r="H51" s="138"/>
      <c r="I51" s="2480"/>
      <c r="J51" s="2481" t="s">
        <v>2158</v>
      </c>
      <c r="K51" s="3072" t="s">
        <v>2159</v>
      </c>
      <c r="L51" s="3072"/>
      <c r="M51" s="2481" t="s">
        <v>2160</v>
      </c>
      <c r="N51" s="2481" t="s">
        <v>2161</v>
      </c>
      <c r="O51" s="2481" t="s">
        <v>2162</v>
      </c>
    </row>
    <row r="52" spans="1:35" ht="24" customHeight="1">
      <c r="A52" s="183" t="s">
        <v>2163</v>
      </c>
      <c r="B52" s="3120" t="s">
        <v>2164</v>
      </c>
      <c r="C52" s="3120"/>
      <c r="D52" s="182">
        <f ca="1">ROUND(D45*'数据-取费表'!B41/(1+'数据-取费表'!C42),0)</f>
        <v>347</v>
      </c>
      <c r="E52" s="11" t="s">
        <v>2165</v>
      </c>
      <c r="F52" s="184">
        <f>'数据-取费表'!B41</f>
        <v>5.6000000000000001E-2</v>
      </c>
      <c r="G52" s="2482"/>
      <c r="H52" s="138"/>
      <c r="I52" s="2480"/>
      <c r="J52" s="1809">
        <v>1</v>
      </c>
      <c r="K52" s="3095" t="s">
        <v>2166</v>
      </c>
      <c r="L52" s="3095"/>
      <c r="M52" s="1751">
        <f>D48</f>
        <v>0</v>
      </c>
      <c r="N52" s="1809" t="str">
        <f>E48</f>
        <v>销售额×税（费）率</v>
      </c>
      <c r="O52" s="1752" t="str">
        <f>F48</f>
        <v>免征</v>
      </c>
    </row>
    <row r="53" spans="1:35" ht="12" customHeight="1">
      <c r="A53" s="183" t="s">
        <v>2167</v>
      </c>
      <c r="B53" s="3121" t="s">
        <v>2168</v>
      </c>
      <c r="C53" s="3122"/>
      <c r="D53" s="182">
        <f ca="1">ROUND(D45*'数据-取费表'!B41/(1+'数据-取费表'!C42),0)</f>
        <v>347</v>
      </c>
      <c r="E53" s="11" t="s">
        <v>2165</v>
      </c>
      <c r="F53" s="184">
        <f>'数据-取费表'!B41</f>
        <v>5.6000000000000001E-2</v>
      </c>
      <c r="G53" s="2482"/>
      <c r="H53" s="138"/>
      <c r="I53" s="2480"/>
      <c r="J53" s="1809">
        <v>2</v>
      </c>
      <c r="K53" s="3095" t="s">
        <v>2169</v>
      </c>
      <c r="L53" s="3095"/>
      <c r="M53" s="1751">
        <f t="shared" ref="M53:O54" ca="1" si="0">D55</f>
        <v>3</v>
      </c>
      <c r="N53" s="1809" t="str">
        <f t="shared" si="0"/>
        <v>销售额×税（费）率</v>
      </c>
      <c r="O53" s="1752">
        <f t="shared" si="0"/>
        <v>5.0000000000000001E-4</v>
      </c>
    </row>
    <row r="54" spans="1:35" ht="12" customHeight="1">
      <c r="A54" s="183" t="s">
        <v>2170</v>
      </c>
      <c r="B54" s="3121" t="s">
        <v>2171</v>
      </c>
      <c r="C54" s="3122"/>
      <c r="D54" s="182">
        <f ca="1">C68</f>
        <v>347</v>
      </c>
      <c r="E54" s="30" t="s">
        <v>2172</v>
      </c>
      <c r="F54" s="184">
        <f>'数据-取费表'!B41</f>
        <v>5.6000000000000001E-2</v>
      </c>
      <c r="G54" s="2482"/>
      <c r="H54" s="2483"/>
      <c r="I54" s="2480"/>
      <c r="J54" s="1809">
        <v>3</v>
      </c>
      <c r="K54" s="3095" t="s">
        <v>2173</v>
      </c>
      <c r="L54" s="3095"/>
      <c r="M54" s="1751">
        <f t="shared" ca="1" si="0"/>
        <v>3685</v>
      </c>
      <c r="N54" s="1809" t="str">
        <f t="shared" si="0"/>
        <v>增值额×税（费）率</v>
      </c>
      <c r="O54" s="1753" t="str">
        <f t="shared" si="0"/>
        <v>——</v>
      </c>
    </row>
    <row r="55" spans="1:35" ht="24" customHeight="1">
      <c r="A55" s="3159" t="s">
        <v>2174</v>
      </c>
      <c r="B55" s="3141"/>
      <c r="C55" s="3141"/>
      <c r="D55" s="185">
        <f ca="1">IF(H55="个人住宅",0,ROUND(D45*I55,0))</f>
        <v>3</v>
      </c>
      <c r="E55" s="11" t="s">
        <v>2175</v>
      </c>
      <c r="F55" s="184">
        <f>IF(H55="正常",I55,"免征")</f>
        <v>5.0000000000000001E-4</v>
      </c>
      <c r="G55" s="2482"/>
      <c r="H55" s="2479" t="s">
        <v>2176</v>
      </c>
      <c r="I55" s="186">
        <f>'数据-取费表'!B49</f>
        <v>5.0000000000000001E-4</v>
      </c>
      <c r="J55" s="1809" t="str">
        <f>IF(H59="非个人房产","",4)</f>
        <v/>
      </c>
      <c r="K55" s="3095" t="str">
        <f>IF(H59="非个人房产","——","个人所得税")</f>
        <v>——</v>
      </c>
      <c r="L55" s="3095"/>
      <c r="M55" s="1754" t="str">
        <f>D59</f>
        <v>——</v>
      </c>
      <c r="N55" s="1807" t="str">
        <f>E59</f>
        <v>——</v>
      </c>
      <c r="O55" s="1755" t="str">
        <f>F59</f>
        <v>——</v>
      </c>
    </row>
    <row r="56" spans="1:35" ht="24.75">
      <c r="A56" s="3159" t="s">
        <v>2177</v>
      </c>
      <c r="B56" s="3141"/>
      <c r="C56" s="3141"/>
      <c r="D56" s="185">
        <f ca="1">IF(H56="个人住宅",D57,D58)</f>
        <v>3685</v>
      </c>
      <c r="E56" s="11" t="s">
        <v>2178</v>
      </c>
      <c r="F56" s="184" t="str">
        <f>IF(H56="正常",F58,"免征")</f>
        <v>——</v>
      </c>
      <c r="G56" s="2484" t="s">
        <v>2179</v>
      </c>
      <c r="H56" s="2485" t="s">
        <v>2176</v>
      </c>
      <c r="I56" s="2486"/>
      <c r="J56" s="1809" t="str">
        <f>IF(项目基本情况!K6="上海银行",IF(J55="",4,J55+1),"")</f>
        <v/>
      </c>
      <c r="K56" s="3078" t="str">
        <f>IF(项目基本情况!K6="上海银行","其他处置费用","")</f>
        <v/>
      </c>
      <c r="L56" s="3079"/>
      <c r="M56" s="1751" t="str">
        <f>IF(项目基本情况!K6="上海银行",M69,"")</f>
        <v/>
      </c>
      <c r="N56" s="3081" t="str">
        <f>IF(项目基本情况!K6="上海银行","包含处置中涉及的律师、诉讼、拍卖、评估等费用","")</f>
        <v/>
      </c>
      <c r="O56" s="3082"/>
    </row>
    <row r="57" spans="1:35" ht="12.75">
      <c r="A57" s="183" t="s">
        <v>2152</v>
      </c>
      <c r="B57" s="3126" t="s">
        <v>2180</v>
      </c>
      <c r="C57" s="3127"/>
      <c r="D57" s="187">
        <v>0</v>
      </c>
      <c r="E57" s="23" t="s">
        <v>2154</v>
      </c>
      <c r="F57" s="155"/>
      <c r="G57" s="2482"/>
      <c r="H57" s="2486"/>
      <c r="I57" s="2486"/>
      <c r="J57" s="3095">
        <f>IF(AND(J55="",J56=""),4,IF(项目基本情况!K6="上海银行",结果表!J56+1,结果表!J55+1))</f>
        <v>4</v>
      </c>
      <c r="K57" s="3095" t="s">
        <v>2181</v>
      </c>
      <c r="L57" s="2487" t="s">
        <v>2182</v>
      </c>
      <c r="M57" s="1756"/>
      <c r="N57" s="1757">
        <f ca="1">SUMIF(M52:M56,"&lt;9e307")</f>
        <v>3688</v>
      </c>
      <c r="O57" s="2488"/>
      <c r="P57" s="1750">
        <f ca="1">N57/M49</f>
        <v>0.56651305683563746</v>
      </c>
    </row>
    <row r="58" spans="1:35" ht="24.75">
      <c r="A58" s="183" t="s">
        <v>2163</v>
      </c>
      <c r="B58" s="3126" t="s">
        <v>2183</v>
      </c>
      <c r="C58" s="3139"/>
      <c r="D58" s="185">
        <f ca="1">IF(H58="转让取得",C81,C97)</f>
        <v>3685</v>
      </c>
      <c r="E58" s="11" t="s">
        <v>2178</v>
      </c>
      <c r="F58" s="24" t="s">
        <v>34</v>
      </c>
      <c r="G58" s="2482"/>
      <c r="H58" s="2485" t="s">
        <v>2184</v>
      </c>
      <c r="I58" s="2486"/>
      <c r="J58" s="3095"/>
      <c r="K58" s="3095"/>
      <c r="L58" s="2487" t="s">
        <v>2185</v>
      </c>
      <c r="M58" s="1758"/>
      <c r="N58" s="2489" t="str">
        <f ca="1">NUMBERSTRING(INT(N57*10000),2)&amp;"元整"</f>
        <v>叁仟陆佰捌拾捌万元整</v>
      </c>
      <c r="O58" s="2490"/>
    </row>
    <row r="59" spans="1:35" ht="24.75" thickBot="1">
      <c r="A59" s="3099" t="s">
        <v>2186</v>
      </c>
      <c r="B59" s="3100"/>
      <c r="C59" s="3100"/>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097">
        <f>J57+1</f>
        <v>5</v>
      </c>
      <c r="K59" s="3095" t="s">
        <v>2188</v>
      </c>
      <c r="L59" s="1809" t="s">
        <v>2182</v>
      </c>
      <c r="M59" s="1759"/>
      <c r="N59" s="1760">
        <f ca="1">M49-N57</f>
        <v>2822</v>
      </c>
      <c r="O59" s="2492"/>
    </row>
    <row r="60" spans="1:35" ht="12" customHeight="1">
      <c r="A60" s="2493"/>
      <c r="B60" s="2415"/>
      <c r="C60" s="2415"/>
      <c r="D60" s="2415"/>
      <c r="E60" s="2164"/>
      <c r="F60" s="2486"/>
      <c r="G60" s="2486"/>
      <c r="H60" s="2494"/>
      <c r="I60" s="138"/>
      <c r="J60" s="3098"/>
      <c r="K60" s="3095"/>
      <c r="L60" s="2487" t="s">
        <v>2185</v>
      </c>
      <c r="M60" s="1758"/>
      <c r="N60" s="2489" t="str">
        <f ca="1">NUMBERSTRING(INT(N59*10000),2)&amp;"元整"</f>
        <v>贰仟捌佰贰拾贰万元整</v>
      </c>
      <c r="O60" s="2490"/>
    </row>
    <row r="61" spans="1:35" ht="13.5" thickBot="1">
      <c r="A61" s="3158" t="s">
        <v>2189</v>
      </c>
      <c r="B61" s="3158"/>
      <c r="C61" s="3158"/>
      <c r="D61" s="3158"/>
      <c r="E61" s="3158"/>
      <c r="F61" s="2486"/>
      <c r="G61" s="2486"/>
      <c r="H61" s="2494"/>
      <c r="I61" s="138"/>
      <c r="J61" s="1809">
        <f>J59+1</f>
        <v>6</v>
      </c>
      <c r="K61" s="3095" t="s">
        <v>2190</v>
      </c>
      <c r="L61" s="3095"/>
      <c r="M61" s="1761"/>
      <c r="N61" s="1762">
        <f ca="1">ROUND(N59*10000/'数据-汇总表'!E3,0)</f>
        <v>12894</v>
      </c>
      <c r="O61" s="2495"/>
    </row>
    <row r="62" spans="1:35" ht="12.75">
      <c r="A62" s="3115" t="s">
        <v>2191</v>
      </c>
      <c r="B62" s="3116"/>
      <c r="C62" s="1801"/>
      <c r="D62" s="1801" t="s">
        <v>2192</v>
      </c>
      <c r="E62" s="192" t="s">
        <v>2193</v>
      </c>
      <c r="F62" s="2486"/>
      <c r="G62" s="2486"/>
      <c r="H62" s="2494"/>
      <c r="I62" s="138"/>
    </row>
    <row r="63" spans="1:35" ht="12.75">
      <c r="A63" s="203" t="s">
        <v>774</v>
      </c>
      <c r="B63" s="193" t="s">
        <v>2194</v>
      </c>
      <c r="C63" s="194">
        <f ca="1">ROUND((C64+C65)/(1+'数据-取费表'!C42),0)</f>
        <v>6200</v>
      </c>
      <c r="D63" s="195"/>
      <c r="E63" s="196"/>
      <c r="F63" s="2486"/>
      <c r="G63" s="2486"/>
      <c r="H63" s="2494"/>
      <c r="I63" s="138"/>
      <c r="J63" s="3080" t="s">
        <v>2195</v>
      </c>
      <c r="K63" s="2496" t="s">
        <v>2196</v>
      </c>
      <c r="L63" s="1749">
        <f ca="1">IF(M49&gt;10000,M49*0.5%,IF(AND(M49&gt;1000,M49&lt;=10000),M49*1%,IF(AND(M49&gt;100,M49&lt;=1000),M49*3%,IF(AND(M49&gt;10,M49&lt;=100),M49*5%,M49*8%))))</f>
        <v>65.099999999999994</v>
      </c>
      <c r="M63" s="24">
        <f ca="1">ROUND(L63,1)</f>
        <v>65.099999999999994</v>
      </c>
      <c r="Z63" s="2420"/>
      <c r="AI63" s="2421"/>
    </row>
    <row r="64" spans="1:35" ht="14.25" customHeight="1">
      <c r="A64" s="197" t="s">
        <v>769</v>
      </c>
      <c r="B64" s="198" t="s">
        <v>2197</v>
      </c>
      <c r="C64" s="199">
        <f ca="1">D45</f>
        <v>6510</v>
      </c>
      <c r="D64" s="200" t="s">
        <v>32</v>
      </c>
      <c r="E64" s="201"/>
      <c r="F64" s="2486"/>
      <c r="G64" s="2486"/>
      <c r="H64" s="2494"/>
      <c r="I64" s="138"/>
      <c r="J64" s="3080"/>
      <c r="K64" s="2496" t="s">
        <v>2198</v>
      </c>
      <c r="L64" s="1749">
        <f ca="1">IF(M49&gt;2000,M49*0.5%,IF(AND(M49&gt;1000,M49&lt;=2000),M49*0.6%,IF(AND(M49&gt;500,M49&lt;=1000),M49*0.7%,IF(AND(M49&gt;200,M49&lt;=500),M49*0.8%,IF(AND(M49&gt;100,M49&lt;=200),M49*0.9%,IF(AND(M49&gt;50,M49&lt;=100),M49*1%,IF(AND(M49&gt;20,M49&lt;=50),M49*1.5%,IF(AND(M49&gt;10,M49&lt;=20),M49*2%,IF(AND(M49&gt;1,M49&lt;=10),M49*2.5%)))))))))</f>
        <v>32.549999999999997</v>
      </c>
      <c r="M64" s="24">
        <f t="shared" ref="M64:M65" ca="1" si="1">ROUND(L64,1)</f>
        <v>32.6</v>
      </c>
      <c r="N64" s="138" t="s">
        <v>2199</v>
      </c>
      <c r="Z64" s="2420"/>
      <c r="AI64" s="2421"/>
    </row>
    <row r="65" spans="1:35" ht="14.25" customHeight="1">
      <c r="A65" s="197" t="s">
        <v>770</v>
      </c>
      <c r="B65" s="198" t="s">
        <v>2200</v>
      </c>
      <c r="C65" s="202"/>
      <c r="D65" s="200"/>
      <c r="E65" s="201"/>
      <c r="F65" s="2486"/>
      <c r="G65" s="2486"/>
      <c r="H65" s="2494"/>
      <c r="I65" s="138"/>
      <c r="J65" s="3080"/>
      <c r="K65" s="2496" t="s">
        <v>2201</v>
      </c>
      <c r="L65" s="1749">
        <f ca="1">IF(M49&gt;1000,M49*0.1%,IF(AND(M49&gt;500,M49&lt;=1000),M49*0.5%,IF(AND(M49&gt;50,M49&lt;=500),M49*1%,IF(AND(M49&gt;1,M49&lt;=50),M49*1.5%))))</f>
        <v>6.51</v>
      </c>
      <c r="M65" s="24">
        <f t="shared" ca="1" si="1"/>
        <v>6.5</v>
      </c>
      <c r="N65" s="138" t="s">
        <v>2199</v>
      </c>
      <c r="Z65" s="2420"/>
      <c r="AI65" s="2421"/>
    </row>
    <row r="66" spans="1:35" ht="14.25" customHeight="1">
      <c r="A66" s="203" t="s">
        <v>771</v>
      </c>
      <c r="B66" s="204" t="s">
        <v>2202</v>
      </c>
      <c r="C66" s="205"/>
      <c r="D66" s="206" t="s">
        <v>32</v>
      </c>
      <c r="E66" s="1773" t="s">
        <v>1367</v>
      </c>
      <c r="F66" s="2486"/>
      <c r="G66" s="2486"/>
      <c r="H66" s="2494"/>
      <c r="I66" s="138"/>
      <c r="J66" s="3080"/>
      <c r="K66" s="2496" t="s">
        <v>2203</v>
      </c>
      <c r="L66" s="1749">
        <f ca="1">M49*0.5%</f>
        <v>32.549999999999997</v>
      </c>
      <c r="M66" s="24">
        <f ca="1">IF(L66&gt;0.5,0.5,ROUND(L66,0))</f>
        <v>0.5</v>
      </c>
      <c r="N66" s="138" t="s">
        <v>2204</v>
      </c>
      <c r="Z66" s="2420"/>
      <c r="AI66" s="2421"/>
    </row>
    <row r="67" spans="1:35" ht="14.25" customHeight="1">
      <c r="A67" s="203" t="s">
        <v>772</v>
      </c>
      <c r="B67" s="204" t="s">
        <v>2205</v>
      </c>
      <c r="C67" s="207">
        <f ca="1">C63-C66</f>
        <v>6200</v>
      </c>
      <c r="D67" s="200" t="s">
        <v>32</v>
      </c>
      <c r="E67" s="201"/>
      <c r="F67" s="2486"/>
      <c r="G67" s="2486"/>
      <c r="H67" s="2494"/>
      <c r="I67" s="138"/>
      <c r="J67" s="3080"/>
      <c r="K67" s="2496" t="s">
        <v>2206</v>
      </c>
      <c r="L67" s="1749">
        <f ca="1">IF(M49&gt;=10000,(8.25+(M49-10000)*0.01%),IF(AND(M49&gt;=8000,M49&lt;10000),(7.85+(M49-8000)*0.02%),IF(AND(M49&gt;=5000,M49&lt;8000),(6.65+(M49-5000)*0.04%),IF(AND(M49&gt;=2000,M49&lt;5000),(4.25+(PM49-2000)*0.08%),IF(AND(M49&gt;=1000,M49&lt;2000),(2.75+(M49-1000)*0.15%),IF(AND(M49&gt;=100,M49&lt;1000),(0.5+(M49-100)*0.25%),IF(AND(M49&gt;0,M49&lt;100),M49*0.5%)))))))</f>
        <v>7.2540000000000004</v>
      </c>
      <c r="M67" s="24">
        <f ca="1">ROUND(L67*0.9,1)</f>
        <v>6.5</v>
      </c>
      <c r="Z67" s="2420"/>
      <c r="AI67" s="2421"/>
    </row>
    <row r="68" spans="1:35" ht="14.25" customHeight="1" thickBot="1">
      <c r="A68" s="208" t="s">
        <v>773</v>
      </c>
      <c r="B68" s="209" t="s">
        <v>2207</v>
      </c>
      <c r="C68" s="210">
        <f ca="1">IF(C67&lt;=0,0,ROUND(C67*D68,0))</f>
        <v>347</v>
      </c>
      <c r="D68" s="211">
        <f>'数据-取费表'!B41</f>
        <v>5.6000000000000001E-2</v>
      </c>
      <c r="E68" s="212"/>
      <c r="F68" s="2486"/>
      <c r="G68" s="2486"/>
      <c r="H68" s="2494"/>
      <c r="I68" s="138"/>
      <c r="J68" s="3080"/>
      <c r="K68" s="2496" t="s">
        <v>2208</v>
      </c>
      <c r="L68" s="1749">
        <f ca="1">IF(M49&gt;10000,M49*0.5%,IF(AND(M49&gt;5000,M49&lt;=10000),M49*1%,IF(AND(M49&gt;1000,M49&lt;=5000),M49*2%,IF(AND(M49&gt;200,M49&lt;=1000),M49*3%,M49*5%))))</f>
        <v>65.099999999999994</v>
      </c>
      <c r="M68" s="24">
        <f ca="1">ROUND(L68,1)</f>
        <v>65.099999999999994</v>
      </c>
      <c r="Z68" s="2420"/>
      <c r="AI68" s="2421"/>
    </row>
    <row r="69" spans="1:35" s="2443" customFormat="1" ht="16.5" customHeight="1">
      <c r="A69" s="2497"/>
      <c r="B69" s="2498"/>
      <c r="C69" s="2499"/>
      <c r="D69" s="2500"/>
      <c r="E69" s="2501"/>
      <c r="F69" s="2164"/>
      <c r="G69" s="2164"/>
      <c r="H69" s="2163"/>
      <c r="I69" s="2415"/>
      <c r="J69" s="3080"/>
      <c r="K69" s="2496" t="s">
        <v>2209</v>
      </c>
      <c r="L69" s="2502"/>
      <c r="M69" s="24">
        <f ca="1">ROUND(SUM(M63:M68),0)</f>
        <v>176</v>
      </c>
      <c r="N69" s="1750">
        <f ca="1">M69/M49</f>
        <v>2.7035330261136713E-2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24" t="s">
        <v>2210</v>
      </c>
      <c r="B70" s="3125"/>
      <c r="C70" s="3125"/>
      <c r="D70" s="3125"/>
      <c r="E70" s="3125"/>
      <c r="F70" s="3125"/>
      <c r="G70" s="3125"/>
      <c r="H70" s="312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5" t="s">
        <v>2191</v>
      </c>
      <c r="B71" s="3116"/>
      <c r="C71" s="1801"/>
      <c r="D71" s="1801"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6200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37</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21" t="s">
        <v>2219</v>
      </c>
      <c r="F76" s="3120"/>
      <c r="G76" s="3120"/>
      <c r="H76" s="312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37</v>
      </c>
      <c r="D78" s="226">
        <f>'数据-取费表'!B43</f>
        <v>6.000000000000001E-3</v>
      </c>
      <c r="E78" s="3112" t="s">
        <v>2224</v>
      </c>
      <c r="F78" s="3113"/>
      <c r="G78" s="3113"/>
      <c r="H78" s="311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6163</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166.56756756756758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4" t="s">
        <v>2228</v>
      </c>
      <c r="B83" s="3125"/>
      <c r="C83" s="3125"/>
      <c r="D83" s="3125"/>
      <c r="E83" s="3125"/>
      <c r="F83" s="3125"/>
      <c r="G83" s="3125"/>
      <c r="H83" s="312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5" t="s">
        <v>2191</v>
      </c>
      <c r="B84" s="3116"/>
      <c r="C84" s="1801"/>
      <c r="D84" s="1801"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6200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37</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7"/>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12" t="s">
        <v>2237</v>
      </c>
      <c r="F91" s="3113"/>
      <c r="G91" s="3113"/>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12" t="s">
        <v>2241</v>
      </c>
      <c r="F92" s="3113"/>
      <c r="G92" s="3113"/>
      <c r="H92" s="311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37</v>
      </c>
      <c r="D93" s="226">
        <f>'数据-取费表'!B43</f>
        <v>6.000000000000001E-3</v>
      </c>
      <c r="E93" s="3112" t="s">
        <v>2224</v>
      </c>
      <c r="F93" s="3113"/>
      <c r="G93" s="3113"/>
      <c r="H93" s="311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60" t="s">
        <v>2245</v>
      </c>
      <c r="F94" s="3161"/>
      <c r="G94" s="3161"/>
      <c r="H94" s="316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6163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166.56756756756758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64" t="s">
        <v>2247</v>
      </c>
      <c r="B100" s="3065"/>
      <c r="C100" s="3065"/>
      <c r="D100" s="3096"/>
      <c r="E100" s="3065" t="s">
        <v>2248</v>
      </c>
      <c r="F100" s="3065"/>
      <c r="G100" s="3065"/>
      <c r="H100" s="3096"/>
      <c r="I100" s="138"/>
    </row>
    <row r="101" spans="1:35" ht="18.75" customHeight="1">
      <c r="A101" s="3104" t="s">
        <v>2249</v>
      </c>
      <c r="B101" s="3105"/>
      <c r="C101" s="734" t="str">
        <f>C4</f>
        <v>成本法</v>
      </c>
      <c r="D101" s="735" t="str">
        <f>D4</f>
        <v>收益法</v>
      </c>
      <c r="E101" s="3076" t="s">
        <v>2250</v>
      </c>
      <c r="F101" s="3077"/>
      <c r="G101" s="2517" t="s">
        <v>2251</v>
      </c>
      <c r="H101" s="1046">
        <f ca="1">H118</f>
        <v>6510</v>
      </c>
      <c r="I101" s="138"/>
    </row>
    <row r="102" spans="1:35" ht="18.75" customHeight="1">
      <c r="A102" s="3106" t="s">
        <v>2252</v>
      </c>
      <c r="B102" s="2517" t="s">
        <v>2251</v>
      </c>
      <c r="C102" s="734">
        <f ca="1">C19</f>
        <v>9016</v>
      </c>
      <c r="D102" s="735">
        <f ca="1">D19</f>
        <v>4840</v>
      </c>
      <c r="E102" s="3076"/>
      <c r="F102" s="3077"/>
      <c r="G102" s="2517" t="s">
        <v>2253</v>
      </c>
      <c r="H102" s="371">
        <f ca="1">I118</f>
        <v>29745</v>
      </c>
      <c r="I102" s="138"/>
    </row>
    <row r="103" spans="1:35" ht="42.75" customHeight="1">
      <c r="A103" s="3106"/>
      <c r="B103" s="2517" t="s">
        <v>2253</v>
      </c>
      <c r="C103" s="736">
        <f ca="1">C20</f>
        <v>41196</v>
      </c>
      <c r="D103" s="737">
        <f ca="1">D20</f>
        <v>22115</v>
      </c>
      <c r="E103" s="3070" t="s">
        <v>2254</v>
      </c>
      <c r="F103" s="3071"/>
      <c r="G103" s="2518" t="s">
        <v>2255</v>
      </c>
      <c r="H103" s="1046">
        <f>IF(D36="正常操作",H104+H105+H106,H105+H106)</f>
        <v>0</v>
      </c>
      <c r="I103" s="138"/>
    </row>
    <row r="104" spans="1:35" ht="18.75" customHeight="1">
      <c r="A104" s="3106" t="s">
        <v>2256</v>
      </c>
      <c r="B104" s="2519" t="s">
        <v>2251</v>
      </c>
      <c r="C104" s="738">
        <f ca="1">H118</f>
        <v>6510</v>
      </c>
      <c r="D104" s="739"/>
      <c r="E104" s="2265" t="s">
        <v>2257</v>
      </c>
      <c r="F104" s="2256"/>
      <c r="G104" s="2518" t="s">
        <v>2255</v>
      </c>
      <c r="H104" s="1047">
        <f>IF(D36="同一抵押权人同一抵押物续贷",C36&amp;"（未扣减，详见特别提示）",C36)</f>
        <v>0</v>
      </c>
      <c r="I104" s="138"/>
    </row>
    <row r="105" spans="1:35" ht="18.75" customHeight="1" thickBot="1">
      <c r="A105" s="3118"/>
      <c r="B105" s="2520" t="s">
        <v>2253</v>
      </c>
      <c r="C105" s="740">
        <f ca="1">I118</f>
        <v>29745</v>
      </c>
      <c r="D105" s="741"/>
      <c r="E105" s="2265" t="s">
        <v>2258</v>
      </c>
      <c r="F105" s="2256"/>
      <c r="G105" s="2518" t="s">
        <v>2255</v>
      </c>
      <c r="H105" s="1047">
        <f>C37</f>
        <v>0</v>
      </c>
      <c r="I105" s="138"/>
    </row>
    <row r="106" spans="1:35" ht="18.75" customHeight="1">
      <c r="A106" s="2415" t="s">
        <v>2259</v>
      </c>
      <c r="B106" s="2415"/>
      <c r="C106" s="2415"/>
      <c r="D106" s="2415"/>
      <c r="E106" s="2521" t="s">
        <v>2260</v>
      </c>
      <c r="F106" s="2256"/>
      <c r="G106" s="2518" t="s">
        <v>2255</v>
      </c>
      <c r="H106" s="1047">
        <f>C38</f>
        <v>0</v>
      </c>
      <c r="I106" s="138"/>
    </row>
    <row r="107" spans="1:35" ht="18.75" customHeight="1">
      <c r="A107" s="138"/>
      <c r="B107" s="138"/>
      <c r="C107" s="138"/>
      <c r="D107" s="138"/>
      <c r="E107" s="3107" t="str">
        <f>IF(项目基本情况!E8="已注销","——","3.房地产抵押价值")</f>
        <v>3.房地产抵押价值</v>
      </c>
      <c r="F107" s="3077"/>
      <c r="G107" s="2517" t="s">
        <v>2251</v>
      </c>
      <c r="H107" s="1046">
        <f ca="1">IF(E107="——","——",H101-H103)</f>
        <v>6510</v>
      </c>
      <c r="I107" s="138"/>
    </row>
    <row r="108" spans="1:35" ht="18.75" customHeight="1">
      <c r="A108" s="138"/>
      <c r="B108" s="138"/>
      <c r="C108" s="138"/>
      <c r="D108" s="138"/>
      <c r="E108" s="3107"/>
      <c r="F108" s="3077"/>
      <c r="G108" s="2517" t="s">
        <v>2253</v>
      </c>
      <c r="H108" s="371">
        <f ca="1">ROUND(H107*10000/'数据-汇总表'!E3,0)</f>
        <v>29745</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077"/>
      <c r="G109" s="2517" t="s">
        <v>2251</v>
      </c>
      <c r="H109" s="348" t="str">
        <f>IF(E109="——","——",H101-H105-H106)</f>
        <v>——</v>
      </c>
      <c r="I109" s="138"/>
    </row>
    <row r="110" spans="1:35" ht="18.75" customHeight="1">
      <c r="A110" s="138"/>
      <c r="B110" s="138"/>
      <c r="C110" s="138"/>
      <c r="D110" s="138"/>
      <c r="E110" s="3107"/>
      <c r="F110" s="3077"/>
      <c r="G110" s="2517" t="s">
        <v>2253</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17" t="s">
        <v>2251</v>
      </c>
      <c r="H111" s="1046" t="str">
        <f>IF(E111="——","——",N59)</f>
        <v>——</v>
      </c>
      <c r="I111" s="138"/>
    </row>
    <row r="112" spans="1:35" ht="18.75" customHeight="1" thickBot="1">
      <c r="A112" s="138"/>
      <c r="B112" s="138"/>
      <c r="C112" s="138"/>
      <c r="D112" s="138"/>
      <c r="E112" s="3110"/>
      <c r="F112" s="3111"/>
      <c r="G112" s="2522" t="s">
        <v>2253</v>
      </c>
      <c r="H112" s="788" t="str">
        <f>IF(E111="——","——",N61)</f>
        <v>——</v>
      </c>
      <c r="I112" s="138"/>
    </row>
    <row r="113" spans="1:11" ht="18.75" customHeight="1">
      <c r="A113" s="138"/>
      <c r="B113" s="138"/>
      <c r="C113" s="138"/>
      <c r="D113" s="138"/>
      <c r="E113" s="3119" t="s">
        <v>2259</v>
      </c>
      <c r="F113" s="3119"/>
      <c r="G113" s="3119"/>
      <c r="H113" s="3119"/>
      <c r="I113" s="138"/>
    </row>
    <row r="114" spans="1:11" ht="3.75" customHeight="1">
      <c r="A114" s="2415"/>
      <c r="B114" s="2415"/>
      <c r="C114" s="2415"/>
      <c r="D114" s="2415"/>
      <c r="E114" s="2493"/>
      <c r="F114" s="2493"/>
      <c r="G114" s="2493"/>
      <c r="H114" s="2493"/>
      <c r="I114" s="2415"/>
    </row>
    <row r="115" spans="1:11" ht="18.75" customHeight="1">
      <c r="A115" s="3132" t="s">
        <v>2261</v>
      </c>
      <c r="B115" s="3133"/>
      <c r="C115" s="3133"/>
      <c r="D115" s="3133"/>
      <c r="E115" s="3133"/>
      <c r="F115" s="3133"/>
      <c r="G115" s="3133"/>
      <c r="H115" s="3133"/>
      <c r="I115" s="3134"/>
    </row>
    <row r="116" spans="1:11" ht="27" customHeight="1">
      <c r="A116" s="3043" t="s">
        <v>2262</v>
      </c>
      <c r="B116" s="3086" t="s">
        <v>2263</v>
      </c>
      <c r="C116" s="3086" t="s">
        <v>2264</v>
      </c>
      <c r="D116" s="3092" t="s">
        <v>2265</v>
      </c>
      <c r="E116" s="3093"/>
      <c r="F116" s="3128" t="s">
        <v>2266</v>
      </c>
      <c r="G116" s="3128"/>
      <c r="H116" s="3043" t="s">
        <v>2267</v>
      </c>
      <c r="I116" s="3043"/>
    </row>
    <row r="117" spans="1:11" ht="18.75" customHeight="1">
      <c r="A117" s="3043"/>
      <c r="B117" s="3087"/>
      <c r="C117" s="3087"/>
      <c r="D117" s="1795" t="s">
        <v>2268</v>
      </c>
      <c r="E117" s="1795" t="s">
        <v>2269</v>
      </c>
      <c r="F117" s="1795" t="s">
        <v>2268</v>
      </c>
      <c r="G117" s="1795" t="s">
        <v>2270</v>
      </c>
      <c r="H117" s="1795" t="s">
        <v>2268</v>
      </c>
      <c r="I117" s="1795" t="s">
        <v>2270</v>
      </c>
    </row>
    <row r="118" spans="1:11" ht="24.75" customHeight="1">
      <c r="A118" s="2523" t="str">
        <f>项目基本情况!S2</f>
        <v>北京市朝阳区吉庆里9号、10号楼房地产</v>
      </c>
      <c r="B118" s="1795">
        <f>M18</f>
        <v>2188.58</v>
      </c>
      <c r="C118" s="1795">
        <f>M19</f>
        <v>546.38</v>
      </c>
      <c r="D118" s="1795">
        <f ca="1">ROUND(IF(D32="总价",C34,E118*B118/10000),0)</f>
        <v>4948</v>
      </c>
      <c r="E118" s="1795">
        <f ca="1">ROUND(IF(C33="自定义",IF(D32="楼面单价",C34,D118*10000/B118),I118-G118),0)</f>
        <v>22608</v>
      </c>
      <c r="F118" s="1795">
        <f ca="1">ROUND(IF(D32="总价",C35,G118*B118/10000),0)</f>
        <v>1562</v>
      </c>
      <c r="G118" s="1795">
        <f ca="1">ROUND(IF(D32="楼面单价",C35,F118*10000/B118),0)</f>
        <v>7137</v>
      </c>
      <c r="H118" s="1795">
        <f ca="1">ROUND(IF(D32="总价",C32,I118*B118/10000),0)</f>
        <v>6510</v>
      </c>
      <c r="I118" s="1795">
        <f ca="1">ROUND(IF(D32="楼面单价",C32,H118*10000/B118),0)</f>
        <v>29745</v>
      </c>
    </row>
    <row r="119" spans="1:11" ht="18.75" customHeight="1">
      <c r="A119" s="3043" t="s">
        <v>2271</v>
      </c>
      <c r="B119" s="3043"/>
      <c r="C119" s="3043"/>
      <c r="D119" s="3088" t="str">
        <f ca="1">NUMBERSTRING(INT(D118*10000),2)&amp;"元整"</f>
        <v>肆仟玖佰肆拾捌万元整</v>
      </c>
      <c r="E119" s="3089"/>
      <c r="F119" s="3088" t="str">
        <f ca="1">NUMBERSTRING(INT(F118*10000),2)&amp;"元整"</f>
        <v>壹仟伍佰陆拾贰万元整</v>
      </c>
      <c r="G119" s="3089"/>
      <c r="H119" s="3088" t="str">
        <f ca="1">NUMBERSTRING(INT(H118*10000),2)&amp;"元整"</f>
        <v>陆仟伍佰壹拾万元整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0" t="str">
        <f>IF(D120=0,"故，本次评估不存在"&amp;A120,"故，本次评估"&amp;A120&amp;"为人民币"&amp;D120&amp;"万元整。")</f>
        <v>故，本次评估不存在估价师知悉的法定优先受偿款</v>
      </c>
    </row>
    <row r="121" spans="1:11" ht="18.75" customHeight="1">
      <c r="A121" s="3129" t="s">
        <v>2271</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6510</v>
      </c>
      <c r="E122" s="3084"/>
      <c r="F122" s="3084"/>
      <c r="G122" s="3084"/>
      <c r="H122" s="3084"/>
      <c r="I122" s="3085"/>
    </row>
    <row r="123" spans="1:11" ht="18.75" customHeight="1">
      <c r="A123" s="3043" t="s">
        <v>2271</v>
      </c>
      <c r="B123" s="3043"/>
      <c r="C123" s="3043"/>
      <c r="D123" s="3088" t="str">
        <f ca="1">NUMBERSTRING(INT(D122*10000),2)&amp;"元整"</f>
        <v>陆仟伍佰壹拾万元整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2271</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2271</v>
      </c>
      <c r="B127" s="3043"/>
      <c r="C127" s="3043"/>
      <c r="D127" s="3088" t="e">
        <f>NUMBERSTRING(INT(D126*10000),2)&amp;"元整"</f>
        <v>#VALUE!</v>
      </c>
      <c r="E127" s="3090"/>
      <c r="F127" s="3090"/>
      <c r="G127" s="3090"/>
      <c r="H127" s="3090"/>
      <c r="I127" s="3089"/>
    </row>
    <row r="128" spans="1:11" ht="21.75" customHeight="1">
      <c r="A128" s="3091" t="s">
        <v>2272</v>
      </c>
      <c r="B128" s="3091"/>
      <c r="C128" s="3091"/>
      <c r="D128" s="3091"/>
      <c r="E128" s="3091"/>
      <c r="F128" s="3091"/>
      <c r="G128" s="3091"/>
      <c r="H128" s="3091"/>
      <c r="I128" s="3091"/>
    </row>
    <row r="129" spans="1:35" ht="21.75" customHeight="1">
      <c r="A129" s="2524" t="s">
        <v>2273</v>
      </c>
      <c r="B129" s="2525"/>
      <c r="C129" s="2526" t="s">
        <v>2274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2275</v>
      </c>
      <c r="G135" s="2541"/>
      <c r="H135" s="2541"/>
      <c r="I135" s="2542" t="s">
        <v>2276</v>
      </c>
    </row>
    <row r="136" spans="1:35" ht="21.75" customHeight="1">
      <c r="A136" s="793"/>
      <c r="B136" s="2543" t="s">
        <v>2277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2278</v>
      </c>
    </row>
    <row r="139" spans="1:35" ht="21.75" customHeight="1">
      <c r="A139" s="793"/>
      <c r="B139" s="2543" t="s">
        <v>2279</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2278</v>
      </c>
    </row>
    <row r="142" spans="1:35" ht="21.75" customHeight="1">
      <c r="A142" s="793"/>
      <c r="B142" s="2543"/>
      <c r="C142" s="2544"/>
      <c r="D142" s="2545"/>
      <c r="E142" s="2545"/>
      <c r="F142" s="2339"/>
      <c r="G142" s="793"/>
      <c r="H142" s="793"/>
      <c r="I142" s="793"/>
    </row>
    <row r="143" spans="1:35" s="139" customFormat="1" ht="21.75" customHeight="1">
      <c r="A143" s="793"/>
      <c r="B143" s="2543"/>
      <c r="C143" s="2544"/>
      <c r="D143" s="2545"/>
      <c r="E143" s="2545"/>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L22" sqref="L22"/>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3" t="s">
        <v>2072</v>
      </c>
      <c r="B1" s="2415"/>
      <c r="C1" s="2416"/>
      <c r="D1" s="2415"/>
      <c r="E1" s="2415"/>
      <c r="F1" s="2417" t="s">
        <v>2073</v>
      </c>
      <c r="G1" s="2068" t="s">
        <v>3000</v>
      </c>
      <c r="H1" s="2418" t="str">
        <f>IF(G1="现房","——","估价对象范围")</f>
        <v>——</v>
      </c>
      <c r="I1" s="2419" t="s">
        <v>3063</v>
      </c>
    </row>
    <row r="2" spans="1:12" ht="21.75" customHeight="1" thickBot="1">
      <c r="A2" s="3142" t="str">
        <f>项目基本情况!S2</f>
        <v>北京市朝阳区吉庆里9号、10号楼房地产</v>
      </c>
      <c r="B2" s="3143"/>
      <c r="C2" s="3143"/>
      <c r="D2" s="3143"/>
      <c r="E2" s="3143"/>
      <c r="F2" s="3143"/>
      <c r="G2" s="3143"/>
      <c r="H2" s="3143"/>
      <c r="I2" s="3144"/>
    </row>
    <row r="3" spans="1:12" ht="12.75">
      <c r="A3" s="3145" t="s">
        <v>2074</v>
      </c>
      <c r="B3" s="3146"/>
      <c r="C3" s="3146"/>
      <c r="D3" s="3146"/>
      <c r="E3" s="3146"/>
      <c r="F3" s="3146"/>
      <c r="G3" s="3146"/>
      <c r="H3" s="3146"/>
      <c r="I3" s="3146"/>
    </row>
    <row r="4" spans="1:12" ht="14.25">
      <c r="A4" s="2422" t="s">
        <v>2075</v>
      </c>
      <c r="B4" s="2423" t="s">
        <v>2076</v>
      </c>
      <c r="C4" s="2424" t="s">
        <v>3040</v>
      </c>
      <c r="D4" s="2424" t="s">
        <v>3009</v>
      </c>
      <c r="E4" s="3126" t="s">
        <v>2077</v>
      </c>
      <c r="F4" s="3139"/>
      <c r="G4" s="3139"/>
      <c r="H4" s="3139"/>
      <c r="I4" s="3127"/>
      <c r="K4" s="2425" t="str">
        <f>IF(ISNUMBER(FIND("比较法",'结果表 (2)'!C4)),"比较法",IF(ISNUMBER(FIND("成本法",'结果表 (2)'!C4)),"成本法",IF(ISNUMBER(FIND("假设开发法",'结果表 (2)'!C4)),"假设开发法",IF(ISNUMBER(FIND("收益法",'结果表 (2)'!C4)),"收益法","基准地价系数修正法"))))</f>
        <v>比较法</v>
      </c>
      <c r="L4" s="2425" t="str">
        <f>IF(ISNUMBER(FIND("比较法",'结果表 (2)'!D4)),"比较法",IF(ISNUMBER(FIND("成本法",'结果表 (2)'!D4)),"成本法",IF(ISNUMBER(FIND("假设开发法",'结果表 (2)'!D4)),"假设开发法",IF(ISNUMBER(FIND("收益法",'结果表 (2)'!D4)),"收益法","基准地价系数修正法"))))</f>
        <v>收益法</v>
      </c>
    </row>
    <row r="5" spans="1:12" ht="12.75">
      <c r="A5" s="3117" t="s">
        <v>2078</v>
      </c>
      <c r="B5" s="3043">
        <v>25</v>
      </c>
      <c r="C5" s="3147"/>
      <c r="D5" s="3135"/>
      <c r="E5" s="140" t="s">
        <v>2079</v>
      </c>
      <c r="F5" s="2426"/>
      <c r="G5" s="2426"/>
      <c r="H5" s="2426"/>
      <c r="I5" s="1831"/>
    </row>
    <row r="6" spans="1:12" ht="12.75">
      <c r="A6" s="3117"/>
      <c r="B6" s="3043"/>
      <c r="C6" s="3149"/>
      <c r="D6" s="3135"/>
      <c r="E6" s="140" t="s">
        <v>2080</v>
      </c>
      <c r="F6" s="2426"/>
      <c r="G6" s="2426"/>
      <c r="H6" s="2426"/>
      <c r="I6" s="1831"/>
    </row>
    <row r="7" spans="1:12" ht="12.75">
      <c r="A7" s="3117"/>
      <c r="B7" s="3043"/>
      <c r="C7" s="3148"/>
      <c r="D7" s="3135"/>
      <c r="E7" s="140" t="s">
        <v>2081</v>
      </c>
      <c r="F7" s="2426"/>
      <c r="G7" s="2426"/>
      <c r="H7" s="2426"/>
      <c r="I7" s="1831"/>
    </row>
    <row r="8" spans="1:12" ht="12.75">
      <c r="A8" s="3117" t="s">
        <v>2082</v>
      </c>
      <c r="B8" s="3043">
        <v>15</v>
      </c>
      <c r="C8" s="3147"/>
      <c r="D8" s="3135"/>
      <c r="E8" s="140" t="s">
        <v>2083</v>
      </c>
      <c r="F8" s="2426"/>
      <c r="G8" s="2426"/>
      <c r="H8" s="2426"/>
      <c r="I8" s="1831"/>
    </row>
    <row r="9" spans="1:12" ht="12.75">
      <c r="A9" s="3117"/>
      <c r="B9" s="3043"/>
      <c r="C9" s="3148"/>
      <c r="D9" s="3135"/>
      <c r="E9" s="140" t="s">
        <v>2084</v>
      </c>
      <c r="F9" s="2426"/>
      <c r="G9" s="2426"/>
      <c r="H9" s="2426"/>
      <c r="I9" s="1831"/>
    </row>
    <row r="10" spans="1:12" ht="12.75">
      <c r="A10" s="3117" t="s">
        <v>2085</v>
      </c>
      <c r="B10" s="3043">
        <v>15</v>
      </c>
      <c r="C10" s="3147"/>
      <c r="D10" s="3135"/>
      <c r="E10" s="140" t="s">
        <v>2086</v>
      </c>
      <c r="F10" s="2426"/>
      <c r="G10" s="2426"/>
      <c r="H10" s="2426"/>
      <c r="I10" s="1831"/>
    </row>
    <row r="11" spans="1:12" ht="12.75">
      <c r="A11" s="3117"/>
      <c r="B11" s="3043"/>
      <c r="C11" s="3148"/>
      <c r="D11" s="3135"/>
      <c r="E11" s="140" t="s">
        <v>2087</v>
      </c>
      <c r="F11" s="2426"/>
      <c r="G11" s="2426"/>
      <c r="H11" s="2426"/>
      <c r="I11" s="1831"/>
    </row>
    <row r="12" spans="1:12" ht="12.75">
      <c r="A12" s="3117" t="s">
        <v>2088</v>
      </c>
      <c r="B12" s="3043">
        <v>15</v>
      </c>
      <c r="C12" s="3147"/>
      <c r="D12" s="3135"/>
      <c r="E12" s="140" t="s">
        <v>2089</v>
      </c>
      <c r="F12" s="2426"/>
      <c r="G12" s="2426"/>
      <c r="H12" s="2426"/>
      <c r="I12" s="1831"/>
    </row>
    <row r="13" spans="1:12" ht="12.75">
      <c r="A13" s="3117"/>
      <c r="B13" s="3043"/>
      <c r="C13" s="3148"/>
      <c r="D13" s="3135"/>
      <c r="E13" s="140" t="s">
        <v>2090</v>
      </c>
      <c r="F13" s="2426"/>
      <c r="G13" s="2426"/>
      <c r="H13" s="2426"/>
      <c r="I13" s="1831"/>
    </row>
    <row r="14" spans="1:12" ht="12.75">
      <c r="A14" s="3117" t="s">
        <v>2091</v>
      </c>
      <c r="B14" s="3043">
        <v>30</v>
      </c>
      <c r="C14" s="3147">
        <v>6</v>
      </c>
      <c r="D14" s="3135">
        <v>4</v>
      </c>
      <c r="E14" s="140" t="s">
        <v>2092</v>
      </c>
      <c r="F14" s="2426"/>
      <c r="G14" s="2426"/>
      <c r="H14" s="2426"/>
      <c r="I14" s="1831"/>
    </row>
    <row r="15" spans="1:12" ht="12.75">
      <c r="A15" s="3117"/>
      <c r="B15" s="3043"/>
      <c r="C15" s="3149"/>
      <c r="D15" s="3135"/>
      <c r="E15" s="140" t="s">
        <v>2093</v>
      </c>
      <c r="F15" s="2426"/>
      <c r="G15" s="2426"/>
      <c r="H15" s="2426"/>
      <c r="I15" s="1831"/>
    </row>
    <row r="16" spans="1:12" ht="12.75">
      <c r="A16" s="3117"/>
      <c r="B16" s="3043"/>
      <c r="C16" s="3148"/>
      <c r="D16" s="3135"/>
      <c r="E16" s="140" t="s">
        <v>2094</v>
      </c>
      <c r="F16" s="2426"/>
      <c r="G16" s="2426"/>
      <c r="H16" s="2426"/>
      <c r="I16" s="1831"/>
    </row>
    <row r="17" spans="1:35" ht="15">
      <c r="A17" s="2427" t="s">
        <v>2095</v>
      </c>
      <c r="B17" s="64"/>
      <c r="C17" s="141">
        <f>SUM(C5:C16)</f>
        <v>6</v>
      </c>
      <c r="D17" s="141">
        <f>SUM(D5:D16)</f>
        <v>4</v>
      </c>
      <c r="E17" s="138"/>
      <c r="F17" s="138"/>
      <c r="G17" s="138"/>
      <c r="H17" s="138"/>
      <c r="I17" s="138"/>
      <c r="K17" s="2425"/>
      <c r="L17" s="2428" t="s">
        <v>2096</v>
      </c>
      <c r="M17" s="2428" t="s">
        <v>2097</v>
      </c>
    </row>
    <row r="18" spans="1:35" ht="15.75" thickBot="1">
      <c r="A18" s="2429" t="s">
        <v>2098</v>
      </c>
      <c r="B18" s="2430"/>
      <c r="C18" s="142">
        <f>ROUND(C17/SUM(C17:D17),2)</f>
        <v>0.6</v>
      </c>
      <c r="D18" s="142">
        <f>1-C18</f>
        <v>0.4</v>
      </c>
      <c r="E18" s="138"/>
      <c r="F18" s="138"/>
      <c r="G18" s="138"/>
      <c r="H18" s="138"/>
      <c r="I18" s="138"/>
      <c r="K18" s="2425" t="s">
        <v>2099</v>
      </c>
      <c r="L18" s="2425">
        <f>IF(C1="",'数据-汇总表'!E3,SUMIF(项目类型,C1,'数据-汇总表'!E17:E26)+SUMIF(项目类型,C1,'数据-汇总表'!I17:I26))</f>
        <v>2188.58</v>
      </c>
      <c r="M18" s="2425">
        <f>IF(C1="",'数据-汇总表'!E3,SUMIF(项目类型,C1,'数据-汇总表'!E17:E26))</f>
        <v>2188.58</v>
      </c>
    </row>
    <row r="19" spans="1:35" ht="15">
      <c r="A19" s="2431" t="s">
        <v>2100</v>
      </c>
      <c r="B19" s="2432" t="s">
        <v>2101</v>
      </c>
      <c r="C19" s="143">
        <f ca="1">SUMIF(INDIRECT("'"&amp;C4&amp;"'"&amp;"!A:A"),'结果表 (2)'!B19,INDIRECT("'"&amp;C4&amp;"'"&amp;"!B:B"))</f>
        <v>12732</v>
      </c>
      <c r="D19" s="144">
        <f ca="1">SUMIF(INDIRECT("'"&amp;D4&amp;"'"&amp;"!A:A"),'结果表 (2)'!B19,INDIRECT("'"&amp;D4&amp;"'"&amp;"!B:B"))</f>
        <v>4840</v>
      </c>
      <c r="E19" s="2431" t="s">
        <v>2102</v>
      </c>
      <c r="F19" s="2432" t="s">
        <v>2101</v>
      </c>
      <c r="G19" s="145">
        <f ca="1">ROUND(C19*$C$18+D19*$D$18,0)</f>
        <v>9575</v>
      </c>
      <c r="H19" s="2433" t="s">
        <v>2103</v>
      </c>
      <c r="I19" s="138"/>
      <c r="K19" s="2425" t="s">
        <v>2104</v>
      </c>
      <c r="L19" s="2425">
        <f>IF(C1="",'数据-汇总表'!D3,SUMIF(项目类型,C1,'数据-汇总表'!D17:D26)+SUMIF(项目类型,C1,'数据-汇总表'!H17:H27))</f>
        <v>546.38</v>
      </c>
      <c r="M19" s="2425">
        <f>IF(C1="",'数据-汇总表'!D3,SUMIF(项目类型,C1,'数据-汇总表'!D17:D26))</f>
        <v>546.38</v>
      </c>
    </row>
    <row r="20" spans="1:35" ht="15">
      <c r="A20" s="2434"/>
      <c r="B20" s="1248" t="s">
        <v>2105</v>
      </c>
      <c r="C20" s="146">
        <f ca="1">SUMIF(INDIRECT("'"&amp;C4&amp;"'"&amp;"!A:A"),'结果表 (2)'!B20,INDIRECT("'"&amp;C4&amp;"'"&amp;"!B:B"))</f>
        <v>58175</v>
      </c>
      <c r="D20" s="147">
        <f ca="1">SUMIF(INDIRECT("'"&amp;D4&amp;"'"&amp;"!A:A"),'结果表 (2)'!B20,INDIRECT("'"&amp;D4&amp;"'"&amp;"!B:B"))</f>
        <v>22115</v>
      </c>
      <c r="E20" s="2434"/>
      <c r="F20" s="1248" t="s">
        <v>2105</v>
      </c>
      <c r="G20" s="148">
        <f ca="1">ROUND(C20*$C$18+D20*$D$18,0)</f>
        <v>43751</v>
      </c>
      <c r="H20" s="981" t="s">
        <v>2106</v>
      </c>
      <c r="I20" s="138"/>
    </row>
    <row r="21" spans="1:35" ht="15" customHeight="1" thickBot="1">
      <c r="A21" s="1001"/>
      <c r="B21" s="2435" t="s">
        <v>2107</v>
      </c>
      <c r="C21" s="787">
        <f ca="1">ROUND(C19*10000/L19,0)</f>
        <v>233025</v>
      </c>
      <c r="D21" s="788">
        <f ca="1">ROUND(D19*10000/L19,0)</f>
        <v>88583</v>
      </c>
      <c r="E21" s="1001"/>
      <c r="F21" s="2435" t="s">
        <v>2107</v>
      </c>
      <c r="G21" s="149">
        <f ca="1">ROUND(G19*10000/L19,0)</f>
        <v>175244</v>
      </c>
      <c r="H21" s="2436" t="s">
        <v>2106</v>
      </c>
      <c r="I21" s="138"/>
    </row>
    <row r="22" spans="1:35" ht="15" thickBot="1">
      <c r="A22" s="2279" t="s">
        <v>2108</v>
      </c>
      <c r="B22" s="2437"/>
      <c r="C22" s="2438"/>
      <c r="D22" s="789">
        <f ca="1">IF(C19&lt;D19,D19/C19-1,C19/D19-1)</f>
        <v>1.6305785123966943</v>
      </c>
      <c r="E22" s="138"/>
      <c r="F22" s="138"/>
      <c r="G22" s="138"/>
      <c r="H22" s="138"/>
      <c r="I22" s="138"/>
    </row>
    <row r="23" spans="1:35" ht="13.5" thickBot="1">
      <c r="A23" s="2415"/>
      <c r="B23" s="2415"/>
      <c r="C23" s="2415"/>
      <c r="D23" s="2415"/>
      <c r="E23" s="138"/>
      <c r="F23" s="138"/>
      <c r="G23" s="138"/>
      <c r="H23" s="138"/>
      <c r="I23" s="138"/>
    </row>
    <row r="24" spans="1:35" ht="14.25">
      <c r="A24" s="3156" t="s">
        <v>2109</v>
      </c>
      <c r="B24" s="2432" t="s">
        <v>2101</v>
      </c>
      <c r="C24" s="145">
        <f>IF(B30=0,0,D30)</f>
        <v>0</v>
      </c>
      <c r="D24" s="2439"/>
      <c r="E24" s="138"/>
      <c r="F24" s="138"/>
      <c r="G24" s="138"/>
      <c r="H24" s="138"/>
      <c r="I24" s="138"/>
    </row>
    <row r="25" spans="1:35" ht="14.25">
      <c r="A25" s="3157"/>
      <c r="B25" s="1248" t="s">
        <v>2105</v>
      </c>
      <c r="C25" s="150">
        <f>IF(B30=0,0,C30)</f>
        <v>0</v>
      </c>
      <c r="D25" s="2440"/>
      <c r="E25" s="138"/>
      <c r="F25" s="138"/>
      <c r="G25" s="138"/>
      <c r="H25" s="138"/>
      <c r="I25" s="138"/>
    </row>
    <row r="26" spans="1:35" ht="13.5" customHeight="1">
      <c r="A26" s="2441" t="s">
        <v>2110</v>
      </c>
      <c r="B26" s="151" t="s">
        <v>2111</v>
      </c>
      <c r="C26" s="151" t="s">
        <v>2112</v>
      </c>
      <c r="D26" s="152" t="s">
        <v>2113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2114</v>
      </c>
      <c r="B30" s="151"/>
      <c r="C30" s="151"/>
      <c r="D30" s="151"/>
      <c r="E30" s="2924" t="s">
        <v>2984</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2115</v>
      </c>
      <c r="B32" s="2445"/>
      <c r="C32" s="153">
        <f ca="1">IF(D32="总价",G19-C24,G20-C25)</f>
        <v>43751</v>
      </c>
      <c r="D32" s="2446" t="s">
        <v>3061</v>
      </c>
      <c r="E32" s="138"/>
      <c r="F32" s="138"/>
      <c r="G32" s="138"/>
      <c r="H32" s="138"/>
      <c r="I32" s="138"/>
    </row>
    <row r="33" spans="1:15" ht="15">
      <c r="A33" s="958" t="s">
        <v>2116</v>
      </c>
      <c r="B33" s="2447"/>
      <c r="C33" s="2448"/>
      <c r="D33" s="2449"/>
      <c r="E33" s="2450" t="s">
        <v>2117</v>
      </c>
      <c r="F33" s="2945" t="str">
        <f>IF(D32="楼面单价","取值（单价）","取值（总价）")</f>
        <v>取值（单价）</v>
      </c>
      <c r="G33" s="138"/>
      <c r="H33" s="138"/>
      <c r="I33" s="138"/>
    </row>
    <row r="34" spans="1:15" ht="15">
      <c r="A34" s="2452"/>
      <c r="B34" s="2453" t="s">
        <v>2118</v>
      </c>
      <c r="C34" s="157" t="e">
        <f ca="1">IF(C33="自定义",F34,C32-C35)</f>
        <v>#REF!</v>
      </c>
      <c r="D34" s="1056" t="e">
        <f ca="1">IF(C33="自定义",ROUND(C34/C32,3),IF(C33="收益比率",SUMIF(INDIRECT("'"&amp;D33&amp;"'"&amp;"!b:b"),"土地收益比率",INDIRECT("'"&amp;D33&amp;"'"&amp;"!c:c")),SUMIF(INDIRECT("'"&amp;D33&amp;"'"&amp;"!b:b"),"土地成本比率",INDIRECT("'"&amp;D33&amp;"'"&amp;"!c:c"))))</f>
        <v>#REF!</v>
      </c>
      <c r="E34" s="2454" t="s">
        <v>2119</v>
      </c>
      <c r="F34" s="1736"/>
      <c r="G34" s="138"/>
      <c r="H34" s="138"/>
      <c r="I34" s="138"/>
    </row>
    <row r="35" spans="1:15" ht="15.75" thickBot="1">
      <c r="A35" s="2455"/>
      <c r="B35" s="2456" t="s">
        <v>2120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2121</v>
      </c>
      <c r="F35" s="163"/>
      <c r="G35" s="138"/>
      <c r="H35" s="138"/>
      <c r="I35" s="138"/>
    </row>
    <row r="36" spans="1:15" ht="15.75" thickBot="1">
      <c r="A36" s="3136" t="s">
        <v>2122</v>
      </c>
      <c r="B36" s="2458" t="s">
        <v>2123</v>
      </c>
      <c r="C36" s="154"/>
      <c r="D36" s="2459"/>
      <c r="E36" s="2460"/>
      <c r="F36" s="2461"/>
      <c r="G36" s="138"/>
      <c r="H36" s="138"/>
      <c r="I36" s="138"/>
    </row>
    <row r="37" spans="1:15" ht="15.75" thickBot="1">
      <c r="A37" s="3137"/>
      <c r="B37" s="2265" t="s">
        <v>2124</v>
      </c>
      <c r="C37" s="156"/>
      <c r="D37" s="1393"/>
      <c r="E37" s="1393"/>
      <c r="F37" s="2461"/>
      <c r="G37" s="138"/>
      <c r="H37" s="138"/>
      <c r="I37" s="138"/>
    </row>
    <row r="38" spans="1:15" ht="15.75" thickBot="1">
      <c r="A38" s="3138"/>
      <c r="B38" s="2462" t="s">
        <v>2125</v>
      </c>
      <c r="C38" s="725"/>
      <c r="D38" s="2463" t="s">
        <v>2126</v>
      </c>
      <c r="E38" s="1393"/>
      <c r="F38" s="2461"/>
      <c r="G38" s="138"/>
      <c r="H38" s="138"/>
      <c r="I38" s="138"/>
    </row>
    <row r="39" spans="1:15" ht="15">
      <c r="A39" s="2434" t="s">
        <v>2127</v>
      </c>
      <c r="B39" s="2464" t="s">
        <v>2111</v>
      </c>
      <c r="C39" s="2465" t="s">
        <v>2112</v>
      </c>
      <c r="D39" s="2465" t="s">
        <v>2130</v>
      </c>
      <c r="E39" s="2466" t="s">
        <v>2113</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153" t="s">
        <v>2136</v>
      </c>
      <c r="B45" s="3154"/>
      <c r="C45" s="3155"/>
      <c r="D45" s="164">
        <f ca="1">ROUND(H101*F45,0)</f>
        <v>9575</v>
      </c>
      <c r="E45" s="165" t="s">
        <v>2137</v>
      </c>
      <c r="F45" s="166">
        <v>1</v>
      </c>
      <c r="G45" s="167" t="s">
        <v>2138</v>
      </c>
      <c r="H45" s="138"/>
      <c r="I45" s="138"/>
      <c r="J45" s="3072" t="s">
        <v>2139</v>
      </c>
      <c r="K45" s="3072"/>
      <c r="L45" s="3072"/>
      <c r="M45" s="3072"/>
      <c r="N45" s="3072"/>
      <c r="O45" s="3072"/>
    </row>
    <row r="46" spans="1:15" ht="14.25" customHeight="1">
      <c r="A46" s="3150" t="s">
        <v>2140</v>
      </c>
      <c r="B46" s="3151"/>
      <c r="C46" s="3151"/>
      <c r="D46" s="3151"/>
      <c r="E46" s="3151"/>
      <c r="F46" s="3151"/>
      <c r="G46" s="3152"/>
      <c r="H46" s="2477"/>
      <c r="I46" s="168"/>
      <c r="J46" s="2950">
        <v>1</v>
      </c>
      <c r="K46" s="3072" t="s">
        <v>2141</v>
      </c>
      <c r="L46" s="3072"/>
      <c r="M46" s="3073"/>
      <c r="N46" s="3073"/>
      <c r="O46" s="3073"/>
    </row>
    <row r="47" spans="1:15" ht="12" customHeight="1">
      <c r="A47" s="169" t="s">
        <v>2142</v>
      </c>
      <c r="B47" s="170"/>
      <c r="C47" s="171"/>
      <c r="D47" s="172" t="s">
        <v>2143</v>
      </c>
      <c r="E47" s="24" t="s">
        <v>2144</v>
      </c>
      <c r="F47" s="173" t="s">
        <v>2145</v>
      </c>
      <c r="G47" s="174" t="s">
        <v>2146</v>
      </c>
      <c r="H47" s="2477"/>
      <c r="I47" s="168"/>
      <c r="J47" s="2950">
        <v>2</v>
      </c>
      <c r="K47" s="3072" t="s">
        <v>2147</v>
      </c>
      <c r="L47" s="3072"/>
      <c r="M47" s="3074">
        <f>'数据-取费表'!B2</f>
        <v>43382</v>
      </c>
      <c r="N47" s="3074"/>
      <c r="O47" s="3074"/>
    </row>
    <row r="48" spans="1:15" ht="25.5">
      <c r="A48" s="3140" t="s">
        <v>2148</v>
      </c>
      <c r="B48" s="3141"/>
      <c r="C48" s="3141"/>
      <c r="D48" s="140">
        <f>IF(H48="情况1",0,IF(H48="情况2",D52,IF(H48="情况3",D53,IF(H48="情况4",D54))))</f>
        <v>0</v>
      </c>
      <c r="E48" s="2959" t="str">
        <f>IF(H48="情况4","(销售额-原购置价)×税（费）率","销售额×税（费）率")</f>
        <v>销售额×税（费）率</v>
      </c>
      <c r="F48" s="175" t="str">
        <f>IF(H48="情况1","免征",'数据-取费表'!B41)</f>
        <v>免征</v>
      </c>
      <c r="G48" s="2478" t="s">
        <v>2149</v>
      </c>
      <c r="H48" s="2479" t="s">
        <v>2150</v>
      </c>
      <c r="I48" s="2477"/>
      <c r="J48" s="2950">
        <v>3</v>
      </c>
      <c r="K48" s="3072" t="s">
        <v>2151</v>
      </c>
      <c r="L48" s="3072"/>
      <c r="M48" s="3075">
        <f ca="1">H101</f>
        <v>9575</v>
      </c>
      <c r="N48" s="3075"/>
      <c r="O48" s="3075"/>
    </row>
    <row r="49" spans="1:35" ht="25.5" customHeight="1">
      <c r="A49" s="176" t="s">
        <v>2152</v>
      </c>
      <c r="B49" s="3120" t="s">
        <v>2153</v>
      </c>
      <c r="C49" s="3120"/>
      <c r="D49" s="177">
        <v>0</v>
      </c>
      <c r="E49" s="23" t="s">
        <v>2154</v>
      </c>
      <c r="F49" s="28" t="s">
        <v>34</v>
      </c>
      <c r="G49" s="3101"/>
      <c r="H49" s="138"/>
      <c r="I49" s="2480"/>
      <c r="J49" s="2950">
        <v>4</v>
      </c>
      <c r="K49" s="3072" t="str">
        <f>IF(项目基本情况!E8="房地产抵押价值","房地产抵押价值","抵押担保权已注销时的房地产抵押价值")</f>
        <v>房地产抵押价值</v>
      </c>
      <c r="L49" s="3072"/>
      <c r="M49" s="3075">
        <f ca="1">IF(项目基本情况!E8="房地产抵押价值",H107,H109)</f>
        <v>9575</v>
      </c>
      <c r="N49" s="3075"/>
      <c r="O49" s="3075"/>
    </row>
    <row r="50" spans="1:35" ht="25.5" customHeight="1">
      <c r="A50" s="178"/>
      <c r="B50" s="3120" t="s">
        <v>2155</v>
      </c>
      <c r="C50" s="3120"/>
      <c r="D50" s="179"/>
      <c r="E50" s="31"/>
      <c r="F50" s="180"/>
      <c r="G50" s="3102"/>
      <c r="H50" s="138"/>
      <c r="I50" s="2480"/>
      <c r="J50" s="3072" t="s">
        <v>2156</v>
      </c>
      <c r="K50" s="3072"/>
      <c r="L50" s="3072"/>
      <c r="M50" s="3072"/>
      <c r="N50" s="3072"/>
      <c r="O50" s="3072"/>
    </row>
    <row r="51" spans="1:35" ht="12" customHeight="1">
      <c r="A51" s="181"/>
      <c r="B51" s="3120" t="s">
        <v>2157</v>
      </c>
      <c r="C51" s="3120"/>
      <c r="D51" s="182"/>
      <c r="E51" s="30"/>
      <c r="F51" s="180"/>
      <c r="G51" s="3103"/>
      <c r="H51" s="138"/>
      <c r="I51" s="2480"/>
      <c r="J51" s="2947" t="s">
        <v>2158</v>
      </c>
      <c r="K51" s="3072" t="s">
        <v>2159</v>
      </c>
      <c r="L51" s="3072"/>
      <c r="M51" s="2947" t="s">
        <v>2160</v>
      </c>
      <c r="N51" s="2947" t="s">
        <v>2161</v>
      </c>
      <c r="O51" s="2947" t="s">
        <v>2162</v>
      </c>
    </row>
    <row r="52" spans="1:35" ht="24" customHeight="1">
      <c r="A52" s="183" t="s">
        <v>2163</v>
      </c>
      <c r="B52" s="3120" t="s">
        <v>2164</v>
      </c>
      <c r="C52" s="3120"/>
      <c r="D52" s="182">
        <f ca="1">ROUND(D45*'数据-取费表'!B41/(1+'数据-取费表'!C42),0)</f>
        <v>511</v>
      </c>
      <c r="E52" s="11" t="s">
        <v>2165</v>
      </c>
      <c r="F52" s="184">
        <f>'数据-取费表'!B41</f>
        <v>5.6000000000000001E-2</v>
      </c>
      <c r="G52" s="2482"/>
      <c r="H52" s="138"/>
      <c r="I52" s="2480"/>
      <c r="J52" s="2950">
        <v>1</v>
      </c>
      <c r="K52" s="3095" t="s">
        <v>2166</v>
      </c>
      <c r="L52" s="3095"/>
      <c r="M52" s="1751">
        <f>D48</f>
        <v>0</v>
      </c>
      <c r="N52" s="2950" t="str">
        <f>E48</f>
        <v>销售额×税（费）率</v>
      </c>
      <c r="O52" s="1752" t="str">
        <f>F48</f>
        <v>免征</v>
      </c>
    </row>
    <row r="53" spans="1:35" ht="12" customHeight="1">
      <c r="A53" s="183" t="s">
        <v>2167</v>
      </c>
      <c r="B53" s="3121" t="s">
        <v>2168</v>
      </c>
      <c r="C53" s="3122"/>
      <c r="D53" s="182">
        <f ca="1">ROUND(D45*'数据-取费表'!B41/(1+'数据-取费表'!C42),0)</f>
        <v>511</v>
      </c>
      <c r="E53" s="11" t="s">
        <v>2165</v>
      </c>
      <c r="F53" s="184">
        <f>'数据-取费表'!B41</f>
        <v>5.6000000000000001E-2</v>
      </c>
      <c r="G53" s="2482"/>
      <c r="H53" s="138"/>
      <c r="I53" s="2480"/>
      <c r="J53" s="2950">
        <v>2</v>
      </c>
      <c r="K53" s="3095" t="s">
        <v>2169</v>
      </c>
      <c r="L53" s="3095"/>
      <c r="M53" s="1751">
        <f t="shared" ref="M53:O54" ca="1" si="0">D55</f>
        <v>5</v>
      </c>
      <c r="N53" s="2950" t="str">
        <f t="shared" si="0"/>
        <v>销售额×税（费）率</v>
      </c>
      <c r="O53" s="1752">
        <f t="shared" si="0"/>
        <v>5.0000000000000001E-4</v>
      </c>
    </row>
    <row r="54" spans="1:35" ht="12" customHeight="1">
      <c r="A54" s="183" t="s">
        <v>2170</v>
      </c>
      <c r="B54" s="3121" t="s">
        <v>2171</v>
      </c>
      <c r="C54" s="3122"/>
      <c r="D54" s="182">
        <f ca="1">C68</f>
        <v>511</v>
      </c>
      <c r="E54" s="30" t="s">
        <v>2172</v>
      </c>
      <c r="F54" s="184">
        <f>'数据-取费表'!B41</f>
        <v>5.6000000000000001E-2</v>
      </c>
      <c r="G54" s="2482"/>
      <c r="H54" s="2483"/>
      <c r="I54" s="2480"/>
      <c r="J54" s="2950">
        <v>3</v>
      </c>
      <c r="K54" s="3095" t="s">
        <v>2173</v>
      </c>
      <c r="L54" s="3095"/>
      <c r="M54" s="1751">
        <f t="shared" ca="1" si="0"/>
        <v>5419</v>
      </c>
      <c r="N54" s="2950" t="str">
        <f t="shared" si="0"/>
        <v>增值额×税（费）率</v>
      </c>
      <c r="O54" s="1753" t="str">
        <f t="shared" si="0"/>
        <v>——</v>
      </c>
    </row>
    <row r="55" spans="1:35" ht="24" customHeight="1">
      <c r="A55" s="3159" t="s">
        <v>2174</v>
      </c>
      <c r="B55" s="3141"/>
      <c r="C55" s="3141"/>
      <c r="D55" s="185">
        <f ca="1">IF(H55="个人住宅",0,ROUND(D45*I55,0))</f>
        <v>5</v>
      </c>
      <c r="E55" s="11" t="s">
        <v>2175</v>
      </c>
      <c r="F55" s="184">
        <f>IF(H55="正常",I55,"免征")</f>
        <v>5.0000000000000001E-4</v>
      </c>
      <c r="G55" s="2482"/>
      <c r="H55" s="2479" t="s">
        <v>2176</v>
      </c>
      <c r="I55" s="186">
        <f>'数据-取费表'!B49</f>
        <v>5.0000000000000001E-4</v>
      </c>
      <c r="J55" s="2950" t="str">
        <f>IF(H59="非个人房产","",4)</f>
        <v/>
      </c>
      <c r="K55" s="3095" t="str">
        <f>IF(H59="非个人房产","——","个人所得税")</f>
        <v>——</v>
      </c>
      <c r="L55" s="3095"/>
      <c r="M55" s="1754" t="str">
        <f>D59</f>
        <v>——</v>
      </c>
      <c r="N55" s="2951" t="str">
        <f>E59</f>
        <v>——</v>
      </c>
      <c r="O55" s="1755" t="str">
        <f>F59</f>
        <v>——</v>
      </c>
    </row>
    <row r="56" spans="1:35" ht="24.75">
      <c r="A56" s="3159" t="s">
        <v>2177</v>
      </c>
      <c r="B56" s="3141"/>
      <c r="C56" s="3141"/>
      <c r="D56" s="185">
        <f ca="1">IF(H56="个人住宅",D57,D58)</f>
        <v>5419</v>
      </c>
      <c r="E56" s="11" t="s">
        <v>2178</v>
      </c>
      <c r="F56" s="184" t="str">
        <f>IF(H56="正常",F58,"免征")</f>
        <v>——</v>
      </c>
      <c r="G56" s="2484" t="s">
        <v>2179</v>
      </c>
      <c r="H56" s="2485" t="s">
        <v>2176</v>
      </c>
      <c r="I56" s="2486"/>
      <c r="J56" s="2950" t="str">
        <f>IF(项目基本情况!K6="上海银行",IF(J55="",4,J55+1),"")</f>
        <v/>
      </c>
      <c r="K56" s="3078" t="str">
        <f>IF(项目基本情况!K6="上海银行","其他处置费用","")</f>
        <v/>
      </c>
      <c r="L56" s="3079"/>
      <c r="M56" s="1751" t="str">
        <f>IF(项目基本情况!K6="上海银行",M69,"")</f>
        <v/>
      </c>
      <c r="N56" s="3081" t="str">
        <f>IF(项目基本情况!K6="上海银行","包含处置中涉及的律师、诉讼、拍卖、评估等费用","")</f>
        <v/>
      </c>
      <c r="O56" s="3082"/>
    </row>
    <row r="57" spans="1:35" ht="12.75">
      <c r="A57" s="183" t="s">
        <v>2152</v>
      </c>
      <c r="B57" s="3126" t="s">
        <v>2180</v>
      </c>
      <c r="C57" s="3127"/>
      <c r="D57" s="187">
        <v>0</v>
      </c>
      <c r="E57" s="23" t="s">
        <v>2154</v>
      </c>
      <c r="F57" s="155"/>
      <c r="G57" s="2482"/>
      <c r="H57" s="2486"/>
      <c r="I57" s="2486"/>
      <c r="J57" s="3095">
        <f>IF(AND(J55="",J56=""),4,IF(项目基本情况!K6="上海银行",'结果表 (2)'!J56+1,'结果表 (2)'!J55+1))</f>
        <v>4</v>
      </c>
      <c r="K57" s="3095" t="s">
        <v>2181</v>
      </c>
      <c r="L57" s="2487" t="s">
        <v>2182</v>
      </c>
      <c r="M57" s="1756"/>
      <c r="N57" s="1757">
        <f ca="1">SUMIF(M52:M56,"&lt;9e307")</f>
        <v>5424</v>
      </c>
      <c r="O57" s="2488"/>
      <c r="P57" s="1750">
        <f ca="1">N57/M49</f>
        <v>0.56647519582245431</v>
      </c>
    </row>
    <row r="58" spans="1:35" ht="24.75">
      <c r="A58" s="183" t="s">
        <v>2163</v>
      </c>
      <c r="B58" s="3126" t="s">
        <v>2183</v>
      </c>
      <c r="C58" s="3139"/>
      <c r="D58" s="185">
        <f ca="1">IF(H58="转让取得",C81,C97)</f>
        <v>5419</v>
      </c>
      <c r="E58" s="11" t="s">
        <v>2178</v>
      </c>
      <c r="F58" s="24" t="s">
        <v>34</v>
      </c>
      <c r="G58" s="2482"/>
      <c r="H58" s="2485" t="s">
        <v>2184</v>
      </c>
      <c r="I58" s="2486"/>
      <c r="J58" s="3095"/>
      <c r="K58" s="3095"/>
      <c r="L58" s="2487" t="s">
        <v>2185</v>
      </c>
      <c r="M58" s="1758"/>
      <c r="N58" s="2489" t="str">
        <f ca="1">NUMBERSTRING(INT(N57*10000),2)&amp;"元整"</f>
        <v>伍仟肆佰贰拾肆万元整</v>
      </c>
      <c r="O58" s="2490"/>
    </row>
    <row r="59" spans="1:35" ht="24.75" thickBot="1">
      <c r="A59" s="3099" t="s">
        <v>2186</v>
      </c>
      <c r="B59" s="3100"/>
      <c r="C59" s="3100"/>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097">
        <f>J57+1</f>
        <v>5</v>
      </c>
      <c r="K59" s="3095" t="s">
        <v>2188</v>
      </c>
      <c r="L59" s="2950" t="s">
        <v>2182</v>
      </c>
      <c r="M59" s="1759"/>
      <c r="N59" s="1760">
        <f ca="1">M49-N57</f>
        <v>4151</v>
      </c>
      <c r="O59" s="2492"/>
    </row>
    <row r="60" spans="1:35" ht="12" customHeight="1">
      <c r="A60" s="2493"/>
      <c r="B60" s="2415"/>
      <c r="C60" s="2415"/>
      <c r="D60" s="2415"/>
      <c r="E60" s="2164"/>
      <c r="F60" s="2486"/>
      <c r="G60" s="2486"/>
      <c r="H60" s="2494"/>
      <c r="I60" s="138"/>
      <c r="J60" s="3098"/>
      <c r="K60" s="3095"/>
      <c r="L60" s="2487" t="s">
        <v>2185</v>
      </c>
      <c r="M60" s="1758"/>
      <c r="N60" s="2489" t="str">
        <f ca="1">NUMBERSTRING(INT(N59*10000),2)&amp;"元整"</f>
        <v>肆仟壹佰伍拾壹万元整</v>
      </c>
      <c r="O60" s="2490"/>
    </row>
    <row r="61" spans="1:35" ht="13.5" thickBot="1">
      <c r="A61" s="3158" t="s">
        <v>2189</v>
      </c>
      <c r="B61" s="3158"/>
      <c r="C61" s="3158"/>
      <c r="D61" s="3158"/>
      <c r="E61" s="3158"/>
      <c r="F61" s="2486"/>
      <c r="G61" s="2486"/>
      <c r="H61" s="2494"/>
      <c r="I61" s="138"/>
      <c r="J61" s="2950">
        <f>J59+1</f>
        <v>6</v>
      </c>
      <c r="K61" s="3095" t="s">
        <v>2190</v>
      </c>
      <c r="L61" s="3095"/>
      <c r="M61" s="1761"/>
      <c r="N61" s="1762">
        <f ca="1">ROUND(N59*10000/'数据-汇总表'!E3,0)</f>
        <v>18967</v>
      </c>
      <c r="O61" s="2495"/>
    </row>
    <row r="62" spans="1:35" ht="12.75">
      <c r="A62" s="3115" t="s">
        <v>2191</v>
      </c>
      <c r="B62" s="3116"/>
      <c r="C62" s="2955"/>
      <c r="D62" s="2955" t="s">
        <v>2192</v>
      </c>
      <c r="E62" s="192" t="s">
        <v>2193</v>
      </c>
      <c r="F62" s="2486"/>
      <c r="G62" s="2486"/>
      <c r="H62" s="2494"/>
      <c r="I62" s="138"/>
    </row>
    <row r="63" spans="1:35" ht="12.75">
      <c r="A63" s="203" t="s">
        <v>774</v>
      </c>
      <c r="B63" s="193" t="s">
        <v>2194</v>
      </c>
      <c r="C63" s="194">
        <f ca="1">ROUND((C64+C65)/(1+'数据-取费表'!C42),0)</f>
        <v>9119</v>
      </c>
      <c r="D63" s="195"/>
      <c r="E63" s="196"/>
      <c r="F63" s="2486"/>
      <c r="G63" s="2486"/>
      <c r="H63" s="2494"/>
      <c r="I63" s="138"/>
      <c r="J63" s="3080" t="s">
        <v>2195</v>
      </c>
      <c r="K63" s="2948" t="s">
        <v>2196</v>
      </c>
      <c r="L63" s="1749">
        <f ca="1">IF(M49&gt;10000,M49*0.5%,IF(AND(M49&gt;1000,M49&lt;=10000),M49*1%,IF(AND(M49&gt;100,M49&lt;=1000),M49*3%,IF(AND(M49&gt;10,M49&lt;=100),M49*5%,M49*8%))))</f>
        <v>95.75</v>
      </c>
      <c r="M63" s="24">
        <f ca="1">ROUND(L63,1)</f>
        <v>95.8</v>
      </c>
      <c r="Z63" s="2420"/>
      <c r="AI63" s="2421"/>
    </row>
    <row r="64" spans="1:35" ht="14.25" customHeight="1">
      <c r="A64" s="197" t="s">
        <v>769</v>
      </c>
      <c r="B64" s="198" t="s">
        <v>2197</v>
      </c>
      <c r="C64" s="199">
        <f ca="1">D45</f>
        <v>9575</v>
      </c>
      <c r="D64" s="200" t="s">
        <v>32</v>
      </c>
      <c r="E64" s="201"/>
      <c r="F64" s="2486"/>
      <c r="G64" s="2486"/>
      <c r="H64" s="2494"/>
      <c r="I64" s="138"/>
      <c r="J64" s="3080"/>
      <c r="K64" s="2948" t="s">
        <v>2198</v>
      </c>
      <c r="L64" s="1749">
        <f ca="1">IF(M49&gt;2000,M49*0.5%,IF(AND(M49&gt;1000,M49&lt;=2000),M49*0.6%,IF(AND(M49&gt;500,M49&lt;=1000),M49*0.7%,IF(AND(M49&gt;200,M49&lt;=500),M49*0.8%,IF(AND(M49&gt;100,M49&lt;=200),M49*0.9%,IF(AND(M49&gt;50,M49&lt;=100),M49*1%,IF(AND(M49&gt;20,M49&lt;=50),M49*1.5%,IF(AND(M49&gt;10,M49&lt;=20),M49*2%,IF(AND(M49&gt;1,M49&lt;=10),M49*2.5%)))))))))</f>
        <v>47.875</v>
      </c>
      <c r="M64" s="24">
        <f t="shared" ref="M64:M65" ca="1" si="1">ROUND(L64,1)</f>
        <v>47.9</v>
      </c>
      <c r="N64" s="138" t="s">
        <v>2199</v>
      </c>
      <c r="Z64" s="2420"/>
      <c r="AI64" s="2421"/>
    </row>
    <row r="65" spans="1:35" ht="14.25" customHeight="1">
      <c r="A65" s="197" t="s">
        <v>770</v>
      </c>
      <c r="B65" s="198" t="s">
        <v>2200</v>
      </c>
      <c r="C65" s="202"/>
      <c r="D65" s="200"/>
      <c r="E65" s="201"/>
      <c r="F65" s="2486"/>
      <c r="G65" s="2486"/>
      <c r="H65" s="2494"/>
      <c r="I65" s="138"/>
      <c r="J65" s="3080"/>
      <c r="K65" s="2948" t="s">
        <v>2201</v>
      </c>
      <c r="L65" s="1749">
        <f ca="1">IF(M49&gt;1000,M49*0.1%,IF(AND(M49&gt;500,M49&lt;=1000),M49*0.5%,IF(AND(M49&gt;50,M49&lt;=500),M49*1%,IF(AND(M49&gt;1,M49&lt;=50),M49*1.5%))))</f>
        <v>9.5750000000000011</v>
      </c>
      <c r="M65" s="24">
        <f t="shared" ca="1" si="1"/>
        <v>9.6</v>
      </c>
      <c r="N65" s="138" t="s">
        <v>2199</v>
      </c>
      <c r="Z65" s="2420"/>
      <c r="AI65" s="2421"/>
    </row>
    <row r="66" spans="1:35" ht="14.25" customHeight="1">
      <c r="A66" s="203" t="s">
        <v>771</v>
      </c>
      <c r="B66" s="204" t="s">
        <v>2202</v>
      </c>
      <c r="C66" s="205"/>
      <c r="D66" s="206" t="s">
        <v>32</v>
      </c>
      <c r="E66" s="1773" t="s">
        <v>1367</v>
      </c>
      <c r="F66" s="2486"/>
      <c r="G66" s="2486"/>
      <c r="H66" s="2494"/>
      <c r="I66" s="138"/>
      <c r="J66" s="3080"/>
      <c r="K66" s="2948" t="s">
        <v>2203</v>
      </c>
      <c r="L66" s="1749">
        <f ca="1">M49*0.5%</f>
        <v>47.875</v>
      </c>
      <c r="M66" s="24">
        <f ca="1">IF(L66&gt;0.5,0.5,ROUND(L66,0))</f>
        <v>0.5</v>
      </c>
      <c r="N66" s="138" t="s">
        <v>2204</v>
      </c>
      <c r="Z66" s="2420"/>
      <c r="AI66" s="2421"/>
    </row>
    <row r="67" spans="1:35" ht="14.25" customHeight="1">
      <c r="A67" s="203" t="s">
        <v>772</v>
      </c>
      <c r="B67" s="204" t="s">
        <v>2205</v>
      </c>
      <c r="C67" s="207">
        <f ca="1">C63-C66</f>
        <v>9119</v>
      </c>
      <c r="D67" s="200" t="s">
        <v>32</v>
      </c>
      <c r="E67" s="201"/>
      <c r="F67" s="2486"/>
      <c r="G67" s="2486"/>
      <c r="H67" s="2494"/>
      <c r="I67" s="138"/>
      <c r="J67" s="3080"/>
      <c r="K67" s="2948" t="s">
        <v>2206</v>
      </c>
      <c r="L67" s="1749">
        <f ca="1">IF(M49&gt;=10000,(8.25+(M49-10000)*0.01%),IF(AND(M49&gt;=8000,M49&lt;10000),(7.85+(M49-8000)*0.02%),IF(AND(M49&gt;=5000,M49&lt;8000),(6.65+(M49-5000)*0.04%),IF(AND(M49&gt;=2000,M49&lt;5000),(4.25+(PM49-2000)*0.08%),IF(AND(M49&gt;=1000,M49&lt;2000),(2.75+(M49-1000)*0.15%),IF(AND(M49&gt;=100,M49&lt;1000),(0.5+(M49-100)*0.25%),IF(AND(M49&gt;0,M49&lt;100),M49*0.5%)))))))</f>
        <v>8.1649999999999991</v>
      </c>
      <c r="M67" s="24">
        <f ca="1">ROUND(L67*0.9,1)</f>
        <v>7.3</v>
      </c>
      <c r="Z67" s="2420"/>
      <c r="AI67" s="2421"/>
    </row>
    <row r="68" spans="1:35" ht="14.25" customHeight="1" thickBot="1">
      <c r="A68" s="208" t="s">
        <v>773</v>
      </c>
      <c r="B68" s="209" t="s">
        <v>2207</v>
      </c>
      <c r="C68" s="210">
        <f ca="1">IF(C67&lt;=0,0,ROUND(C67*D68,0))</f>
        <v>511</v>
      </c>
      <c r="D68" s="211">
        <f>'数据-取费表'!B41</f>
        <v>5.6000000000000001E-2</v>
      </c>
      <c r="E68" s="212"/>
      <c r="F68" s="2486"/>
      <c r="G68" s="2486"/>
      <c r="H68" s="2494"/>
      <c r="I68" s="138"/>
      <c r="J68" s="3080"/>
      <c r="K68" s="2948" t="s">
        <v>2208</v>
      </c>
      <c r="L68" s="1749">
        <f ca="1">IF(M49&gt;10000,M49*0.5%,IF(AND(M49&gt;5000,M49&lt;=10000),M49*1%,IF(AND(M49&gt;1000,M49&lt;=5000),M49*2%,IF(AND(M49&gt;200,M49&lt;=1000),M49*3%,M49*5%))))</f>
        <v>95.75</v>
      </c>
      <c r="M68" s="24">
        <f ca="1">ROUND(L68,1)</f>
        <v>95.8</v>
      </c>
      <c r="Z68" s="2420"/>
      <c r="AI68" s="2421"/>
    </row>
    <row r="69" spans="1:35" s="2443" customFormat="1" ht="16.5" customHeight="1">
      <c r="A69" s="2497"/>
      <c r="B69" s="2498"/>
      <c r="C69" s="2499"/>
      <c r="D69" s="2500"/>
      <c r="E69" s="2501"/>
      <c r="F69" s="2164"/>
      <c r="G69" s="2164"/>
      <c r="H69" s="2163"/>
      <c r="I69" s="2415"/>
      <c r="J69" s="3080"/>
      <c r="K69" s="2948" t="s">
        <v>2209</v>
      </c>
      <c r="L69" s="2502"/>
      <c r="M69" s="24">
        <f ca="1">ROUND(SUM(M63:M68),0)</f>
        <v>257</v>
      </c>
      <c r="N69" s="1750">
        <f ca="1">M69/M49</f>
        <v>2.6840731070496084E-2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24" t="s">
        <v>2210</v>
      </c>
      <c r="B70" s="3125"/>
      <c r="C70" s="3125"/>
      <c r="D70" s="3125"/>
      <c r="E70" s="3125"/>
      <c r="F70" s="3125"/>
      <c r="G70" s="3125"/>
      <c r="H70" s="312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5" t="s">
        <v>2191</v>
      </c>
      <c r="B71" s="3116"/>
      <c r="C71" s="2955"/>
      <c r="D71" s="2955"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9119</v>
      </c>
      <c r="D72" s="200" t="s">
        <v>32</v>
      </c>
      <c r="E72" s="2957"/>
      <c r="F72" s="2956"/>
      <c r="G72" s="295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55</v>
      </c>
      <c r="D73" s="200" t="s">
        <v>32</v>
      </c>
      <c r="E73" s="2957"/>
      <c r="F73" s="2956"/>
      <c r="G73" s="295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2957"/>
      <c r="F74" s="2956"/>
      <c r="G74" s="295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21" t="s">
        <v>2219</v>
      </c>
      <c r="F76" s="3120"/>
      <c r="G76" s="3120"/>
      <c r="H76" s="312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2949" t="s">
        <v>2221</v>
      </c>
      <c r="F77" s="224"/>
      <c r="G77" s="2510" t="s">
        <v>2222</v>
      </c>
      <c r="H77" s="295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55</v>
      </c>
      <c r="D78" s="226">
        <f>'数据-取费表'!B43</f>
        <v>6.000000000000001E-3</v>
      </c>
      <c r="E78" s="3112" t="s">
        <v>2224</v>
      </c>
      <c r="F78" s="3113"/>
      <c r="G78" s="3113"/>
      <c r="H78" s="311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4" t="s">
        <v>2225</v>
      </c>
      <c r="C79" s="207">
        <f ca="1">C72-C73</f>
        <v>9064</v>
      </c>
      <c r="D79" s="200" t="s">
        <v>32</v>
      </c>
      <c r="E79" s="2957"/>
      <c r="F79" s="2956"/>
      <c r="G79" s="295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164.8</v>
      </c>
      <c r="D80" s="200" t="s">
        <v>32</v>
      </c>
      <c r="E80" s="2949"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5419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4" t="s">
        <v>2228</v>
      </c>
      <c r="B83" s="3125"/>
      <c r="C83" s="3125"/>
      <c r="D83" s="3125"/>
      <c r="E83" s="3125"/>
      <c r="F83" s="3125"/>
      <c r="G83" s="3125"/>
      <c r="H83" s="312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5" t="s">
        <v>2191</v>
      </c>
      <c r="B84" s="3116"/>
      <c r="C84" s="2955"/>
      <c r="D84" s="2955"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9119</v>
      </c>
      <c r="D85" s="200" t="s">
        <v>32</v>
      </c>
      <c r="E85" s="2957"/>
      <c r="F85" s="2956"/>
      <c r="G85" s="295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55</v>
      </c>
      <c r="D86" s="235"/>
      <c r="E86" s="2957"/>
      <c r="F86" s="2956"/>
      <c r="G86" s="295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2952"/>
      <c r="F87" s="2953"/>
      <c r="G87" s="2953"/>
      <c r="H87" s="295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2953"/>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2953"/>
      <c r="G89" s="2953"/>
      <c r="H89" s="295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2953"/>
      <c r="G90" s="2953"/>
      <c r="H90" s="295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112" t="s">
        <v>2237</v>
      </c>
      <c r="F91" s="3113"/>
      <c r="G91" s="3113"/>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112" t="s">
        <v>2241</v>
      </c>
      <c r="F92" s="3113"/>
      <c r="G92" s="3113"/>
      <c r="H92" s="311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55</v>
      </c>
      <c r="D93" s="226">
        <f>'数据-取费表'!B43</f>
        <v>6.000000000000001E-3</v>
      </c>
      <c r="E93" s="3112" t="s">
        <v>2224</v>
      </c>
      <c r="F93" s="3113"/>
      <c r="G93" s="3113"/>
      <c r="H93" s="311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60" t="s">
        <v>2245</v>
      </c>
      <c r="F94" s="3161"/>
      <c r="G94" s="3161"/>
      <c r="H94" s="316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4" t="s">
        <v>2225</v>
      </c>
      <c r="C95" s="207">
        <f ca="1">ROUND(C85-C86,0)</f>
        <v>9064</v>
      </c>
      <c r="D95" s="200" t="s">
        <v>32</v>
      </c>
      <c r="E95" s="2957"/>
      <c r="F95" s="2956"/>
      <c r="G95" s="295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164.8</v>
      </c>
      <c r="D96" s="200" t="s">
        <v>32</v>
      </c>
      <c r="E96" s="2949"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5419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64" t="s">
        <v>2247</v>
      </c>
      <c r="B100" s="3065"/>
      <c r="C100" s="3065"/>
      <c r="D100" s="3096"/>
      <c r="E100" s="3065" t="s">
        <v>2248</v>
      </c>
      <c r="F100" s="3065"/>
      <c r="G100" s="3065"/>
      <c r="H100" s="3096"/>
      <c r="I100" s="138"/>
    </row>
    <row r="101" spans="1:35" ht="18.75" customHeight="1">
      <c r="A101" s="3104" t="s">
        <v>2249</v>
      </c>
      <c r="B101" s="3105"/>
      <c r="C101" s="734" t="str">
        <f>C4</f>
        <v>比较法-商业</v>
      </c>
      <c r="D101" s="735" t="str">
        <f>D4</f>
        <v>收益法</v>
      </c>
      <c r="E101" s="3076" t="s">
        <v>2250</v>
      </c>
      <c r="F101" s="3077"/>
      <c r="G101" s="2517" t="s">
        <v>2251</v>
      </c>
      <c r="H101" s="1046">
        <f ca="1">H118</f>
        <v>9575</v>
      </c>
      <c r="I101" s="138"/>
    </row>
    <row r="102" spans="1:35" ht="18.75" customHeight="1">
      <c r="A102" s="3106" t="s">
        <v>2252</v>
      </c>
      <c r="B102" s="2517" t="s">
        <v>2251</v>
      </c>
      <c r="C102" s="734">
        <f ca="1">C19</f>
        <v>12732</v>
      </c>
      <c r="D102" s="735">
        <f ca="1">D19</f>
        <v>4840</v>
      </c>
      <c r="E102" s="3076"/>
      <c r="F102" s="3077"/>
      <c r="G102" s="2517" t="s">
        <v>2253</v>
      </c>
      <c r="H102" s="371">
        <f ca="1">I118</f>
        <v>43751</v>
      </c>
      <c r="I102" s="138"/>
    </row>
    <row r="103" spans="1:35" ht="42.75" customHeight="1">
      <c r="A103" s="3106"/>
      <c r="B103" s="2517" t="s">
        <v>2253</v>
      </c>
      <c r="C103" s="736">
        <f ca="1">C20</f>
        <v>58175</v>
      </c>
      <c r="D103" s="737">
        <f ca="1">D20</f>
        <v>22115</v>
      </c>
      <c r="E103" s="3070" t="s">
        <v>2254</v>
      </c>
      <c r="F103" s="3071"/>
      <c r="G103" s="2518" t="s">
        <v>2255</v>
      </c>
      <c r="H103" s="1046">
        <f>IF(D36="正常操作",H104+H105+H106,H105+H106)</f>
        <v>0</v>
      </c>
      <c r="I103" s="138"/>
    </row>
    <row r="104" spans="1:35" ht="18.75" customHeight="1">
      <c r="A104" s="3106" t="s">
        <v>2256</v>
      </c>
      <c r="B104" s="2519" t="s">
        <v>2251</v>
      </c>
      <c r="C104" s="738">
        <f ca="1">H118</f>
        <v>9575</v>
      </c>
      <c r="D104" s="739"/>
      <c r="E104" s="2265" t="s">
        <v>2257</v>
      </c>
      <c r="F104" s="2256"/>
      <c r="G104" s="2518" t="s">
        <v>2255</v>
      </c>
      <c r="H104" s="1047">
        <f>IF(D36="同一抵押权人同一抵押物续贷",C36&amp;"（未扣减，详见特别提示）",C36)</f>
        <v>0</v>
      </c>
      <c r="I104" s="138"/>
    </row>
    <row r="105" spans="1:35" ht="18.75" customHeight="1" thickBot="1">
      <c r="A105" s="3118"/>
      <c r="B105" s="2520" t="s">
        <v>2253</v>
      </c>
      <c r="C105" s="740">
        <f ca="1">I118</f>
        <v>43751</v>
      </c>
      <c r="D105" s="741"/>
      <c r="E105" s="2265" t="s">
        <v>2258</v>
      </c>
      <c r="F105" s="2256"/>
      <c r="G105" s="2518" t="s">
        <v>2255</v>
      </c>
      <c r="H105" s="1047">
        <f>C37</f>
        <v>0</v>
      </c>
      <c r="I105" s="138"/>
    </row>
    <row r="106" spans="1:35" ht="18.75" customHeight="1">
      <c r="A106" s="2415" t="s">
        <v>2259</v>
      </c>
      <c r="B106" s="2415"/>
      <c r="C106" s="2415"/>
      <c r="D106" s="2415"/>
      <c r="E106" s="2521" t="s">
        <v>2260</v>
      </c>
      <c r="F106" s="2256"/>
      <c r="G106" s="2518" t="s">
        <v>2255</v>
      </c>
      <c r="H106" s="1047">
        <f>C38</f>
        <v>0</v>
      </c>
      <c r="I106" s="138"/>
    </row>
    <row r="107" spans="1:35" ht="18.75" customHeight="1">
      <c r="A107" s="138"/>
      <c r="B107" s="138"/>
      <c r="C107" s="138"/>
      <c r="D107" s="138"/>
      <c r="E107" s="3107" t="str">
        <f>IF(项目基本情况!E8="已注销","——","3.房地产抵押价值")</f>
        <v>3.房地产抵押价值</v>
      </c>
      <c r="F107" s="3077"/>
      <c r="G107" s="2517" t="s">
        <v>2251</v>
      </c>
      <c r="H107" s="1046">
        <f ca="1">IF(E107="——","——",H101-H103)</f>
        <v>9575</v>
      </c>
      <c r="I107" s="138"/>
    </row>
    <row r="108" spans="1:35" ht="18.75" customHeight="1">
      <c r="A108" s="138"/>
      <c r="B108" s="138"/>
      <c r="C108" s="138"/>
      <c r="D108" s="138"/>
      <c r="E108" s="3107"/>
      <c r="F108" s="3077"/>
      <c r="G108" s="2517" t="s">
        <v>2253</v>
      </c>
      <c r="H108" s="371">
        <f ca="1">ROUND(H107*10000/'数据-汇总表'!E3,0)</f>
        <v>43750</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077"/>
      <c r="G109" s="2517" t="s">
        <v>2251</v>
      </c>
      <c r="H109" s="348" t="str">
        <f>IF(E109="——","——",H101-H105-H106)</f>
        <v>——</v>
      </c>
      <c r="I109" s="138"/>
    </row>
    <row r="110" spans="1:35" ht="18.75" customHeight="1">
      <c r="A110" s="138"/>
      <c r="B110" s="138"/>
      <c r="C110" s="138"/>
      <c r="D110" s="138"/>
      <c r="E110" s="3107"/>
      <c r="F110" s="3077"/>
      <c r="G110" s="2517" t="s">
        <v>2253</v>
      </c>
      <c r="H110" s="371" t="str">
        <f>IF(H109="——","——",ROUND(H109*10000/'数据-汇总表'!E3,0))</f>
        <v>——</v>
      </c>
      <c r="I110" s="138"/>
    </row>
    <row r="111" spans="1:35" ht="18.75" customHeight="1">
      <c r="A111" s="138"/>
      <c r="B111" s="138"/>
      <c r="C111" s="138"/>
      <c r="D111" s="138"/>
      <c r="E111" s="3108" t="str">
        <f>IF(项目基本情况!E9="抵押净值",IF(OR(项目基本情况!E8="已注销",项目基本情况!E8="房地产抵押价值"),"4.抵押净值","5.抵押净值"),"——")</f>
        <v>——</v>
      </c>
      <c r="F111" s="3109"/>
      <c r="G111" s="2517" t="s">
        <v>2251</v>
      </c>
      <c r="H111" s="1046" t="str">
        <f>IF(E111="——","——",N59)</f>
        <v>——</v>
      </c>
      <c r="I111" s="138"/>
    </row>
    <row r="112" spans="1:35" ht="18.75" customHeight="1" thickBot="1">
      <c r="A112" s="138"/>
      <c r="B112" s="138"/>
      <c r="C112" s="138"/>
      <c r="D112" s="138"/>
      <c r="E112" s="3110"/>
      <c r="F112" s="3111"/>
      <c r="G112" s="2522" t="s">
        <v>2253</v>
      </c>
      <c r="H112" s="788" t="str">
        <f>IF(E111="——","——",N61)</f>
        <v>——</v>
      </c>
      <c r="I112" s="138"/>
    </row>
    <row r="113" spans="1:11" ht="18.75" customHeight="1">
      <c r="A113" s="138"/>
      <c r="B113" s="138"/>
      <c r="C113" s="138"/>
      <c r="D113" s="138"/>
      <c r="E113" s="3119" t="s">
        <v>2259</v>
      </c>
      <c r="F113" s="3119"/>
      <c r="G113" s="3119"/>
      <c r="H113" s="3119"/>
      <c r="I113" s="138"/>
    </row>
    <row r="114" spans="1:11" ht="3.75" customHeight="1">
      <c r="A114" s="2415"/>
      <c r="B114" s="2415"/>
      <c r="C114" s="2415"/>
      <c r="D114" s="2415"/>
      <c r="E114" s="2493"/>
      <c r="F114" s="2493"/>
      <c r="G114" s="2493"/>
      <c r="H114" s="2493"/>
      <c r="I114" s="2415"/>
    </row>
    <row r="115" spans="1:11" ht="18.75" customHeight="1">
      <c r="A115" s="3132" t="s">
        <v>2261</v>
      </c>
      <c r="B115" s="3133"/>
      <c r="C115" s="3133"/>
      <c r="D115" s="3133"/>
      <c r="E115" s="3133"/>
      <c r="F115" s="3133"/>
      <c r="G115" s="3133"/>
      <c r="H115" s="3133"/>
      <c r="I115" s="3134"/>
    </row>
    <row r="116" spans="1:11" ht="27" customHeight="1">
      <c r="A116" s="3043" t="s">
        <v>2262</v>
      </c>
      <c r="B116" s="3086" t="s">
        <v>2263</v>
      </c>
      <c r="C116" s="3086" t="s">
        <v>2264</v>
      </c>
      <c r="D116" s="3092" t="s">
        <v>2265</v>
      </c>
      <c r="E116" s="3093"/>
      <c r="F116" s="3128" t="s">
        <v>2266</v>
      </c>
      <c r="G116" s="3128"/>
      <c r="H116" s="3043" t="s">
        <v>2267</v>
      </c>
      <c r="I116" s="3043"/>
    </row>
    <row r="117" spans="1:11" ht="18.75" customHeight="1">
      <c r="A117" s="3043"/>
      <c r="B117" s="3087"/>
      <c r="C117" s="3087"/>
      <c r="D117" s="2946" t="s">
        <v>2268</v>
      </c>
      <c r="E117" s="2946" t="s">
        <v>2269</v>
      </c>
      <c r="F117" s="2946" t="s">
        <v>2268</v>
      </c>
      <c r="G117" s="2946" t="s">
        <v>2270</v>
      </c>
      <c r="H117" s="2946" t="s">
        <v>2268</v>
      </c>
      <c r="I117" s="2946" t="s">
        <v>2270</v>
      </c>
    </row>
    <row r="118" spans="1:11" ht="24.75" customHeight="1">
      <c r="A118" s="2523" t="str">
        <f>项目基本情况!S2</f>
        <v>北京市朝阳区吉庆里9号、10号楼房地产</v>
      </c>
      <c r="B118" s="2946">
        <f>M18</f>
        <v>2188.58</v>
      </c>
      <c r="C118" s="2946">
        <f>M19</f>
        <v>546.38</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9575</v>
      </c>
      <c r="I118" s="2946">
        <f ca="1">ROUND(IF(D32="楼面单价",C32,H118*10000/B118),0)</f>
        <v>43751</v>
      </c>
    </row>
    <row r="119" spans="1:11" ht="18.75" customHeight="1">
      <c r="A119" s="3043" t="s">
        <v>2271</v>
      </c>
      <c r="B119" s="3043"/>
      <c r="C119" s="3043"/>
      <c r="D119" s="3088" t="e">
        <f ca="1">NUMBERSTRING(INT(D118*10000),2)&amp;"元整"</f>
        <v>#REF!</v>
      </c>
      <c r="E119" s="3089"/>
      <c r="F119" s="3088" t="e">
        <f ca="1">NUMBERSTRING(INT(F118*10000),2)&amp;"元整"</f>
        <v>#REF!</v>
      </c>
      <c r="G119" s="3089"/>
      <c r="H119" s="3088" t="str">
        <f ca="1">NUMBERSTRING(INT(H118*10000),2)&amp;"元整"</f>
        <v>玖仟伍佰柒拾伍万元整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0" t="str">
        <f>IF(D120=0,"故，本次评估不存在"&amp;A120,"故，本次评估"&amp;A120&amp;"为人民币"&amp;D120&amp;"万元整。")</f>
        <v>故，本次评估不存在估价师知悉的法定优先受偿款</v>
      </c>
    </row>
    <row r="121" spans="1:11" ht="18.75" customHeight="1">
      <c r="A121" s="3129" t="s">
        <v>2271</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9575</v>
      </c>
      <c r="E122" s="3084"/>
      <c r="F122" s="3084"/>
      <c r="G122" s="3084"/>
      <c r="H122" s="3084"/>
      <c r="I122" s="3085"/>
    </row>
    <row r="123" spans="1:11" ht="18.75" customHeight="1">
      <c r="A123" s="3043" t="s">
        <v>2271</v>
      </c>
      <c r="B123" s="3043"/>
      <c r="C123" s="3043"/>
      <c r="D123" s="3088" t="str">
        <f ca="1">NUMBERSTRING(INT(D122*10000),2)&amp;"元整"</f>
        <v>玖仟伍佰柒拾伍万元整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2271</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2271</v>
      </c>
      <c r="B127" s="3043"/>
      <c r="C127" s="3043"/>
      <c r="D127" s="3088" t="e">
        <f>NUMBERSTRING(INT(D126*10000),2)&amp;"元整"</f>
        <v>#VALUE!</v>
      </c>
      <c r="E127" s="3090"/>
      <c r="F127" s="3090"/>
      <c r="G127" s="3090"/>
      <c r="H127" s="3090"/>
      <c r="I127" s="3089"/>
    </row>
    <row r="128" spans="1:11" ht="21.75" customHeight="1">
      <c r="A128" s="3091" t="s">
        <v>2272</v>
      </c>
      <c r="B128" s="3091"/>
      <c r="C128" s="3091"/>
      <c r="D128" s="3091"/>
      <c r="E128" s="3091"/>
      <c r="F128" s="3091"/>
      <c r="G128" s="3091"/>
      <c r="H128" s="3091"/>
      <c r="I128" s="3091"/>
    </row>
    <row r="129" spans="1:35" ht="21.75" customHeight="1">
      <c r="A129" s="2524" t="s">
        <v>2273</v>
      </c>
      <c r="B129" s="2525"/>
      <c r="C129" s="2526" t="s">
        <v>2274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2275</v>
      </c>
      <c r="G135" s="2541"/>
      <c r="H135" s="2541"/>
      <c r="I135" s="2542" t="s">
        <v>2276</v>
      </c>
    </row>
    <row r="136" spans="1:35" ht="21.75" customHeight="1">
      <c r="A136" s="793"/>
      <c r="B136" s="2543" t="s">
        <v>2277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2278</v>
      </c>
    </row>
    <row r="139" spans="1:35" ht="21.75" customHeight="1">
      <c r="A139" s="793"/>
      <c r="B139" s="2543" t="s">
        <v>2279</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2278</v>
      </c>
    </row>
    <row r="142" spans="1:35" ht="21.75" customHeight="1">
      <c r="A142" s="793"/>
      <c r="B142" s="2543"/>
      <c r="C142" s="2544"/>
      <c r="D142" s="2545"/>
      <c r="E142" s="2545"/>
      <c r="F142" s="2339"/>
      <c r="G142" s="793"/>
      <c r="H142" s="793"/>
      <c r="I142" s="793"/>
    </row>
    <row r="143" spans="1:35" s="139" customFormat="1" ht="21.75" customHeight="1">
      <c r="A143" s="793"/>
      <c r="B143" s="2543"/>
      <c r="C143" s="2544"/>
      <c r="D143" s="2545"/>
      <c r="E143" s="2545"/>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2977" t="str">
        <f>项目基本情况!B1</f>
        <v>北京市朝阳区吉庆里9号、10号楼房地产抵押价值预评估</v>
      </c>
      <c r="C37" s="2977"/>
      <c r="D37" s="2977"/>
      <c r="E37" s="2977"/>
      <c r="F37" s="2977"/>
      <c r="G37" s="2977"/>
      <c r="H37" s="2977"/>
      <c r="I37" s="2977"/>
    </row>
    <row r="38" spans="1:9">
      <c r="A38" s="1017"/>
      <c r="B38" s="1017"/>
    </row>
    <row r="39" spans="1:9">
      <c r="A39" s="1015" t="s">
        <v>817</v>
      </c>
      <c r="B39" s="1015" t="s">
        <v>819</v>
      </c>
    </row>
    <row r="40" spans="1:9">
      <c r="A40" s="1015"/>
      <c r="B40" s="1942">
        <f>项目基本情况!B5</f>
        <v>0</v>
      </c>
    </row>
    <row r="41" spans="1:9">
      <c r="A41" s="1015"/>
      <c r="B41" s="1015"/>
    </row>
    <row r="42" spans="1:9">
      <c r="A42" s="1015" t="s">
        <v>817</v>
      </c>
      <c r="B42" s="1015" t="s">
        <v>820</v>
      </c>
    </row>
    <row r="43" spans="1:9">
      <c r="A43" s="1015"/>
      <c r="B43" s="1942" t="s">
        <v>821</v>
      </c>
    </row>
    <row r="44" spans="1:9">
      <c r="A44" s="1015"/>
      <c r="B44" s="1015"/>
    </row>
    <row r="45" spans="1:9">
      <c r="A45" s="1015" t="s">
        <v>817</v>
      </c>
      <c r="B45" s="1015" t="s">
        <v>822</v>
      </c>
    </row>
    <row r="46" spans="1:9" s="1015" customFormat="1" ht="12.75">
      <c r="B46" s="1942" t="str">
        <f ca="1">项目基本情况!K4</f>
        <v>王鹏（注册号：1120050019)、崔锴（注册号：1120100036)</v>
      </c>
    </row>
    <row r="47" spans="1:9">
      <c r="A47" s="1015"/>
      <c r="B47" s="1015" t="str">
        <f>项目基本情况!K5</f>
        <v/>
      </c>
    </row>
    <row r="48" spans="1:9">
      <c r="A48" s="1015" t="s">
        <v>817</v>
      </c>
      <c r="B48" s="1015"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activeCellId="1" sqref="E6:F6 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2281</v>
      </c>
      <c r="B2" s="671" t="e">
        <f>F66</f>
        <v>#REF!</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2283</v>
      </c>
      <c r="B3" s="609" t="e">
        <f>ROUND(IF(D3="",B2*10000/'数据-汇总表'!E3,B2*10000/D3),0)</f>
        <v>#REF!</v>
      </c>
      <c r="C3" s="247" t="s">
        <v>2700</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2599</v>
      </c>
      <c r="B4" s="402"/>
      <c r="C4" s="3182" t="s">
        <v>2600</v>
      </c>
      <c r="D4" s="3183"/>
      <c r="E4" s="3184" t="s">
        <v>2601</v>
      </c>
      <c r="F4" s="3185"/>
      <c r="G4" s="3182" t="s">
        <v>2602</v>
      </c>
      <c r="H4" s="3183"/>
      <c r="I4" s="3182" t="s">
        <v>2603</v>
      </c>
      <c r="J4" s="3183"/>
      <c r="K4" s="610" t="s">
        <v>2604</v>
      </c>
      <c r="L4" s="1131"/>
      <c r="M4" s="1132"/>
      <c r="N4" s="1132"/>
      <c r="O4" s="1132"/>
      <c r="P4" s="3186" t="s">
        <v>2605</v>
      </c>
      <c r="Q4" s="3187"/>
      <c r="R4" s="3168" t="s">
        <v>2601</v>
      </c>
      <c r="S4" s="3169"/>
      <c r="T4" s="3168" t="s">
        <v>2602</v>
      </c>
      <c r="U4" s="3169"/>
      <c r="V4" s="3194" t="s">
        <v>2603</v>
      </c>
      <c r="W4" s="3194"/>
      <c r="X4" s="1813"/>
      <c r="Y4" s="3168" t="s">
        <v>2605</v>
      </c>
      <c r="Z4" s="3169"/>
      <c r="AA4" s="3163" t="s">
        <v>2601</v>
      </c>
      <c r="AB4" s="3164" t="s">
        <v>2602</v>
      </c>
      <c r="AC4" s="3163" t="s">
        <v>2603</v>
      </c>
    </row>
    <row r="5" spans="1:30" ht="15">
      <c r="A5" s="404"/>
      <c r="B5" s="405"/>
      <c r="C5" s="3174" t="s">
        <v>3014</v>
      </c>
      <c r="D5" s="3175"/>
      <c r="E5" s="3172" t="s">
        <v>2497</v>
      </c>
      <c r="F5" s="3173"/>
      <c r="G5" s="3178" t="s">
        <v>2498</v>
      </c>
      <c r="H5" s="3175"/>
      <c r="I5" s="3178" t="s">
        <v>2499</v>
      </c>
      <c r="J5" s="3175"/>
      <c r="K5" s="610"/>
      <c r="L5" s="1131"/>
      <c r="M5" s="1132"/>
      <c r="N5" s="1132"/>
      <c r="O5" s="1132"/>
      <c r="P5" s="3188"/>
      <c r="Q5" s="3189"/>
      <c r="R5" s="3170"/>
      <c r="S5" s="3171"/>
      <c r="T5" s="3170"/>
      <c r="U5" s="3171"/>
      <c r="V5" s="3194"/>
      <c r="W5" s="3194"/>
      <c r="X5" s="1813"/>
      <c r="Y5" s="3170"/>
      <c r="Z5" s="3171"/>
      <c r="AA5" s="3164"/>
      <c r="AB5" s="3164"/>
      <c r="AC5" s="3164"/>
    </row>
    <row r="6" spans="1:30" ht="15.75" thickBot="1">
      <c r="A6" s="406"/>
      <c r="B6" s="407"/>
      <c r="C6" s="3176" t="s">
        <v>2500</v>
      </c>
      <c r="D6" s="3177"/>
      <c r="E6" s="3179" t="s">
        <v>2500</v>
      </c>
      <c r="F6" s="3180"/>
      <c r="G6" s="3176" t="s">
        <v>2500</v>
      </c>
      <c r="H6" s="3177"/>
      <c r="I6" s="3176" t="s">
        <v>2500</v>
      </c>
      <c r="J6" s="3177"/>
      <c r="K6" s="610" t="s">
        <v>2501</v>
      </c>
      <c r="L6" s="1131"/>
      <c r="M6" s="1132"/>
      <c r="N6" s="1132"/>
      <c r="O6" s="1132"/>
      <c r="P6" s="3190"/>
      <c r="Q6" s="3191"/>
      <c r="R6" s="3170"/>
      <c r="S6" s="3171"/>
      <c r="T6" s="3192"/>
      <c r="U6" s="3193"/>
      <c r="V6" s="3194"/>
      <c r="W6" s="3194"/>
      <c r="X6" s="1813"/>
      <c r="Y6" s="3192"/>
      <c r="Z6" s="3193"/>
      <c r="AA6" s="3165"/>
      <c r="AB6" s="3165"/>
      <c r="AC6" s="3165"/>
    </row>
    <row r="7" spans="1:30" s="117" customFormat="1" ht="15.75" thickBot="1">
      <c r="A7" s="408" t="s">
        <v>2502</v>
      </c>
      <c r="B7" s="409"/>
      <c r="C7" s="410">
        <f>'数据-取费表'!B2</f>
        <v>43382</v>
      </c>
      <c r="D7" s="411">
        <v>100</v>
      </c>
      <c r="E7" s="412" t="e">
        <f>#REF!</f>
        <v>#REF!</v>
      </c>
      <c r="F7" s="413">
        <f>SUMIF(70:70,YEAR(E7)&amp;"-"&amp;INT((MONTH(E7)+2)/3),71:71)</f>
        <v>0</v>
      </c>
      <c r="G7" s="2695" t="e">
        <f>#REF!</f>
        <v>#REF!</v>
      </c>
      <c r="H7" s="411">
        <f>SUMIF(70:70,YEAR(G7)&amp;"-"&amp;INT((MONTH(G7)+2)/3),71:71)</f>
        <v>0</v>
      </c>
      <c r="I7" s="2695" t="e">
        <f>#REF!</f>
        <v>#REF!</v>
      </c>
      <c r="J7" s="411">
        <f>SUMIF(70:70,YEAR(I7)&amp;"-"&amp;INT((MONTH(I7)+2)/3),71:71)</f>
        <v>0</v>
      </c>
      <c r="K7" s="611"/>
      <c r="L7" s="1133"/>
      <c r="M7" s="1134"/>
      <c r="N7" s="1134"/>
      <c r="O7" s="1134"/>
      <c r="P7" s="3166" t="s">
        <v>2503</v>
      </c>
      <c r="Q7" s="3195"/>
      <c r="R7" s="768" t="s">
        <v>17</v>
      </c>
      <c r="S7" s="769">
        <f t="shared" ref="S7:S15" si="0">F7</f>
        <v>0</v>
      </c>
      <c r="T7" s="768" t="s">
        <v>17</v>
      </c>
      <c r="U7" s="769">
        <f t="shared" ref="U7:U15" si="1">H7</f>
        <v>0</v>
      </c>
      <c r="V7" s="768" t="s">
        <v>17</v>
      </c>
      <c r="W7" s="769">
        <f t="shared" ref="W7:W15" si="2">J7</f>
        <v>0</v>
      </c>
      <c r="X7" s="770"/>
      <c r="Y7" s="3166" t="s">
        <v>2503</v>
      </c>
      <c r="Z7" s="3167"/>
      <c r="AA7" s="771" t="e">
        <f>D7/F7</f>
        <v>#DIV/0!</v>
      </c>
      <c r="AB7" s="771" t="e">
        <f>D7/H7</f>
        <v>#DIV/0!</v>
      </c>
      <c r="AC7" s="771" t="e">
        <f>D7/J7</f>
        <v>#DIV/0!</v>
      </c>
    </row>
    <row r="8" spans="1:30" s="117" customFormat="1" ht="15.75" thickBot="1">
      <c r="A8" s="408" t="s">
        <v>2504</v>
      </c>
      <c r="B8" s="409"/>
      <c r="C8" s="414" t="s">
        <v>2505</v>
      </c>
      <c r="D8" s="411">
        <v>100</v>
      </c>
      <c r="E8" s="414" t="s">
        <v>3020</v>
      </c>
      <c r="F8" s="413">
        <f>SUMIF(73:73,E8,74:74)-SUMIF(73:73,C8,74:74)+100</f>
        <v>100</v>
      </c>
      <c r="G8" s="414" t="s">
        <v>3020</v>
      </c>
      <c r="H8" s="411">
        <f>SUMIF(73:73,G8,74:74)-SUMIF(73:73,C8,74:74)+100</f>
        <v>100</v>
      </c>
      <c r="I8" s="414" t="s">
        <v>3020</v>
      </c>
      <c r="J8" s="411">
        <f>SUMIF(73:73,I8,74:74)-SUMIF(73:73,C8,74:74)+100</f>
        <v>100</v>
      </c>
      <c r="K8" s="611"/>
      <c r="L8" s="1133"/>
      <c r="M8" s="1134"/>
      <c r="N8" s="1134"/>
      <c r="O8" s="1134"/>
      <c r="P8" s="3166" t="s">
        <v>2506</v>
      </c>
      <c r="Q8" s="3167"/>
      <c r="R8" s="768" t="s">
        <v>17</v>
      </c>
      <c r="S8" s="769">
        <f t="shared" si="0"/>
        <v>100</v>
      </c>
      <c r="T8" s="768" t="s">
        <v>17</v>
      </c>
      <c r="U8" s="769">
        <f t="shared" si="1"/>
        <v>100</v>
      </c>
      <c r="V8" s="768" t="s">
        <v>17</v>
      </c>
      <c r="W8" s="769">
        <f t="shared" si="2"/>
        <v>100</v>
      </c>
      <c r="X8" s="770"/>
      <c r="Y8" s="3166" t="s">
        <v>2506</v>
      </c>
      <c r="Z8" s="3167"/>
      <c r="AA8" s="771">
        <f t="shared" ref="AA8:AA45" si="3">D8/F8</f>
        <v>1</v>
      </c>
      <c r="AB8" s="771">
        <f t="shared" ref="AB8:AB45" si="4">D8/H8</f>
        <v>1</v>
      </c>
      <c r="AC8" s="771">
        <f t="shared" ref="AC8:AC45" si="5">D8/J8</f>
        <v>1</v>
      </c>
    </row>
    <row r="9" spans="1:30" s="117" customFormat="1">
      <c r="A9" s="415" t="s">
        <v>2507</v>
      </c>
      <c r="B9" s="71" t="s">
        <v>2508</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3"/>
      <c r="M9" s="1134"/>
      <c r="N9" s="1134"/>
      <c r="O9" s="1135"/>
      <c r="P9" s="3181" t="s">
        <v>2509</v>
      </c>
      <c r="Q9" s="1795" t="str">
        <f t="shared" ref="Q9:Q15" si="6">B9</f>
        <v>用途</v>
      </c>
      <c r="R9" s="768" t="s">
        <v>17</v>
      </c>
      <c r="S9" s="769">
        <f t="shared" si="0"/>
        <v>100</v>
      </c>
      <c r="T9" s="768" t="s">
        <v>17</v>
      </c>
      <c r="U9" s="769">
        <f t="shared" si="1"/>
        <v>100</v>
      </c>
      <c r="V9" s="768" t="s">
        <v>17</v>
      </c>
      <c r="W9" s="769">
        <f t="shared" si="2"/>
        <v>100</v>
      </c>
      <c r="X9" s="770"/>
      <c r="Y9" s="3043" t="s">
        <v>2510</v>
      </c>
      <c r="Z9" s="55" t="str">
        <f t="shared" ref="Z9:Z15" si="7">Q9</f>
        <v>用途</v>
      </c>
      <c r="AA9" s="771">
        <f t="shared" si="3"/>
        <v>1</v>
      </c>
      <c r="AB9" s="771">
        <f t="shared" si="4"/>
        <v>1</v>
      </c>
      <c r="AC9" s="771">
        <f t="shared" si="5"/>
        <v>1</v>
      </c>
    </row>
    <row r="10" spans="1:30" s="427" customFormat="1" ht="27">
      <c r="A10" s="421"/>
      <c r="B10" s="422" t="s">
        <v>2511</v>
      </c>
      <c r="C10" s="432"/>
      <c r="D10" s="136">
        <v>100</v>
      </c>
      <c r="E10" s="465"/>
      <c r="F10" s="136">
        <f>ROUND(100/'数据-取费表'!G16,0)</f>
        <v>135</v>
      </c>
      <c r="G10" s="463"/>
      <c r="H10" s="136">
        <f>ROUND(100/'数据-取费表'!G16,0)</f>
        <v>135</v>
      </c>
      <c r="I10" s="463"/>
      <c r="J10" s="136">
        <f>ROUND(100/'数据-取费表'!G16,0)</f>
        <v>135</v>
      </c>
      <c r="K10" s="672"/>
      <c r="L10" s="1136"/>
      <c r="M10" s="1137"/>
      <c r="N10" s="1137"/>
      <c r="O10" s="1138"/>
      <c r="P10" s="3181"/>
      <c r="Q10" s="1795" t="str">
        <f t="shared" si="6"/>
        <v>土地使用年限（年）</v>
      </c>
      <c r="R10" s="768" t="s">
        <v>17</v>
      </c>
      <c r="S10" s="769">
        <f t="shared" si="0"/>
        <v>135</v>
      </c>
      <c r="T10" s="768" t="s">
        <v>17</v>
      </c>
      <c r="U10" s="769">
        <f t="shared" si="1"/>
        <v>135</v>
      </c>
      <c r="V10" s="768" t="s">
        <v>17</v>
      </c>
      <c r="W10" s="769">
        <f t="shared" si="2"/>
        <v>135</v>
      </c>
      <c r="X10" s="770"/>
      <c r="Y10" s="3043"/>
      <c r="Z10" s="55" t="str">
        <f t="shared" si="7"/>
        <v>土地使用年限（年）</v>
      </c>
      <c r="AA10" s="771">
        <f t="shared" si="3"/>
        <v>0.7407407407407407</v>
      </c>
      <c r="AB10" s="771">
        <f t="shared" si="4"/>
        <v>0.7407407407407407</v>
      </c>
      <c r="AC10" s="771">
        <f t="shared" si="5"/>
        <v>0.7407407407407407</v>
      </c>
    </row>
    <row r="11" spans="1:30" ht="15">
      <c r="A11" s="428"/>
      <c r="B11" s="422" t="s">
        <v>2512</v>
      </c>
      <c r="C11" s="429">
        <f>'数据-汇总表'!I4</f>
        <v>0</v>
      </c>
      <c r="D11" s="136">
        <v>100</v>
      </c>
      <c r="E11" s="429"/>
      <c r="F11" s="136">
        <f>LOOKUP(E11,80:80,81:81)-LOOKUP(C11,80:80,81:81)+100</f>
        <v>100</v>
      </c>
      <c r="G11" s="430"/>
      <c r="H11" s="136">
        <f>LOOKUP(G11,80:80,81:81)-LOOKUP(C11,80:80,81:81)+100</f>
        <v>100</v>
      </c>
      <c r="I11" s="429"/>
      <c r="J11" s="136">
        <f>LOOKUP(I11,80:80,81:81)-LOOKUP(C11,80:80,81:81)+100</f>
        <v>100</v>
      </c>
      <c r="K11" s="673"/>
      <c r="L11" s="1139"/>
      <c r="M11" s="1132"/>
      <c r="N11" s="1132"/>
      <c r="O11" s="1140"/>
      <c r="P11" s="3181"/>
      <c r="Q11" s="1795" t="str">
        <f t="shared" si="6"/>
        <v>容积率</v>
      </c>
      <c r="R11" s="768" t="s">
        <v>17</v>
      </c>
      <c r="S11" s="769">
        <f t="shared" si="0"/>
        <v>100</v>
      </c>
      <c r="T11" s="768" t="s">
        <v>17</v>
      </c>
      <c r="U11" s="769">
        <f t="shared" si="1"/>
        <v>100</v>
      </c>
      <c r="V11" s="768" t="s">
        <v>17</v>
      </c>
      <c r="W11" s="769">
        <f t="shared" si="2"/>
        <v>100</v>
      </c>
      <c r="X11" s="770"/>
      <c r="Y11" s="3043"/>
      <c r="Z11" s="55" t="str">
        <f t="shared" si="7"/>
        <v>容积率</v>
      </c>
      <c r="AA11" s="771">
        <f t="shared" si="3"/>
        <v>1</v>
      </c>
      <c r="AB11" s="771">
        <f t="shared" si="4"/>
        <v>1</v>
      </c>
      <c r="AC11" s="771">
        <f t="shared" si="5"/>
        <v>1</v>
      </c>
    </row>
    <row r="12" spans="1:30" s="117" customFormat="1" ht="15">
      <c r="A12" s="431"/>
      <c r="B12" s="2599"/>
      <c r="C12" s="432"/>
      <c r="D12" s="433">
        <v>100</v>
      </c>
      <c r="E12" s="465" t="s">
        <v>3021</v>
      </c>
      <c r="F12" s="136">
        <f>SUMIF(82:82,E12,83:83)-SUMIF(82:82,C12,83:83)+100</f>
        <v>100</v>
      </c>
      <c r="G12" s="463" t="s">
        <v>3022</v>
      </c>
      <c r="H12" s="136">
        <f>SUMIF(82:82,G12,83:83)-SUMIF(82:82,C12,83:83)+100</f>
        <v>100</v>
      </c>
      <c r="I12" s="465" t="s">
        <v>3023</v>
      </c>
      <c r="J12" s="136">
        <f>SUMIF(82:82,I12,83:83)-SUMIF(82:82,C12,83:83)+100</f>
        <v>100</v>
      </c>
      <c r="K12" s="672"/>
      <c r="L12" s="1133"/>
      <c r="M12" s="1134"/>
      <c r="N12" s="1134"/>
      <c r="O12" s="1135"/>
      <c r="P12" s="3181"/>
      <c r="Q12" s="1795">
        <f t="shared" si="6"/>
        <v>0</v>
      </c>
      <c r="R12" s="768" t="s">
        <v>17</v>
      </c>
      <c r="S12" s="769">
        <f t="shared" si="0"/>
        <v>100</v>
      </c>
      <c r="T12" s="768" t="s">
        <v>17</v>
      </c>
      <c r="U12" s="769">
        <f t="shared" si="1"/>
        <v>100</v>
      </c>
      <c r="V12" s="768" t="s">
        <v>17</v>
      </c>
      <c r="W12" s="769">
        <f t="shared" si="2"/>
        <v>100</v>
      </c>
      <c r="X12" s="770"/>
      <c r="Y12" s="3043"/>
      <c r="Z12" s="55">
        <f t="shared" si="7"/>
        <v>0</v>
      </c>
      <c r="AA12" s="771">
        <f>D12/F12</f>
        <v>1</v>
      </c>
      <c r="AB12" s="771">
        <f>D12/H12</f>
        <v>1</v>
      </c>
      <c r="AC12" s="771">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81"/>
      <c r="Q13" s="1795">
        <f t="shared" si="6"/>
        <v>0</v>
      </c>
      <c r="R13" s="768" t="s">
        <v>17</v>
      </c>
      <c r="S13" s="769">
        <f t="shared" si="0"/>
        <v>100</v>
      </c>
      <c r="T13" s="768" t="s">
        <v>17</v>
      </c>
      <c r="U13" s="769">
        <f t="shared" si="1"/>
        <v>100</v>
      </c>
      <c r="V13" s="768" t="s">
        <v>17</v>
      </c>
      <c r="W13" s="769">
        <f t="shared" si="2"/>
        <v>100</v>
      </c>
      <c r="X13" s="770"/>
      <c r="Y13" s="3043"/>
      <c r="Z13" s="55">
        <f t="shared" si="7"/>
        <v>0</v>
      </c>
      <c r="AA13" s="771">
        <f>D13/F13</f>
        <v>1</v>
      </c>
      <c r="AB13" s="771">
        <f>D13/H13</f>
        <v>1</v>
      </c>
      <c r="AC13" s="771">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81"/>
      <c r="Q14" s="1795">
        <f t="shared" si="6"/>
        <v>0</v>
      </c>
      <c r="R14" s="768" t="s">
        <v>17</v>
      </c>
      <c r="S14" s="769">
        <f t="shared" si="0"/>
        <v>100</v>
      </c>
      <c r="T14" s="768" t="s">
        <v>17</v>
      </c>
      <c r="U14" s="769">
        <f t="shared" si="1"/>
        <v>100</v>
      </c>
      <c r="V14" s="768" t="s">
        <v>17</v>
      </c>
      <c r="W14" s="769">
        <f t="shared" si="2"/>
        <v>100</v>
      </c>
      <c r="X14" s="770"/>
      <c r="Y14" s="3043"/>
      <c r="Z14" s="55">
        <f t="shared" si="7"/>
        <v>0</v>
      </c>
      <c r="AA14" s="771">
        <f>D14/F14</f>
        <v>1</v>
      </c>
      <c r="AB14" s="771">
        <f>D14/H14</f>
        <v>1</v>
      </c>
      <c r="AC14" s="771">
        <f>D14/J14</f>
        <v>1</v>
      </c>
    </row>
    <row r="15" spans="1:30" ht="99.75">
      <c r="A15" s="440" t="s">
        <v>2513</v>
      </c>
      <c r="B15" s="69" t="s">
        <v>2048</v>
      </c>
      <c r="C15" s="2602">
        <f>估价对象房地状况!C15</f>
        <v>0</v>
      </c>
      <c r="D15" s="441">
        <v>100</v>
      </c>
      <c r="E15" s="442" t="s">
        <v>3024</v>
      </c>
      <c r="F15" s="441">
        <f>SUMIF(88:88,E16,89:89)-SUMIF(88:88,C16,89:89)+100</f>
        <v>100</v>
      </c>
      <c r="G15" s="442" t="s">
        <v>3024</v>
      </c>
      <c r="H15" s="441">
        <f>SUMIF(88:88,G16,89:89)-SUMIF(88:88,C16,89:89)+100</f>
        <v>102</v>
      </c>
      <c r="I15" s="442" t="s">
        <v>3024</v>
      </c>
      <c r="J15" s="441">
        <f>SUMIF(88:88,I16,89:89)-SUMIF(88:88,C16,89:89)+100</f>
        <v>100</v>
      </c>
      <c r="K15" s="673">
        <v>2</v>
      </c>
      <c r="L15" s="1141"/>
      <c r="M15" s="1132"/>
      <c r="N15" s="1132"/>
      <c r="O15" s="1140"/>
      <c r="P15" s="3196" t="s">
        <v>2514</v>
      </c>
      <c r="Q15" s="1810" t="str">
        <f t="shared" si="6"/>
        <v>居住社区成熟度</v>
      </c>
      <c r="R15" s="772" t="s">
        <v>17</v>
      </c>
      <c r="S15" s="773">
        <f t="shared" si="0"/>
        <v>100</v>
      </c>
      <c r="T15" s="772" t="s">
        <v>17</v>
      </c>
      <c r="U15" s="773">
        <f t="shared" si="1"/>
        <v>102</v>
      </c>
      <c r="V15" s="772" t="s">
        <v>17</v>
      </c>
      <c r="W15" s="773">
        <f t="shared" si="2"/>
        <v>100</v>
      </c>
      <c r="X15" s="1813"/>
      <c r="Y15" s="3196" t="s">
        <v>2514</v>
      </c>
      <c r="Z15" s="1814" t="str">
        <f t="shared" si="7"/>
        <v>居住社区成熟度</v>
      </c>
      <c r="AA15" s="1811">
        <f t="shared" si="3"/>
        <v>1</v>
      </c>
      <c r="AB15" s="1811">
        <f t="shared" si="4"/>
        <v>0.98039215686274506</v>
      </c>
      <c r="AC15" s="1811">
        <f t="shared" si="5"/>
        <v>1</v>
      </c>
    </row>
    <row r="16" spans="1:30" ht="15">
      <c r="A16" s="428"/>
      <c r="B16" s="446"/>
      <c r="C16" s="447" t="s">
        <v>3015</v>
      </c>
      <c r="D16" s="448"/>
      <c r="E16" s="2604" t="s">
        <v>3015</v>
      </c>
      <c r="F16" s="448"/>
      <c r="G16" s="2604" t="s">
        <v>3016</v>
      </c>
      <c r="H16" s="450"/>
      <c r="I16" s="2604" t="s">
        <v>3015</v>
      </c>
      <c r="J16" s="448"/>
      <c r="K16" s="672"/>
      <c r="L16" s="1141"/>
      <c r="M16" s="1132"/>
      <c r="N16" s="1132"/>
      <c r="O16" s="1140"/>
      <c r="P16" s="3197"/>
      <c r="Q16" s="1810"/>
      <c r="R16" s="772"/>
      <c r="S16" s="773"/>
      <c r="T16" s="772"/>
      <c r="U16" s="773"/>
      <c r="V16" s="772"/>
      <c r="W16" s="773"/>
      <c r="X16" s="1813"/>
      <c r="Y16" s="3197"/>
      <c r="Z16" s="1814"/>
      <c r="AA16" s="1811">
        <v>1</v>
      </c>
      <c r="AB16" s="1811">
        <v>1</v>
      </c>
      <c r="AC16" s="1811">
        <v>1</v>
      </c>
    </row>
    <row r="17" spans="1:29" ht="85.5">
      <c r="A17" s="428"/>
      <c r="B17" s="451" t="s">
        <v>2607</v>
      </c>
      <c r="C17" s="2663" t="str">
        <f>估价对象房地状况!C16</f>
        <v>估价对象位于东大桥商圈，周边商业氛围较成熟，人流量较大，商业繁华度较好</v>
      </c>
      <c r="D17" s="450">
        <v>100</v>
      </c>
      <c r="E17" s="452" t="s">
        <v>3025</v>
      </c>
      <c r="F17" s="450">
        <f>SUMIF(90:90,E18,91:91)-SUMIF(90:90,C18,91:91)+100</f>
        <v>100</v>
      </c>
      <c r="G17" s="452" t="s">
        <v>3025</v>
      </c>
      <c r="H17" s="455">
        <f>SUMIF(90:90,G18,91:91)-SUMIF(90:90,C18,91:91)+100</f>
        <v>102</v>
      </c>
      <c r="I17" s="452" t="s">
        <v>3025</v>
      </c>
      <c r="J17" s="455">
        <f>SUMIF(90:90,I18,91:91)-SUMIF(90:90,C18,91:91)+100</f>
        <v>100</v>
      </c>
      <c r="K17" s="673">
        <v>2</v>
      </c>
      <c r="L17" s="1141"/>
      <c r="M17" s="1132"/>
      <c r="N17" s="1132"/>
      <c r="O17" s="1140"/>
      <c r="P17" s="3197"/>
      <c r="Q17" s="1810" t="str">
        <f>B17</f>
        <v>商业繁华度</v>
      </c>
      <c r="R17" s="772" t="s">
        <v>17</v>
      </c>
      <c r="S17" s="773">
        <f>F17</f>
        <v>100</v>
      </c>
      <c r="T17" s="772" t="s">
        <v>17</v>
      </c>
      <c r="U17" s="773">
        <f>H17</f>
        <v>102</v>
      </c>
      <c r="V17" s="772" t="s">
        <v>17</v>
      </c>
      <c r="W17" s="773">
        <f>J17</f>
        <v>100</v>
      </c>
      <c r="X17" s="1813"/>
      <c r="Y17" s="3197"/>
      <c r="Z17" s="1814" t="str">
        <f>Q17</f>
        <v>商业繁华度</v>
      </c>
      <c r="AA17" s="1811">
        <f t="shared" si="3"/>
        <v>1</v>
      </c>
      <c r="AB17" s="1811">
        <f t="shared" si="4"/>
        <v>0.98039215686274506</v>
      </c>
      <c r="AC17" s="1811">
        <f t="shared" si="5"/>
        <v>1</v>
      </c>
    </row>
    <row r="18" spans="1:29" ht="15">
      <c r="A18" s="428"/>
      <c r="B18" s="456"/>
      <c r="C18" s="2607" t="s">
        <v>3015</v>
      </c>
      <c r="D18" s="450"/>
      <c r="E18" s="2609" t="s">
        <v>3015</v>
      </c>
      <c r="F18" s="450"/>
      <c r="G18" s="2609" t="s">
        <v>3016</v>
      </c>
      <c r="H18" s="448"/>
      <c r="I18" s="2609" t="s">
        <v>3015</v>
      </c>
      <c r="J18" s="448"/>
      <c r="K18" s="672"/>
      <c r="L18" s="1141"/>
      <c r="M18" s="1132"/>
      <c r="N18" s="1132"/>
      <c r="O18" s="1140"/>
      <c r="P18" s="3197"/>
      <c r="Q18" s="1810"/>
      <c r="R18" s="772"/>
      <c r="S18" s="773"/>
      <c r="T18" s="772"/>
      <c r="U18" s="773"/>
      <c r="V18" s="772"/>
      <c r="W18" s="773"/>
      <c r="X18" s="1813"/>
      <c r="Y18" s="3197"/>
      <c r="Z18" s="1814"/>
      <c r="AA18" s="1811">
        <v>1</v>
      </c>
      <c r="AB18" s="1811">
        <v>1</v>
      </c>
      <c r="AC18" s="1811">
        <v>1</v>
      </c>
    </row>
    <row r="19" spans="1:29" ht="71.25">
      <c r="A19" s="428"/>
      <c r="B19" s="451" t="s">
        <v>2641</v>
      </c>
      <c r="C19" s="2663">
        <f>估价对象房地状况!C17</f>
        <v>0</v>
      </c>
      <c r="D19" s="455">
        <v>100</v>
      </c>
      <c r="E19" s="457" t="s">
        <v>3026</v>
      </c>
      <c r="F19" s="455">
        <f>SUMIF(92:92,E20,93:93)-SUMIF(92:92,C20,93:93)+100</f>
        <v>100</v>
      </c>
      <c r="G19" s="457" t="s">
        <v>3026</v>
      </c>
      <c r="H19" s="450">
        <f>SUMIF(92:92,G20,93:93)-SUMIF(92:92,C20,93:93)+100</f>
        <v>100</v>
      </c>
      <c r="I19" s="457" t="s">
        <v>3026</v>
      </c>
      <c r="J19" s="450">
        <f>SUMIF(92:92,I20,93:93)-SUMIF(92:92,C20,93:93)+100</f>
        <v>100</v>
      </c>
      <c r="K19" s="673"/>
      <c r="L19" s="1141"/>
      <c r="M19" s="1132"/>
      <c r="N19" s="1132"/>
      <c r="O19" s="1140"/>
      <c r="P19" s="3197"/>
      <c r="Q19" s="1810" t="str">
        <f>B19</f>
        <v>办公集聚程度</v>
      </c>
      <c r="R19" s="772" t="s">
        <v>17</v>
      </c>
      <c r="S19" s="773">
        <f>F19</f>
        <v>100</v>
      </c>
      <c r="T19" s="772" t="s">
        <v>17</v>
      </c>
      <c r="U19" s="773">
        <f>H19</f>
        <v>100</v>
      </c>
      <c r="V19" s="772" t="s">
        <v>17</v>
      </c>
      <c r="W19" s="773">
        <f>J19</f>
        <v>100</v>
      </c>
      <c r="X19" s="1813"/>
      <c r="Y19" s="3197"/>
      <c r="Z19" s="1814" t="str">
        <f>Q19</f>
        <v>办公集聚程度</v>
      </c>
      <c r="AA19" s="1811">
        <f t="shared" si="3"/>
        <v>1</v>
      </c>
      <c r="AB19" s="1811">
        <f t="shared" si="4"/>
        <v>1</v>
      </c>
      <c r="AC19" s="1811">
        <f t="shared" si="5"/>
        <v>1</v>
      </c>
    </row>
    <row r="20" spans="1:29" ht="15">
      <c r="A20" s="428"/>
      <c r="B20" s="456"/>
      <c r="C20" s="447" t="s">
        <v>3015</v>
      </c>
      <c r="D20" s="448"/>
      <c r="E20" s="2604" t="s">
        <v>3015</v>
      </c>
      <c r="F20" s="448"/>
      <c r="G20" s="2604" t="s">
        <v>3015</v>
      </c>
      <c r="H20" s="448"/>
      <c r="I20" s="2604" t="s">
        <v>3015</v>
      </c>
      <c r="J20" s="448"/>
      <c r="K20" s="672"/>
      <c r="L20" s="1141"/>
      <c r="M20" s="1132"/>
      <c r="N20" s="1132"/>
      <c r="O20" s="1140"/>
      <c r="P20" s="3197"/>
      <c r="Q20" s="1810"/>
      <c r="R20" s="772"/>
      <c r="S20" s="773"/>
      <c r="T20" s="772"/>
      <c r="U20" s="773"/>
      <c r="V20" s="772"/>
      <c r="W20" s="773"/>
      <c r="X20" s="1813"/>
      <c r="Y20" s="3197"/>
      <c r="Z20" s="1814"/>
      <c r="AA20" s="1811">
        <v>1</v>
      </c>
      <c r="AB20" s="1811">
        <v>1</v>
      </c>
      <c r="AC20" s="1811">
        <v>1</v>
      </c>
    </row>
    <row r="21" spans="1:29" ht="99.75">
      <c r="A21" s="428"/>
      <c r="B21" s="451" t="s">
        <v>2663</v>
      </c>
      <c r="C21" s="2606" t="str">
        <f>估价对象房地状况!C18</f>
        <v>估价对象周边道路状况较好、公共交通通达情况较好、停车便捷程度较好，综合评价交通便捷度较好</v>
      </c>
      <c r="D21" s="450">
        <v>100</v>
      </c>
      <c r="E21" s="452" t="s">
        <v>3027</v>
      </c>
      <c r="F21" s="455">
        <f>SUMIF(94:94,E22,95:95)-SUMIF(94:94,C22,95:95)+100</f>
        <v>100</v>
      </c>
      <c r="G21" s="452" t="s">
        <v>3027</v>
      </c>
      <c r="H21" s="450">
        <f>SUMIF(94:94,G22,95:95)-SUMIF(94:94,C22,95:95)+100</f>
        <v>100</v>
      </c>
      <c r="I21" s="452" t="s">
        <v>3027</v>
      </c>
      <c r="J21" s="450">
        <f>SUMIF(94:94,I22,95:95)-SUMIF(94:94,C22,95:95)+100</f>
        <v>100</v>
      </c>
      <c r="K21" s="673"/>
      <c r="L21" s="1141"/>
      <c r="M21" s="1132"/>
      <c r="N21" s="1132"/>
      <c r="O21" s="1140"/>
      <c r="P21" s="3197"/>
      <c r="Q21" s="1810" t="str">
        <f>B21</f>
        <v>交通便捷度</v>
      </c>
      <c r="R21" s="772" t="s">
        <v>17</v>
      </c>
      <c r="S21" s="773">
        <f>F21</f>
        <v>100</v>
      </c>
      <c r="T21" s="772" t="s">
        <v>17</v>
      </c>
      <c r="U21" s="773">
        <f>H21</f>
        <v>100</v>
      </c>
      <c r="V21" s="772" t="s">
        <v>17</v>
      </c>
      <c r="W21" s="773">
        <f>J21</f>
        <v>100</v>
      </c>
      <c r="X21" s="1813"/>
      <c r="Y21" s="3197"/>
      <c r="Z21" s="1814" t="str">
        <f>Q21</f>
        <v>交通便捷度</v>
      </c>
      <c r="AA21" s="1811">
        <f t="shared" si="3"/>
        <v>1</v>
      </c>
      <c r="AB21" s="1811">
        <f t="shared" si="4"/>
        <v>1</v>
      </c>
      <c r="AC21" s="1811">
        <f t="shared" si="5"/>
        <v>1</v>
      </c>
    </row>
    <row r="22" spans="1:29" ht="15">
      <c r="A22" s="428"/>
      <c r="B22" s="1385"/>
      <c r="C22" s="447" t="s">
        <v>3015</v>
      </c>
      <c r="D22" s="450"/>
      <c r="E22" s="2604" t="s">
        <v>3015</v>
      </c>
      <c r="F22" s="448"/>
      <c r="G22" s="2604" t="s">
        <v>3015</v>
      </c>
      <c r="H22" s="448"/>
      <c r="I22" s="2604" t="s">
        <v>3015</v>
      </c>
      <c r="J22" s="448"/>
      <c r="K22" s="672"/>
      <c r="L22" s="1141"/>
      <c r="M22" s="1132"/>
      <c r="N22" s="1132"/>
      <c r="O22" s="1140"/>
      <c r="P22" s="3197"/>
      <c r="Q22" s="1810"/>
      <c r="R22" s="772"/>
      <c r="S22" s="773"/>
      <c r="T22" s="772"/>
      <c r="U22" s="773"/>
      <c r="V22" s="772"/>
      <c r="W22" s="773"/>
      <c r="X22" s="1813"/>
      <c r="Y22" s="3197"/>
      <c r="Z22" s="1814"/>
      <c r="AA22" s="1811">
        <v>1</v>
      </c>
      <c r="AB22" s="1811">
        <v>1</v>
      </c>
      <c r="AC22" s="1811">
        <v>1</v>
      </c>
    </row>
    <row r="23" spans="1:29" ht="15">
      <c r="A23" s="404"/>
      <c r="B23" s="451" t="s">
        <v>2701</v>
      </c>
      <c r="C23" s="1390" t="str">
        <f>估价对象房地状况!C19</f>
        <v>较一致</v>
      </c>
      <c r="D23" s="455">
        <v>100</v>
      </c>
      <c r="E23" s="452">
        <v>0</v>
      </c>
      <c r="F23" s="455">
        <f>SUMIF(96:96,E24,97:97)-SUMIF(96:96,C24,97:97)+100</f>
        <v>100</v>
      </c>
      <c r="G23" s="452">
        <v>0</v>
      </c>
      <c r="H23" s="455">
        <f>SUMIF(96:96,G24,97:97)-SUMIF(96:96,C24,97:97)+100</f>
        <v>100</v>
      </c>
      <c r="I23" s="452">
        <v>0</v>
      </c>
      <c r="J23" s="455">
        <f>SUMIF(96:96,I24,97:97)-SUMIF(96:96,C24,97:97)+100</f>
        <v>100</v>
      </c>
      <c r="K23" s="673"/>
      <c r="L23" s="1141"/>
      <c r="M23" s="1132"/>
      <c r="N23" s="1132"/>
      <c r="O23" s="1140"/>
      <c r="P23" s="3197"/>
      <c r="Q23" s="1810" t="str">
        <f t="shared" ref="Q23:Q37" si="8">B23</f>
        <v>区域土地利用方向</v>
      </c>
      <c r="R23" s="772" t="s">
        <v>17</v>
      </c>
      <c r="S23" s="773">
        <f>F23</f>
        <v>100</v>
      </c>
      <c r="T23" s="772" t="s">
        <v>17</v>
      </c>
      <c r="U23" s="773">
        <f>H23</f>
        <v>100</v>
      </c>
      <c r="V23" s="772" t="s">
        <v>17</v>
      </c>
      <c r="W23" s="773">
        <f>J23</f>
        <v>100</v>
      </c>
      <c r="X23" s="1813"/>
      <c r="Y23" s="3197"/>
      <c r="Z23" s="1814" t="str">
        <f>Q23</f>
        <v>区域土地利用方向</v>
      </c>
      <c r="AA23" s="1811">
        <f t="shared" si="3"/>
        <v>1</v>
      </c>
      <c r="AB23" s="1811">
        <f t="shared" si="4"/>
        <v>1</v>
      </c>
      <c r="AC23" s="1811">
        <f t="shared" si="5"/>
        <v>1</v>
      </c>
    </row>
    <row r="24" spans="1:29" ht="15">
      <c r="A24" s="404"/>
      <c r="B24" s="456"/>
      <c r="C24" s="616" t="s">
        <v>3015</v>
      </c>
      <c r="D24" s="448"/>
      <c r="E24" s="2604" t="s">
        <v>3015</v>
      </c>
      <c r="F24" s="448"/>
      <c r="G24" s="2604" t="s">
        <v>3015</v>
      </c>
      <c r="H24" s="448"/>
      <c r="I24" s="2604" t="s">
        <v>3015</v>
      </c>
      <c r="J24" s="448"/>
      <c r="K24" s="810"/>
      <c r="L24" s="1141"/>
      <c r="M24" s="1132"/>
      <c r="N24" s="1132"/>
      <c r="O24" s="1140"/>
      <c r="P24" s="3197"/>
      <c r="Q24" s="1810"/>
      <c r="R24" s="772"/>
      <c r="S24" s="773"/>
      <c r="T24" s="772"/>
      <c r="U24" s="773"/>
      <c r="V24" s="772"/>
      <c r="W24" s="773"/>
      <c r="X24" s="1813"/>
      <c r="Y24" s="3197"/>
      <c r="Z24" s="1814"/>
      <c r="AA24" s="1811"/>
      <c r="AB24" s="1811"/>
      <c r="AC24" s="1811"/>
    </row>
    <row r="25" spans="1:29" ht="57">
      <c r="A25" s="404"/>
      <c r="B25" s="1385" t="s">
        <v>2702</v>
      </c>
      <c r="C25" s="2663" t="str">
        <f>估价对象房地状况!C20</f>
        <v>区域自然环境及人文环境较好；综合评价环境状况较好</v>
      </c>
      <c r="D25" s="450">
        <v>100</v>
      </c>
      <c r="E25" s="452" t="s">
        <v>3028</v>
      </c>
      <c r="F25" s="450">
        <f>SUMIF(98:98,E26,99:99)-SUMIF(98:98,C26,99:99)+100</f>
        <v>100</v>
      </c>
      <c r="G25" s="452" t="s">
        <v>3028</v>
      </c>
      <c r="H25" s="450">
        <f>SUMIF(98:98,G26,99:99)-SUMIF(98:98,C26,99:99)+100</f>
        <v>100</v>
      </c>
      <c r="I25" s="452" t="s">
        <v>3028</v>
      </c>
      <c r="J25" s="450">
        <f>SUMIF(98:98,I26,99:99)-SUMIF(98:98,C26,99:99)+100</f>
        <v>100</v>
      </c>
      <c r="K25" s="673"/>
      <c r="L25" s="1141"/>
      <c r="M25" s="1132"/>
      <c r="N25" s="1132"/>
      <c r="O25" s="1140"/>
      <c r="P25" s="3197"/>
      <c r="Q25" s="1810" t="str">
        <f t="shared" si="8"/>
        <v>自然及人文环境状况</v>
      </c>
      <c r="R25" s="772" t="s">
        <v>17</v>
      </c>
      <c r="S25" s="773">
        <f>F25</f>
        <v>100</v>
      </c>
      <c r="T25" s="772" t="s">
        <v>17</v>
      </c>
      <c r="U25" s="773">
        <f>H25</f>
        <v>100</v>
      </c>
      <c r="V25" s="772" t="s">
        <v>17</v>
      </c>
      <c r="W25" s="773">
        <f>J25</f>
        <v>100</v>
      </c>
      <c r="X25" s="1813"/>
      <c r="Y25" s="3197"/>
      <c r="Z25" s="1814" t="str">
        <f>Q25</f>
        <v>自然及人文环境状况</v>
      </c>
      <c r="AA25" s="1811">
        <f t="shared" si="3"/>
        <v>1</v>
      </c>
      <c r="AB25" s="1811">
        <f t="shared" si="4"/>
        <v>1</v>
      </c>
      <c r="AC25" s="1811">
        <f t="shared" si="5"/>
        <v>1</v>
      </c>
    </row>
    <row r="26" spans="1:29" ht="15">
      <c r="A26" s="404"/>
      <c r="B26" s="456"/>
      <c r="C26" s="447" t="s">
        <v>3015</v>
      </c>
      <c r="D26" s="448"/>
      <c r="E26" s="2610" t="s">
        <v>3015</v>
      </c>
      <c r="F26" s="448"/>
      <c r="G26" s="2610" t="s">
        <v>3015</v>
      </c>
      <c r="H26" s="448"/>
      <c r="I26" s="2610" t="s">
        <v>3015</v>
      </c>
      <c r="J26" s="448"/>
      <c r="K26" s="672"/>
      <c r="L26" s="1141"/>
      <c r="M26" s="1132"/>
      <c r="N26" s="1132"/>
      <c r="O26" s="1140"/>
      <c r="P26" s="3197"/>
      <c r="Q26" s="1810"/>
      <c r="R26" s="772"/>
      <c r="S26" s="773"/>
      <c r="T26" s="772"/>
      <c r="U26" s="773"/>
      <c r="V26" s="772"/>
      <c r="W26" s="773"/>
      <c r="X26" s="1813"/>
      <c r="Y26" s="3197"/>
      <c r="Z26" s="1814"/>
      <c r="AA26" s="1811">
        <v>1</v>
      </c>
      <c r="AB26" s="1811">
        <v>1</v>
      </c>
      <c r="AC26" s="1811">
        <v>1</v>
      </c>
    </row>
    <row r="27" spans="1:29" s="117" customFormat="1" ht="42.75">
      <c r="A27" s="649"/>
      <c r="B27" s="1385" t="s">
        <v>2608</v>
      </c>
      <c r="C27" s="2606" t="str">
        <f>估价对象房地状况!C21</f>
        <v>估价对象所在区域公共配套设施齐备情况较好</v>
      </c>
      <c r="D27" s="450">
        <v>100</v>
      </c>
      <c r="E27" s="452" t="s">
        <v>3029</v>
      </c>
      <c r="F27" s="450">
        <f>SUMIF(100:100,E28,101:101)-SUMIF(100:100,C28,101:101)+100</f>
        <v>100</v>
      </c>
      <c r="G27" s="452" t="s">
        <v>3029</v>
      </c>
      <c r="H27" s="450">
        <f>SUMIF(100:100,G28,101:101)-SUMIF(100:100,C28,101:101)+100</f>
        <v>100</v>
      </c>
      <c r="I27" s="452" t="s">
        <v>3029</v>
      </c>
      <c r="J27" s="450">
        <f>SUMIF(100:100,I28,101:101)-SUMIF(100:100,C28,101:101)+100</f>
        <v>100</v>
      </c>
      <c r="K27" s="673"/>
      <c r="L27" s="1133"/>
      <c r="M27" s="1134"/>
      <c r="N27" s="1134"/>
      <c r="O27" s="1135"/>
      <c r="P27" s="3197"/>
      <c r="Q27" s="1795" t="str">
        <f t="shared" si="8"/>
        <v>公共配套设施</v>
      </c>
      <c r="R27" s="768" t="s">
        <v>17</v>
      </c>
      <c r="S27" s="769">
        <f>F27</f>
        <v>100</v>
      </c>
      <c r="T27" s="768" t="s">
        <v>17</v>
      </c>
      <c r="U27" s="769">
        <f>H27</f>
        <v>100</v>
      </c>
      <c r="V27" s="768" t="s">
        <v>17</v>
      </c>
      <c r="W27" s="769">
        <f>J27</f>
        <v>100</v>
      </c>
      <c r="X27" s="770"/>
      <c r="Y27" s="3197"/>
      <c r="Z27" s="55" t="str">
        <f>Q27</f>
        <v>公共配套设施</v>
      </c>
      <c r="AA27" s="1811">
        <f>D27/F27</f>
        <v>1</v>
      </c>
      <c r="AB27" s="1811">
        <f>D27/H27</f>
        <v>1</v>
      </c>
      <c r="AC27" s="1811">
        <f>D27/J27</f>
        <v>1</v>
      </c>
    </row>
    <row r="28" spans="1:29" s="117" customFormat="1" ht="15">
      <c r="A28" s="649"/>
      <c r="B28" s="456"/>
      <c r="C28" s="2699" t="s">
        <v>3015</v>
      </c>
      <c r="D28" s="448"/>
      <c r="E28" s="2610" t="s">
        <v>3015</v>
      </c>
      <c r="F28" s="448"/>
      <c r="G28" s="2610" t="s">
        <v>3015</v>
      </c>
      <c r="H28" s="448"/>
      <c r="I28" s="2610" t="s">
        <v>3015</v>
      </c>
      <c r="J28" s="448"/>
      <c r="K28" s="672"/>
      <c r="L28" s="1133"/>
      <c r="M28" s="1134"/>
      <c r="N28" s="1134"/>
      <c r="O28" s="1135"/>
      <c r="P28" s="3197"/>
      <c r="Q28" s="1795"/>
      <c r="R28" s="768"/>
      <c r="S28" s="769"/>
      <c r="T28" s="768"/>
      <c r="U28" s="769"/>
      <c r="V28" s="768"/>
      <c r="W28" s="769"/>
      <c r="X28" s="770"/>
      <c r="Y28" s="3197"/>
      <c r="Z28" s="55"/>
      <c r="AA28" s="1811">
        <v>1</v>
      </c>
      <c r="AB28" s="1811">
        <v>1</v>
      </c>
      <c r="AC28" s="1811">
        <v>1</v>
      </c>
    </row>
    <row r="29" spans="1:29" s="117" customFormat="1" ht="42.75">
      <c r="A29" s="649"/>
      <c r="B29" s="1385" t="s">
        <v>2609</v>
      </c>
      <c r="C29" s="2606" t="str">
        <f>估价对象房地状况!C22</f>
        <v>估价对象所在区域基础设施水平较好</v>
      </c>
      <c r="D29" s="450">
        <v>100</v>
      </c>
      <c r="E29" s="452" t="s">
        <v>3030</v>
      </c>
      <c r="F29" s="450">
        <f>SUMIF(102:102,E30,103:103)-SUMIF(102:102,C30,103:103)+100</f>
        <v>100</v>
      </c>
      <c r="G29" s="452" t="s">
        <v>3030</v>
      </c>
      <c r="H29" s="450">
        <f>SUMIF(102:102,G30,103:103)-SUMIF(102:102,C30,103:103)+100</f>
        <v>100</v>
      </c>
      <c r="I29" s="452" t="s">
        <v>3030</v>
      </c>
      <c r="J29" s="450">
        <f>SUMIF(102:102,I30,103:103)-SUMIF(102:102,C30,103:103)+100</f>
        <v>100</v>
      </c>
      <c r="K29" s="673"/>
      <c r="L29" s="1133"/>
      <c r="M29" s="1134"/>
      <c r="N29" s="1134"/>
      <c r="O29" s="1135"/>
      <c r="P29" s="3197"/>
      <c r="Q29" s="1795" t="str">
        <f t="shared" ref="Q29" si="9">B29</f>
        <v>基础设施水平</v>
      </c>
      <c r="R29" s="768" t="s">
        <v>17</v>
      </c>
      <c r="S29" s="769">
        <f>F29</f>
        <v>100</v>
      </c>
      <c r="T29" s="768" t="s">
        <v>17</v>
      </c>
      <c r="U29" s="769">
        <f>H29</f>
        <v>100</v>
      </c>
      <c r="V29" s="768" t="s">
        <v>17</v>
      </c>
      <c r="W29" s="769">
        <f>J29</f>
        <v>100</v>
      </c>
      <c r="X29" s="770"/>
      <c r="Y29" s="3197"/>
      <c r="Z29" s="55" t="str">
        <f>Q29</f>
        <v>基础设施水平</v>
      </c>
      <c r="AA29" s="1811">
        <f>D29/F29</f>
        <v>1</v>
      </c>
      <c r="AB29" s="1811">
        <f>D29/H29</f>
        <v>1</v>
      </c>
      <c r="AC29" s="1811">
        <f>D29/J29</f>
        <v>1</v>
      </c>
    </row>
    <row r="30" spans="1:29" s="117" customFormat="1" ht="15">
      <c r="A30" s="649"/>
      <c r="B30" s="456"/>
      <c r="C30" s="2699" t="s">
        <v>3017</v>
      </c>
      <c r="D30" s="448"/>
      <c r="E30" s="2700" t="s">
        <v>3017</v>
      </c>
      <c r="F30" s="448"/>
      <c r="G30" s="2700" t="s">
        <v>3017</v>
      </c>
      <c r="H30" s="448"/>
      <c r="I30" s="2700" t="s">
        <v>3017</v>
      </c>
      <c r="J30" s="448"/>
      <c r="K30" s="672"/>
      <c r="L30" s="1133"/>
      <c r="M30" s="1134"/>
      <c r="N30" s="1134"/>
      <c r="O30" s="1135"/>
      <c r="P30" s="3197"/>
      <c r="Q30" s="1795"/>
      <c r="R30" s="768"/>
      <c r="S30" s="769"/>
      <c r="T30" s="768"/>
      <c r="U30" s="769"/>
      <c r="V30" s="768"/>
      <c r="W30" s="769"/>
      <c r="X30" s="770"/>
      <c r="Y30" s="3197"/>
      <c r="Z30" s="55"/>
      <c r="AA30" s="1811">
        <v>1</v>
      </c>
      <c r="AB30" s="1811">
        <v>1</v>
      </c>
      <c r="AC30" s="1811">
        <v>1</v>
      </c>
    </row>
    <row r="31" spans="1:29" ht="15">
      <c r="A31" s="428"/>
      <c r="B31" s="456" t="s">
        <v>2610</v>
      </c>
      <c r="C31" s="616" t="s">
        <v>3018</v>
      </c>
      <c r="D31" s="435">
        <v>100</v>
      </c>
      <c r="E31" s="634" t="s">
        <v>3018</v>
      </c>
      <c r="F31" s="435">
        <f>SUMIF(104:104,E31,105:105)-SUMIF(104:104,C31,105:105)+100</f>
        <v>100</v>
      </c>
      <c r="G31" s="634" t="s">
        <v>3018</v>
      </c>
      <c r="H31" s="435">
        <f>SUMIF(104:104,G31,105:105)-SUMIF(104:104,C31,105:105)+100</f>
        <v>100</v>
      </c>
      <c r="I31" s="634" t="s">
        <v>3018</v>
      </c>
      <c r="J31" s="435">
        <f>SUMIF(104:104,I31,105:105)-SUMIF(104:104,C31,105:105)+100</f>
        <v>100</v>
      </c>
      <c r="K31" s="673"/>
      <c r="L31" s="1141"/>
      <c r="M31" s="1132"/>
      <c r="N31" s="1132"/>
      <c r="O31" s="1140"/>
      <c r="P31" s="3197"/>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197"/>
      <c r="Z31" s="1814" t="str">
        <f t="shared" ref="Z31:Z45" si="13">Q31</f>
        <v>临街状况</v>
      </c>
      <c r="AA31" s="1811">
        <f t="shared" si="3"/>
        <v>1</v>
      </c>
      <c r="AB31" s="1811">
        <f t="shared" si="4"/>
        <v>1</v>
      </c>
      <c r="AC31" s="1811">
        <f t="shared" si="5"/>
        <v>1</v>
      </c>
    </row>
    <row r="32" spans="1:29" ht="27">
      <c r="A32" s="428"/>
      <c r="B32" s="1385" t="s">
        <v>2645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197"/>
      <c r="Q32" s="1810" t="str">
        <f t="shared" si="8"/>
        <v>毗邻道路的类型与等级</v>
      </c>
      <c r="R32" s="772" t="s">
        <v>17</v>
      </c>
      <c r="S32" s="773">
        <f t="shared" si="10"/>
        <v>100</v>
      </c>
      <c r="T32" s="772" t="s">
        <v>17</v>
      </c>
      <c r="U32" s="773">
        <f t="shared" si="11"/>
        <v>100</v>
      </c>
      <c r="V32" s="772" t="s">
        <v>17</v>
      </c>
      <c r="W32" s="773">
        <f t="shared" si="12"/>
        <v>100</v>
      </c>
      <c r="X32" s="1813"/>
      <c r="Y32" s="319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1"/>
      <c r="M33" s="1132"/>
      <c r="N33" s="1132"/>
      <c r="O33" s="1140"/>
      <c r="P33" s="3197"/>
      <c r="Q33" s="1810"/>
      <c r="R33" s="772"/>
      <c r="S33" s="773"/>
      <c r="T33" s="772"/>
      <c r="U33" s="773"/>
      <c r="V33" s="772"/>
      <c r="W33" s="773"/>
      <c r="X33" s="1813"/>
      <c r="Y33" s="3197"/>
      <c r="Z33" s="1814"/>
      <c r="AA33" s="1811">
        <v>1</v>
      </c>
      <c r="AB33" s="1811">
        <v>1</v>
      </c>
      <c r="AC33" s="1811">
        <v>1</v>
      </c>
    </row>
    <row r="34" spans="1:29" ht="15">
      <c r="A34" s="428"/>
      <c r="B34" s="422" t="s">
        <v>2703</v>
      </c>
      <c r="C34" s="616" t="s">
        <v>1375</v>
      </c>
      <c r="D34" s="435">
        <v>100</v>
      </c>
      <c r="E34" s="616" t="s">
        <v>1375</v>
      </c>
      <c r="F34" s="435">
        <f>SUMIF(108:108,E34,109:109)-SUMIF(108:108,C34,109:109)+100</f>
        <v>100</v>
      </c>
      <c r="G34" s="616" t="s">
        <v>1375</v>
      </c>
      <c r="H34" s="435">
        <f>SUMIF(108:108,G34,109:109)-SUMIF(108:108,C34,109:109)+100</f>
        <v>100</v>
      </c>
      <c r="I34" s="616" t="s">
        <v>1375</v>
      </c>
      <c r="J34" s="435">
        <f>SUMIF(108:108,I34,109:109)-SUMIF(108:108,C34,109:109)+100</f>
        <v>100</v>
      </c>
      <c r="K34" s="612"/>
      <c r="L34" s="1141"/>
      <c r="M34" s="1132"/>
      <c r="N34" s="1132"/>
      <c r="O34" s="1140"/>
      <c r="P34" s="3197"/>
      <c r="Q34" s="1810" t="str">
        <f t="shared" si="8"/>
        <v>土地级别</v>
      </c>
      <c r="R34" s="772" t="s">
        <v>17</v>
      </c>
      <c r="S34" s="773">
        <f t="shared" si="10"/>
        <v>100</v>
      </c>
      <c r="T34" s="772" t="s">
        <v>17</v>
      </c>
      <c r="U34" s="773">
        <f t="shared" si="11"/>
        <v>100</v>
      </c>
      <c r="V34" s="772" t="s">
        <v>17</v>
      </c>
      <c r="W34" s="773">
        <f t="shared" si="12"/>
        <v>100</v>
      </c>
      <c r="X34" s="1813"/>
      <c r="Y34" s="3197"/>
      <c r="Z34" s="1814" t="str">
        <f t="shared" si="13"/>
        <v>土地级别</v>
      </c>
      <c r="AA34" s="1811">
        <f t="shared" si="3"/>
        <v>1</v>
      </c>
      <c r="AB34" s="1811">
        <f t="shared" si="4"/>
        <v>1</v>
      </c>
      <c r="AC34" s="1811">
        <f t="shared" si="5"/>
        <v>1</v>
      </c>
    </row>
    <row r="35" spans="1:29" ht="15">
      <c r="A35" s="404"/>
      <c r="B35" s="1387"/>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97"/>
      <c r="Q35" s="1810">
        <f t="shared" si="8"/>
        <v>0</v>
      </c>
      <c r="R35" s="772" t="s">
        <v>17</v>
      </c>
      <c r="S35" s="773">
        <f t="shared" si="10"/>
        <v>100</v>
      </c>
      <c r="T35" s="772" t="s">
        <v>17</v>
      </c>
      <c r="U35" s="773">
        <f t="shared" si="11"/>
        <v>100</v>
      </c>
      <c r="V35" s="772" t="s">
        <v>17</v>
      </c>
      <c r="W35" s="773">
        <f t="shared" si="12"/>
        <v>100</v>
      </c>
      <c r="X35" s="1813"/>
      <c r="Y35" s="3197"/>
      <c r="Z35" s="1814">
        <f t="shared" si="13"/>
        <v>0</v>
      </c>
      <c r="AA35" s="1811">
        <f t="shared" si="3"/>
        <v>1</v>
      </c>
      <c r="AB35" s="1811">
        <f t="shared" si="4"/>
        <v>1</v>
      </c>
      <c r="AC35" s="1811">
        <f t="shared" si="5"/>
        <v>1</v>
      </c>
    </row>
    <row r="36" spans="1:29" ht="15">
      <c r="A36" s="675"/>
      <c r="B36" s="1388"/>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198" t="s">
        <v>2519</v>
      </c>
      <c r="Q36" s="1810">
        <f t="shared" si="8"/>
        <v>0</v>
      </c>
      <c r="R36" s="772" t="s">
        <v>17</v>
      </c>
      <c r="S36" s="773">
        <f t="shared" si="10"/>
        <v>100</v>
      </c>
      <c r="T36" s="772" t="s">
        <v>17</v>
      </c>
      <c r="U36" s="773">
        <f t="shared" si="11"/>
        <v>100</v>
      </c>
      <c r="V36" s="772" t="s">
        <v>17</v>
      </c>
      <c r="W36" s="773">
        <f t="shared" si="12"/>
        <v>100</v>
      </c>
      <c r="X36" s="1813"/>
      <c r="Y36" s="3199" t="s">
        <v>2519</v>
      </c>
      <c r="Z36" s="1814">
        <f t="shared" si="13"/>
        <v>0</v>
      </c>
      <c r="AA36" s="1811">
        <f t="shared" si="3"/>
        <v>1</v>
      </c>
      <c r="AB36" s="1811">
        <f t="shared" si="4"/>
        <v>1</v>
      </c>
      <c r="AC36" s="1811">
        <f t="shared" si="5"/>
        <v>1</v>
      </c>
    </row>
    <row r="37" spans="1:29" s="471" customFormat="1" ht="15.75" thickBot="1">
      <c r="A37" s="676"/>
      <c r="B37" s="1389"/>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99"/>
      <c r="Q37" s="1810">
        <f t="shared" si="8"/>
        <v>0</v>
      </c>
      <c r="R37" s="775" t="s">
        <v>17</v>
      </c>
      <c r="S37" s="776">
        <f t="shared" si="10"/>
        <v>100</v>
      </c>
      <c r="T37" s="775" t="s">
        <v>17</v>
      </c>
      <c r="U37" s="776">
        <f t="shared" si="11"/>
        <v>100</v>
      </c>
      <c r="V37" s="775" t="s">
        <v>17</v>
      </c>
      <c r="W37" s="776">
        <f t="shared" si="12"/>
        <v>100</v>
      </c>
      <c r="X37" s="777"/>
      <c r="Y37" s="3199"/>
      <c r="Z37" s="778">
        <f t="shared" si="13"/>
        <v>0</v>
      </c>
      <c r="AA37" s="1811">
        <f t="shared" si="3"/>
        <v>1</v>
      </c>
      <c r="AB37" s="1811">
        <f t="shared" si="4"/>
        <v>1</v>
      </c>
      <c r="AC37" s="1811">
        <f t="shared" si="5"/>
        <v>1</v>
      </c>
    </row>
    <row r="38" spans="1:29" ht="15">
      <c r="A38" s="472" t="s">
        <v>2517</v>
      </c>
      <c r="B38" s="456" t="s">
        <v>2704</v>
      </c>
      <c r="C38" s="679">
        <f>'数据-基础表'!A3</f>
        <v>546.38</v>
      </c>
      <c r="D38" s="467">
        <v>100</v>
      </c>
      <c r="E38" s="679" t="e">
        <f>#REF!</f>
        <v>#REF!</v>
      </c>
      <c r="F38" s="467" t="e">
        <f>LOOKUP(E38,117:117,118:118)-LOOKUP(C38,117:117,118:118)+100</f>
        <v>#REF!</v>
      </c>
      <c r="G38" s="679" t="e">
        <f>#REF!</f>
        <v>#REF!</v>
      </c>
      <c r="H38" s="467" t="e">
        <f>LOOKUP(G38,117:117,118:118)-LOOKUP(C38,117:117,118:118)+100</f>
        <v>#REF!</v>
      </c>
      <c r="I38" s="530" t="e">
        <f>#REF!</f>
        <v>#REF!</v>
      </c>
      <c r="J38" s="467" t="e">
        <f>LOOKUP(I38,117:117,118:118)-LOOKUP(C38,117:117,118:118)+100</f>
        <v>#REF!</v>
      </c>
      <c r="K38" s="613"/>
      <c r="L38" s="1141"/>
      <c r="M38" s="1132"/>
      <c r="N38" s="1132"/>
      <c r="O38" s="1140"/>
      <c r="P38" s="3199"/>
      <c r="Q38" s="1810" t="str">
        <f>B38</f>
        <v>宗地面积</v>
      </c>
      <c r="R38" s="772" t="s">
        <v>17</v>
      </c>
      <c r="S38" s="773" t="e">
        <f t="shared" si="10"/>
        <v>#REF!</v>
      </c>
      <c r="T38" s="772" t="s">
        <v>17</v>
      </c>
      <c r="U38" s="773" t="e">
        <f t="shared" si="11"/>
        <v>#REF!</v>
      </c>
      <c r="V38" s="772" t="s">
        <v>17</v>
      </c>
      <c r="W38" s="773" t="e">
        <f t="shared" si="12"/>
        <v>#REF!</v>
      </c>
      <c r="X38" s="1813"/>
      <c r="Y38" s="3199"/>
      <c r="Z38" s="1814" t="str">
        <f t="shared" si="13"/>
        <v>宗地面积</v>
      </c>
      <c r="AA38" s="1811" t="e">
        <f t="shared" si="3"/>
        <v>#REF!</v>
      </c>
      <c r="AB38" s="1811" t="e">
        <f t="shared" si="4"/>
        <v>#REF!</v>
      </c>
      <c r="AC38" s="1811" t="e">
        <f t="shared" si="5"/>
        <v>#REF!</v>
      </c>
    </row>
    <row r="39" spans="1:29" ht="15">
      <c r="A39" s="472"/>
      <c r="B39" s="422" t="s">
        <v>2705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1"/>
      <c r="M39" s="1132"/>
      <c r="N39" s="1132"/>
      <c r="O39" s="1140"/>
      <c r="P39" s="3199"/>
      <c r="Q39" s="1810" t="str">
        <f t="shared" ref="Q39:Q45" si="14">B39</f>
        <v>宗地形状</v>
      </c>
      <c r="R39" s="772" t="s">
        <v>17</v>
      </c>
      <c r="S39" s="773">
        <f t="shared" si="10"/>
        <v>100</v>
      </c>
      <c r="T39" s="772" t="s">
        <v>17</v>
      </c>
      <c r="U39" s="773">
        <f t="shared" si="11"/>
        <v>100</v>
      </c>
      <c r="V39" s="772" t="s">
        <v>17</v>
      </c>
      <c r="W39" s="773">
        <f t="shared" si="12"/>
        <v>100</v>
      </c>
      <c r="X39" s="1813"/>
      <c r="Y39" s="3199"/>
      <c r="Z39" s="1814" t="str">
        <f t="shared" si="13"/>
        <v>宗地形状</v>
      </c>
      <c r="AA39" s="1811">
        <f t="shared" si="3"/>
        <v>1</v>
      </c>
      <c r="AB39" s="1811">
        <f t="shared" si="4"/>
        <v>1</v>
      </c>
      <c r="AC39" s="1811">
        <f t="shared" si="5"/>
        <v>1</v>
      </c>
    </row>
    <row r="40" spans="1:29" ht="15">
      <c r="A40" s="472"/>
      <c r="B40" s="422" t="s">
        <v>2706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199"/>
      <c r="Q40" s="1810" t="str">
        <f t="shared" si="14"/>
        <v>临街宽度及深度</v>
      </c>
      <c r="R40" s="772" t="s">
        <v>17</v>
      </c>
      <c r="S40" s="773">
        <f t="shared" si="10"/>
        <v>100</v>
      </c>
      <c r="T40" s="772" t="s">
        <v>17</v>
      </c>
      <c r="U40" s="773">
        <f t="shared" si="11"/>
        <v>100</v>
      </c>
      <c r="V40" s="772" t="s">
        <v>17</v>
      </c>
      <c r="W40" s="773">
        <f t="shared" si="12"/>
        <v>100</v>
      </c>
      <c r="X40" s="1813"/>
      <c r="Y40" s="3199"/>
      <c r="Z40" s="1814" t="str">
        <f t="shared" si="13"/>
        <v>临街宽度及深度</v>
      </c>
      <c r="AA40" s="1811">
        <f t="shared" si="3"/>
        <v>1</v>
      </c>
      <c r="AB40" s="1811">
        <f t="shared" si="4"/>
        <v>1</v>
      </c>
      <c r="AC40" s="1811">
        <f t="shared" si="5"/>
        <v>1</v>
      </c>
    </row>
    <row r="41" spans="1:29" s="117" customFormat="1" ht="15">
      <c r="A41" s="473"/>
      <c r="B41" s="422" t="s">
        <v>2707</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3"/>
      <c r="M41" s="1134"/>
      <c r="N41" s="1134"/>
      <c r="O41" s="1135"/>
      <c r="P41" s="3199"/>
      <c r="Q41" s="1810" t="str">
        <f t="shared" si="14"/>
        <v>宗地开发程度</v>
      </c>
      <c r="R41" s="768" t="s">
        <v>17</v>
      </c>
      <c r="S41" s="769">
        <f t="shared" si="10"/>
        <v>100</v>
      </c>
      <c r="T41" s="768" t="s">
        <v>17</v>
      </c>
      <c r="U41" s="769">
        <f t="shared" si="11"/>
        <v>100</v>
      </c>
      <c r="V41" s="768" t="s">
        <v>17</v>
      </c>
      <c r="W41" s="769">
        <f t="shared" si="12"/>
        <v>100</v>
      </c>
      <c r="X41" s="770"/>
      <c r="Y41" s="3199"/>
      <c r="Z41" s="55" t="str">
        <f t="shared" si="13"/>
        <v>宗地开发程度</v>
      </c>
      <c r="AA41" s="771">
        <f t="shared" si="3"/>
        <v>1</v>
      </c>
      <c r="AB41" s="771">
        <f t="shared" si="4"/>
        <v>1</v>
      </c>
      <c r="AC41" s="771">
        <f t="shared" si="5"/>
        <v>1</v>
      </c>
    </row>
    <row r="42" spans="1:29" ht="15">
      <c r="A42" s="472"/>
      <c r="B42" s="422" t="s">
        <v>2708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1"/>
      <c r="M42" s="1132"/>
      <c r="N42" s="1132"/>
      <c r="O42" s="1140"/>
      <c r="P42" s="3199" t="s">
        <v>2519</v>
      </c>
      <c r="Q42" s="1810" t="str">
        <f t="shared" si="14"/>
        <v>工程地质条件</v>
      </c>
      <c r="R42" s="772" t="s">
        <v>17</v>
      </c>
      <c r="S42" s="773">
        <f t="shared" si="10"/>
        <v>100</v>
      </c>
      <c r="T42" s="772" t="s">
        <v>17</v>
      </c>
      <c r="U42" s="773">
        <f t="shared" si="11"/>
        <v>100</v>
      </c>
      <c r="V42" s="772" t="s">
        <v>17</v>
      </c>
      <c r="W42" s="773">
        <f t="shared" si="12"/>
        <v>100</v>
      </c>
      <c r="X42" s="1813"/>
      <c r="Y42" s="3199" t="s">
        <v>2519</v>
      </c>
      <c r="Z42" s="1814" t="str">
        <f t="shared" si="13"/>
        <v>工程地质条件</v>
      </c>
      <c r="AA42" s="1811">
        <f t="shared" si="3"/>
        <v>1</v>
      </c>
      <c r="AB42" s="1811">
        <f t="shared" si="4"/>
        <v>1</v>
      </c>
      <c r="AC42" s="1811">
        <f t="shared" si="5"/>
        <v>1</v>
      </c>
    </row>
    <row r="43" spans="1:29" ht="15">
      <c r="A43" s="472"/>
      <c r="B43" s="1388"/>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99"/>
      <c r="Q43" s="1810">
        <f t="shared" si="14"/>
        <v>0</v>
      </c>
      <c r="R43" s="772" t="s">
        <v>17</v>
      </c>
      <c r="S43" s="773">
        <f t="shared" si="10"/>
        <v>100</v>
      </c>
      <c r="T43" s="772" t="s">
        <v>17</v>
      </c>
      <c r="U43" s="773">
        <f t="shared" si="11"/>
        <v>100</v>
      </c>
      <c r="V43" s="772" t="s">
        <v>17</v>
      </c>
      <c r="W43" s="773">
        <f t="shared" si="12"/>
        <v>100</v>
      </c>
      <c r="X43" s="1813"/>
      <c r="Y43" s="3199"/>
      <c r="Z43" s="1814">
        <f t="shared" si="13"/>
        <v>0</v>
      </c>
      <c r="AA43" s="1811">
        <f t="shared" si="3"/>
        <v>1</v>
      </c>
      <c r="AB43" s="1811">
        <f t="shared" si="4"/>
        <v>1</v>
      </c>
      <c r="AC43" s="1811">
        <f t="shared" si="5"/>
        <v>1</v>
      </c>
    </row>
    <row r="44" spans="1:29" ht="15">
      <c r="A44" s="472"/>
      <c r="B44" s="1388"/>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99"/>
      <c r="Q44" s="1810">
        <f t="shared" si="14"/>
        <v>0</v>
      </c>
      <c r="R44" s="772" t="s">
        <v>17</v>
      </c>
      <c r="S44" s="773">
        <f t="shared" si="10"/>
        <v>100</v>
      </c>
      <c r="T44" s="772" t="s">
        <v>17</v>
      </c>
      <c r="U44" s="773">
        <f t="shared" si="11"/>
        <v>100</v>
      </c>
      <c r="V44" s="772" t="s">
        <v>17</v>
      </c>
      <c r="W44" s="773">
        <f t="shared" si="12"/>
        <v>100</v>
      </c>
      <c r="X44" s="1813"/>
      <c r="Y44" s="3199"/>
      <c r="Z44" s="1814">
        <f t="shared" si="13"/>
        <v>0</v>
      </c>
      <c r="AA44" s="1811">
        <f t="shared" si="3"/>
        <v>1</v>
      </c>
      <c r="AB44" s="1811">
        <f t="shared" si="4"/>
        <v>1</v>
      </c>
      <c r="AC44" s="1811">
        <f t="shared" si="5"/>
        <v>1</v>
      </c>
    </row>
    <row r="45" spans="1:29" s="471" customFormat="1" ht="15.75" thickBot="1">
      <c r="A45" s="468"/>
      <c r="B45" s="1388"/>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99"/>
      <c r="Q45" s="1810">
        <f t="shared" si="14"/>
        <v>0</v>
      </c>
      <c r="R45" s="775" t="s">
        <v>17</v>
      </c>
      <c r="S45" s="776">
        <f t="shared" si="10"/>
        <v>100</v>
      </c>
      <c r="T45" s="775" t="s">
        <v>17</v>
      </c>
      <c r="U45" s="776">
        <f t="shared" si="11"/>
        <v>100</v>
      </c>
      <c r="V45" s="775" t="s">
        <v>17</v>
      </c>
      <c r="W45" s="776">
        <f t="shared" si="12"/>
        <v>100</v>
      </c>
      <c r="X45" s="777"/>
      <c r="Y45" s="3199"/>
      <c r="Z45" s="778">
        <f t="shared" si="13"/>
        <v>0</v>
      </c>
      <c r="AA45" s="1811">
        <f t="shared" si="3"/>
        <v>1</v>
      </c>
      <c r="AB45" s="1811">
        <f t="shared" si="4"/>
        <v>1</v>
      </c>
      <c r="AC45" s="1811">
        <f t="shared" si="5"/>
        <v>1</v>
      </c>
    </row>
    <row r="46" spans="1:29" ht="15">
      <c r="A46" s="479" t="s">
        <v>2674</v>
      </c>
      <c r="B46" s="2703" t="s">
        <v>2709</v>
      </c>
      <c r="C46" s="682" t="s">
        <v>1</v>
      </c>
      <c r="D46" s="481"/>
      <c r="E46" s="482" t="e">
        <f>#REF!</f>
        <v>#REF!</v>
      </c>
      <c r="F46" s="483"/>
      <c r="G46" s="484" t="e">
        <f>#REF!</f>
        <v>#REF!</v>
      </c>
      <c r="H46" s="485"/>
      <c r="I46" s="482" t="e">
        <f>#REF!</f>
        <v>#REF!</v>
      </c>
      <c r="J46" s="485"/>
      <c r="K46" s="781"/>
      <c r="L46" s="1144"/>
      <c r="M46" s="1145"/>
      <c r="N46" s="1132"/>
      <c r="O46" s="1145"/>
      <c r="P46" s="3181" t="str">
        <f>A46</f>
        <v>成交单价</v>
      </c>
      <c r="Q46" s="3181"/>
      <c r="R46" s="3194" t="e">
        <f>E46</f>
        <v>#REF!</v>
      </c>
      <c r="S46" s="3194"/>
      <c r="T46" s="3194" t="e">
        <f>G46</f>
        <v>#REF!</v>
      </c>
      <c r="U46" s="3194"/>
      <c r="V46" s="3194" t="e">
        <f>I46</f>
        <v>#REF!</v>
      </c>
      <c r="W46" s="3194"/>
      <c r="X46" s="757"/>
      <c r="Y46" s="779"/>
      <c r="Z46" s="757"/>
      <c r="AA46" s="757"/>
      <c r="AB46" s="757"/>
      <c r="AC46" s="757"/>
    </row>
    <row r="47" spans="1:29" ht="15.75" thickBot="1">
      <c r="A47" s="486" t="s">
        <v>2623</v>
      </c>
      <c r="B47" s="683"/>
      <c r="C47" s="490" t="e">
        <f>R48</f>
        <v>#REF!</v>
      </c>
      <c r="D47" s="489"/>
      <c r="E47" s="490" t="e">
        <f>R47</f>
        <v>#REF!</v>
      </c>
      <c r="F47" s="491"/>
      <c r="G47" s="488" t="e">
        <f>T47</f>
        <v>#REF!</v>
      </c>
      <c r="H47" s="489"/>
      <c r="I47" s="490" t="e">
        <f>V47</f>
        <v>#REF!</v>
      </c>
      <c r="J47" s="489"/>
      <c r="K47" s="782"/>
      <c r="L47" s="1144"/>
      <c r="M47" s="1145"/>
      <c r="N47" s="1145"/>
      <c r="O47" s="1145"/>
      <c r="P47" s="3181" t="str">
        <f>A47</f>
        <v>比较价值（元/平方米）</v>
      </c>
      <c r="Q47" s="3181"/>
      <c r="R47" s="3200" t="e">
        <f>ROUND(PRODUCT(R46,AA7:AA45),0)</f>
        <v>#REF!</v>
      </c>
      <c r="S47" s="3200"/>
      <c r="T47" s="3200" t="e">
        <f>ROUND(PRODUCT(T46,AB7:AB45),0)</f>
        <v>#REF!</v>
      </c>
      <c r="U47" s="3200"/>
      <c r="V47" s="3200" t="e">
        <f>ROUND(PRODUCT(V46,AC7:AC45),0)</f>
        <v>#REF!</v>
      </c>
      <c r="W47" s="3200"/>
      <c r="X47" s="757"/>
      <c r="Y47" s="757"/>
      <c r="Z47" s="757"/>
      <c r="AA47" s="757"/>
      <c r="AB47" s="757"/>
      <c r="AC47" s="757"/>
    </row>
    <row r="48" spans="1:29" ht="15.75" thickBot="1">
      <c r="A48" s="492" t="s">
        <v>2710</v>
      </c>
      <c r="B48" s="493"/>
      <c r="C48" s="494" t="e">
        <f>R48</f>
        <v>#REF!</v>
      </c>
      <c r="D48" s="494"/>
      <c r="E48" s="494"/>
      <c r="F48" s="494"/>
      <c r="G48" s="494"/>
      <c r="H48" s="494"/>
      <c r="I48" s="494"/>
      <c r="J48" s="494"/>
      <c r="K48" s="783"/>
      <c r="L48" s="1144"/>
      <c r="M48" s="1145"/>
      <c r="N48" s="1145"/>
      <c r="O48" s="1145"/>
      <c r="P48" s="3201" t="str">
        <f>A48</f>
        <v>估价对象XX用房的比较价值（楼面单价，元/平方米）</v>
      </c>
      <c r="Q48" s="3202"/>
      <c r="R48" s="3203" t="e">
        <f>ROUND(AVERAGE(R47:V47),0)</f>
        <v>#REF!</v>
      </c>
      <c r="S48" s="3203"/>
      <c r="T48" s="3203"/>
      <c r="U48" s="3203"/>
      <c r="V48" s="3203"/>
      <c r="W48" s="3203"/>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2625</v>
      </c>
      <c r="D51" s="498"/>
      <c r="E51" s="499" t="e">
        <f>IF(E46&lt;E47,E47/E46-1,E46/E47-1)</f>
        <v>#REF!</v>
      </c>
      <c r="F51" s="500" t="e">
        <f>IF(OR(E51&gt;=0.3,E51&lt;=-0.3),"超过30%","")</f>
        <v>#REF!</v>
      </c>
      <c r="G51" s="499" t="e">
        <f>IF(G46&lt;G47,G47/G46-1,G46/G47-1)</f>
        <v>#REF!</v>
      </c>
      <c r="H51" s="500" t="e">
        <f>IF(OR(G51&gt;=0.3,G51&lt;=-0.3),"超过30%","")</f>
        <v>#REF!</v>
      </c>
      <c r="I51" s="499" t="e">
        <f>IF(I46&lt;I47,I47/I46-1,I46/I47-1)</f>
        <v>#REF!</v>
      </c>
      <c r="J51" s="500" t="e">
        <f>IF(OR(I51&gt;=0.3,I51&lt;=-0.3),"超过30%","")</f>
        <v>#REF!</v>
      </c>
      <c r="K51" s="1106"/>
      <c r="L51" s="1107"/>
      <c r="M51" s="1145"/>
      <c r="N51" s="1145"/>
      <c r="O51" s="1145"/>
    </row>
    <row r="52" spans="1:15" ht="13.5" customHeight="1">
      <c r="A52" s="1145"/>
      <c r="B52" s="1145"/>
      <c r="C52" s="497" t="s">
        <v>2626</v>
      </c>
      <c r="D52" s="501"/>
      <c r="E52" s="499" t="e">
        <f>IF(E47&lt;G47,G47/E47-1,E47/G47-1)</f>
        <v>#REF!</v>
      </c>
      <c r="F52" s="500" t="e">
        <f>IF(OR(E52&gt;=0.2,E52&lt;=-0.2),"超过20%","")</f>
        <v>#REF!</v>
      </c>
      <c r="G52" s="499" t="e">
        <f>IF(G47&lt;I47,I47/G47-1,G47/I47-1)</f>
        <v>#REF!</v>
      </c>
      <c r="H52" s="500" t="e">
        <f>IF(OR(G52&gt;=0.2,G52&lt;=-0.2),"超过20%","")</f>
        <v>#REF!</v>
      </c>
      <c r="I52" s="499" t="e">
        <f>IF(I47&lt;E47,E47/I47-1,I47/E47-1)</f>
        <v>#REF!</v>
      </c>
      <c r="J52" s="500" t="e">
        <f>IF(OR(I52&gt;=0.2,I52&lt;=-0.2),"超过20%","")</f>
        <v>#REF!</v>
      </c>
      <c r="K52" s="1106"/>
      <c r="L52" s="1107"/>
      <c r="M52" s="1145"/>
      <c r="N52" s="1145"/>
      <c r="O52" s="1145"/>
    </row>
    <row r="53" spans="1:15" s="502" customFormat="1" ht="13.5" customHeight="1">
      <c r="A53" s="1146"/>
      <c r="B53" s="1146"/>
      <c r="C53" s="497" t="s">
        <v>2627</v>
      </c>
      <c r="D53" s="501"/>
      <c r="E53" s="499" t="e">
        <f>IF(E46&lt;G46,G46/E46-1,E46/G46-1)</f>
        <v>#REF!</v>
      </c>
      <c r="F53" s="500" t="e">
        <f>IF(OR(E53&gt;=0.3,E53&lt;=-0.3),"超过30%","")</f>
        <v>#REF!</v>
      </c>
      <c r="G53" s="499" t="e">
        <f>IF(G46&lt;I46,I46/G46-1,G46/I46-1)</f>
        <v>#REF!</v>
      </c>
      <c r="H53" s="500" t="e">
        <f>IF(OR(G53&gt;=0.3,G53&lt;=-0.3),"超过30%","")</f>
        <v>#REF!</v>
      </c>
      <c r="I53" s="499" t="e">
        <f>IF(I46&lt;E46,E46/I46-1,I46/E46-1)</f>
        <v>#REF!</v>
      </c>
      <c r="J53" s="500" t="e">
        <f>IF(OR(I53&gt;=0.3,I53&lt;=-0.3),"超过30%","")</f>
        <v>#REF!</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2711</v>
      </c>
      <c r="B55" s="685" t="s">
        <v>2712</v>
      </c>
      <c r="C55" s="2704" t="s">
        <v>2713</v>
      </c>
      <c r="D55" s="2705" t="s">
        <v>2714</v>
      </c>
      <c r="E55" s="686" t="s">
        <v>2715</v>
      </c>
      <c r="F55" s="1108" t="s">
        <v>2716</v>
      </c>
      <c r="G55" s="3182" t="s">
        <v>2717</v>
      </c>
      <c r="H55" s="3204"/>
      <c r="I55" s="144" t="s">
        <v>2718</v>
      </c>
      <c r="J55" s="2706" t="str">
        <f>项目基本情况!F35</f>
        <v>北京市</v>
      </c>
      <c r="K55" s="2707" t="s">
        <v>2719</v>
      </c>
      <c r="L55" s="1107"/>
      <c r="M55" s="1145"/>
      <c r="N55" s="1145"/>
      <c r="O55" s="1145"/>
    </row>
    <row r="56" spans="1:15" s="692" customFormat="1">
      <c r="A56" s="688" t="s">
        <v>2720</v>
      </c>
      <c r="B56" s="689" t="e">
        <f>C48</f>
        <v>#REF!</v>
      </c>
      <c r="C56" s="690">
        <v>1</v>
      </c>
      <c r="D56" s="1164">
        <v>1</v>
      </c>
      <c r="E56" s="690">
        <f>'数据-汇总表'!E8+'数据-汇总表'!E9</f>
        <v>0</v>
      </c>
      <c r="F56" s="1104" t="e">
        <f t="shared" ref="F56:F65" si="15">ROUND(B56*E56/10000,0)</f>
        <v>#REF!</v>
      </c>
      <c r="G56" s="3205"/>
      <c r="H56" s="3181"/>
      <c r="I56" s="1109">
        <v>1</v>
      </c>
      <c r="J56" s="1112">
        <v>1</v>
      </c>
      <c r="K56" s="1146"/>
      <c r="L56" s="942"/>
      <c r="M56" s="942"/>
      <c r="N56" s="942"/>
      <c r="O56" s="942"/>
    </row>
    <row r="57" spans="1:15" s="692" customFormat="1">
      <c r="A57" s="693" t="s">
        <v>2721</v>
      </c>
      <c r="B57" s="262" t="e">
        <f>ROUND($C$48*C57*D57,0)</f>
        <v>#REF!</v>
      </c>
      <c r="C57" s="200">
        <f t="shared" ref="C57:C65" si="16">IF($C$55="北京市系数",I57,J57)</f>
        <v>0.8</v>
      </c>
      <c r="D57" s="1165">
        <v>0.25</v>
      </c>
      <c r="E57" s="694"/>
      <c r="F57" s="1104" t="e">
        <f t="shared" si="15"/>
        <v>#REF!</v>
      </c>
      <c r="G57" s="3206" t="s">
        <v>2722</v>
      </c>
      <c r="H57" s="1105" t="str">
        <f>项目基本情况!B37</f>
        <v>二级</v>
      </c>
      <c r="I57" s="1109">
        <f>SUMIF(修正!A45:A56,H57,修正!B45:B56)</f>
        <v>0.8</v>
      </c>
      <c r="J57" s="1113"/>
      <c r="K57" s="1145"/>
      <c r="L57" s="942"/>
      <c r="M57" s="942"/>
      <c r="N57" s="942"/>
      <c r="O57" s="942"/>
    </row>
    <row r="58" spans="1:15" s="692" customFormat="1">
      <c r="A58" s="693" t="s">
        <v>2723</v>
      </c>
      <c r="B58" s="262" t="e">
        <f t="shared" ref="B58:B65" si="17">ROUND($C$48*C58*D58,0)</f>
        <v>#REF!</v>
      </c>
      <c r="C58" s="200">
        <f t="shared" si="16"/>
        <v>0.5</v>
      </c>
      <c r="D58" s="1165">
        <v>0.25</v>
      </c>
      <c r="E58" s="694"/>
      <c r="F58" s="1104" t="e">
        <f t="shared" si="15"/>
        <v>#REF!</v>
      </c>
      <c r="G58" s="3206"/>
      <c r="H58" s="1105" t="str">
        <f>项目基本情况!B37</f>
        <v>二级</v>
      </c>
      <c r="I58" s="1109">
        <f>SUMIF(修正!A45:A56,H58,修正!C45:C56)</f>
        <v>0.5</v>
      </c>
      <c r="J58" s="1113"/>
      <c r="K58" s="1146"/>
      <c r="L58" s="942"/>
      <c r="M58" s="942"/>
      <c r="N58" s="942"/>
      <c r="O58" s="942"/>
    </row>
    <row r="59" spans="1:15" s="692" customFormat="1">
      <c r="A59" s="693" t="s">
        <v>2724</v>
      </c>
      <c r="B59" s="262" t="e">
        <f t="shared" si="17"/>
        <v>#REF!</v>
      </c>
      <c r="C59" s="200">
        <f t="shared" si="16"/>
        <v>0.36</v>
      </c>
      <c r="D59" s="1165">
        <v>0.25</v>
      </c>
      <c r="E59" s="694"/>
      <c r="F59" s="1104" t="e">
        <f t="shared" si="15"/>
        <v>#REF!</v>
      </c>
      <c r="G59" s="3206"/>
      <c r="H59" s="1105" t="str">
        <f>项目基本情况!B37</f>
        <v>二级</v>
      </c>
      <c r="I59" s="1109">
        <f>SUMIF(修正!A45:A56,H59,修正!D45:D56)</f>
        <v>0.36</v>
      </c>
      <c r="J59" s="1113"/>
      <c r="K59" s="1145"/>
      <c r="L59" s="942"/>
      <c r="M59" s="942"/>
      <c r="N59" s="942"/>
      <c r="O59" s="942"/>
    </row>
    <row r="60" spans="1:15" s="692" customFormat="1">
      <c r="A60" s="693" t="s">
        <v>2725</v>
      </c>
      <c r="B60" s="262" t="e">
        <f t="shared" si="17"/>
        <v>#REF!</v>
      </c>
      <c r="C60" s="200">
        <f t="shared" si="16"/>
        <v>0.3</v>
      </c>
      <c r="D60" s="1165">
        <v>0.25</v>
      </c>
      <c r="E60" s="694"/>
      <c r="F60" s="1104" t="e">
        <f t="shared" si="15"/>
        <v>#REF!</v>
      </c>
      <c r="G60" s="3206"/>
      <c r="H60" s="1105" t="str">
        <f>项目基本情况!B37</f>
        <v>二级</v>
      </c>
      <c r="I60" s="1109">
        <f>SUMIF(修正!A45:A56,H60,修正!E45:E56)</f>
        <v>0.3</v>
      </c>
      <c r="J60" s="1113"/>
      <c r="K60" s="1146"/>
      <c r="L60" s="942"/>
      <c r="M60" s="942"/>
      <c r="N60" s="942"/>
      <c r="O60" s="942"/>
    </row>
    <row r="61" spans="1:15" s="692" customFormat="1">
      <c r="A61" s="693" t="s">
        <v>2726</v>
      </c>
      <c r="B61" s="262" t="e">
        <f t="shared" si="17"/>
        <v>#REF!</v>
      </c>
      <c r="C61" s="200">
        <f t="shared" si="16"/>
        <v>0</v>
      </c>
      <c r="D61" s="1165">
        <v>0.25</v>
      </c>
      <c r="E61" s="261">
        <f>'数据-汇总表'!E11</f>
        <v>0</v>
      </c>
      <c r="F61" s="1104" t="e">
        <f t="shared" si="15"/>
        <v>#REF!</v>
      </c>
      <c r="G61" s="2708" t="s">
        <v>2727</v>
      </c>
      <c r="H61" s="1105">
        <f>项目基本情况!C37</f>
        <v>0</v>
      </c>
      <c r="I61" s="1109">
        <f>SUMIF(修正!A45:A56,H61,修正!F45:F56)</f>
        <v>0</v>
      </c>
      <c r="J61" s="1113"/>
      <c r="K61" s="1145"/>
      <c r="L61" s="942"/>
      <c r="M61" s="942"/>
      <c r="N61" s="942"/>
      <c r="O61" s="942"/>
    </row>
    <row r="62" spans="1:15" s="692" customFormat="1">
      <c r="A62" s="693" t="s">
        <v>2728</v>
      </c>
      <c r="B62" s="262" t="e">
        <f t="shared" si="17"/>
        <v>#REF!</v>
      </c>
      <c r="C62" s="200">
        <f t="shared" si="16"/>
        <v>0</v>
      </c>
      <c r="D62" s="1165">
        <v>0.25</v>
      </c>
      <c r="E62" s="261">
        <f>'数据-汇总表'!E12</f>
        <v>0</v>
      </c>
      <c r="F62" s="1104" t="e">
        <f t="shared" si="15"/>
        <v>#REF!</v>
      </c>
      <c r="G62" s="1110" t="s">
        <v>2729</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2730</v>
      </c>
      <c r="B63" s="262" t="e">
        <f t="shared" si="17"/>
        <v>#REF!</v>
      </c>
      <c r="C63" s="200">
        <f t="shared" si="16"/>
        <v>0</v>
      </c>
      <c r="D63" s="1165">
        <v>0.25</v>
      </c>
      <c r="E63" s="261">
        <f>'数据-汇总表'!E13</f>
        <v>0</v>
      </c>
      <c r="F63" s="1104" t="e">
        <f t="shared" si="15"/>
        <v>#REF!</v>
      </c>
      <c r="G63" s="1110" t="s">
        <v>2731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2732</v>
      </c>
      <c r="B64" s="262" t="e">
        <f t="shared" si="17"/>
        <v>#REF!</v>
      </c>
      <c r="C64" s="200">
        <f t="shared" si="16"/>
        <v>0.25</v>
      </c>
      <c r="D64" s="1165">
        <v>0.25</v>
      </c>
      <c r="E64" s="261">
        <f>'数据-汇总表'!E14</f>
        <v>0</v>
      </c>
      <c r="F64" s="1104" t="e">
        <f t="shared" si="15"/>
        <v>#REF!</v>
      </c>
      <c r="G64" s="2708" t="s">
        <v>2722</v>
      </c>
      <c r="H64" s="1105" t="str">
        <f>项目基本情况!B37</f>
        <v>二级</v>
      </c>
      <c r="I64" s="1109">
        <f>SUMIF(修正!A45:A56,H64,修正!H45:H56)</f>
        <v>0.25</v>
      </c>
      <c r="J64" s="1113"/>
      <c r="K64" s="1146"/>
      <c r="L64" s="942"/>
      <c r="M64" s="942"/>
      <c r="N64" s="942"/>
      <c r="O64" s="942"/>
    </row>
    <row r="65" spans="1:17" s="692" customFormat="1" ht="15" thickBot="1">
      <c r="A65" s="693" t="s">
        <v>2733</v>
      </c>
      <c r="B65" s="262" t="e">
        <f t="shared" si="17"/>
        <v>#REF!</v>
      </c>
      <c r="C65" s="200">
        <f t="shared" si="16"/>
        <v>0</v>
      </c>
      <c r="D65" s="1165">
        <v>0.25</v>
      </c>
      <c r="E65" s="261">
        <f>'数据-汇总表'!E15</f>
        <v>0</v>
      </c>
      <c r="F65" s="1104" t="e">
        <f t="shared" si="15"/>
        <v>#REF!</v>
      </c>
      <c r="G65" s="2709" t="s">
        <v>2727</v>
      </c>
      <c r="H65" s="1115">
        <f>项目基本情况!C37</f>
        <v>0</v>
      </c>
      <c r="I65" s="1111">
        <f>SUMIF(修正!A45:A56,H65,修正!H45:H56)</f>
        <v>0</v>
      </c>
      <c r="J65" s="1114"/>
      <c r="K65" s="1145"/>
      <c r="L65" s="942"/>
      <c r="M65" s="942"/>
      <c r="N65" s="942"/>
      <c r="O65" s="942"/>
    </row>
    <row r="66" spans="1:17" s="692" customFormat="1" ht="13.5" thickBot="1">
      <c r="A66" s="695" t="s">
        <v>2734</v>
      </c>
      <c r="B66" s="696" t="s">
        <v>28</v>
      </c>
      <c r="C66" s="696" t="s">
        <v>29</v>
      </c>
      <c r="D66" s="696" t="s">
        <v>1028</v>
      </c>
      <c r="E66" s="696">
        <f>IF(B46="楼面地价",SUM(E56:E65),'数据-汇总表'!D3)</f>
        <v>0</v>
      </c>
      <c r="F66" s="697" t="e">
        <f>IF(B46="楼面地价",SUM(F56:F65),ROUND(C48*E66/10000,0))</f>
        <v>#REF!</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2628</v>
      </c>
      <c r="B69" s="757"/>
      <c r="C69" s="762"/>
      <c r="D69" s="762"/>
      <c r="E69" s="762"/>
      <c r="F69" s="763"/>
      <c r="G69" s="763"/>
      <c r="H69" s="762"/>
      <c r="I69" s="762"/>
      <c r="J69" s="1160"/>
      <c r="K69" s="1161"/>
      <c r="L69" s="1162"/>
      <c r="M69" s="1160"/>
      <c r="N69" s="1160"/>
      <c r="O69" s="1160"/>
      <c r="P69" s="503"/>
      <c r="Q69" s="504"/>
    </row>
    <row r="70" spans="1:17" s="508" customFormat="1" ht="15">
      <c r="A70" s="2710" t="s">
        <v>2735</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7"/>
    </row>
    <row r="71" spans="1:17" s="117" customFormat="1" ht="30" customHeight="1">
      <c r="A71" s="2711" t="s">
        <v>2736</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3"/>
      <c r="P72" s="504"/>
      <c r="Q72" s="504"/>
    </row>
    <row r="73" spans="1:17" s="117" customFormat="1" ht="15">
      <c r="A73" s="521" t="s">
        <v>2504</v>
      </c>
      <c r="B73" s="510"/>
      <c r="C73" s="522" t="s">
        <v>2606</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2542</v>
      </c>
      <c r="B75" s="528" t="s">
        <v>2508</v>
      </c>
      <c r="C75" s="2941" t="s">
        <v>3019</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2511</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2512</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49">
        <v>8</v>
      </c>
      <c r="L80" s="549">
        <v>9</v>
      </c>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f>B12</f>
        <v>0</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0</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2513</v>
      </c>
      <c r="B88" s="528" t="s">
        <v>2550</v>
      </c>
      <c r="C88" s="573" t="s">
        <v>2551</v>
      </c>
      <c r="D88" s="573" t="s">
        <v>2552</v>
      </c>
      <c r="E88" s="573" t="s">
        <v>2553</v>
      </c>
      <c r="F88" s="573" t="s">
        <v>2554</v>
      </c>
      <c r="G88" s="573" t="s">
        <v>2555</v>
      </c>
      <c r="H88" s="529"/>
      <c r="I88" s="529"/>
      <c r="J88" s="529"/>
      <c r="K88" s="574"/>
      <c r="L88" s="575"/>
      <c r="M88" s="576"/>
      <c r="N88" s="1153"/>
      <c r="O88" s="1153"/>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4"/>
      <c r="O89" s="1154"/>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3"/>
      <c r="O90" s="1153"/>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2645</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2703</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0</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0</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0</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2517</v>
      </c>
      <c r="B116" s="528" t="s">
        <v>2744</v>
      </c>
      <c r="C116" s="529" t="str">
        <f>C117&amp;"(含)"&amp;"-"&amp;D117</f>
        <v>0(含)-50000</v>
      </c>
      <c r="D116" s="529" t="str">
        <f t="shared" ref="D116:M116" si="25">D117&amp;"(含)"&amp;"-"&amp;E117</f>
        <v>50000(含)-100000</v>
      </c>
      <c r="E116" s="529" t="str">
        <f t="shared" si="25"/>
        <v>100000(含)-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v>0</v>
      </c>
      <c r="D117" s="595">
        <v>50000</v>
      </c>
      <c r="E117" s="595">
        <v>100000</v>
      </c>
      <c r="F117" s="595"/>
      <c r="G117" s="595"/>
      <c r="H117" s="595"/>
      <c r="I117" s="595"/>
      <c r="J117" s="596"/>
      <c r="K117" s="596"/>
      <c r="L117" s="597"/>
      <c r="M117" s="598"/>
      <c r="N117" s="1153"/>
      <c r="O117" s="1153"/>
      <c r="P117" s="45"/>
      <c r="Q117" s="504"/>
    </row>
    <row r="118" spans="1:17" ht="15.75" thickBot="1">
      <c r="A118" s="534"/>
      <c r="B118" s="543"/>
      <c r="C118" s="570">
        <v>100</v>
      </c>
      <c r="D118" s="591">
        <v>101</v>
      </c>
      <c r="E118" s="570">
        <v>102</v>
      </c>
      <c r="F118" s="591"/>
      <c r="G118" s="591"/>
      <c r="H118" s="591"/>
      <c r="I118" s="591"/>
      <c r="J118" s="591"/>
      <c r="K118" s="591"/>
      <c r="L118" s="591"/>
      <c r="M118" s="592"/>
      <c r="N118" s="1154"/>
      <c r="O118" s="1154"/>
      <c r="P118" s="45"/>
      <c r="Q118" s="504"/>
    </row>
    <row r="119" spans="1:17" ht="15" thickTop="1">
      <c r="A119" s="599"/>
      <c r="B119" s="538" t="s">
        <v>2745</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2746</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2747</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2748</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0</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0</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0</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C18" sqref="C1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2757</v>
      </c>
      <c r="B1" s="241"/>
      <c r="C1" s="245" t="s">
        <v>2758</v>
      </c>
      <c r="D1" s="388">
        <f>SUM(D29:D30,D33:D39)</f>
        <v>2188.58</v>
      </c>
      <c r="E1" s="2716"/>
      <c r="F1" s="2716"/>
      <c r="G1" s="2716"/>
      <c r="H1" s="2716"/>
      <c r="I1" s="2716"/>
      <c r="J1" s="2716"/>
      <c r="K1" s="1371"/>
      <c r="L1" s="2717" t="s">
        <v>2759</v>
      </c>
      <c r="M1" s="1081">
        <f>SUMPRODUCT((区片价!B5:B9=I2)*(区片价!C3:F3=E2)*(区片价!C5:F9))</f>
        <v>0</v>
      </c>
      <c r="N1" s="1084">
        <f>SUMPRODUCT((因素修正幅度!B5:B9=I2)*(因素修正幅度!C3:F3=E2)*(因素修正幅度!C5:F9))</f>
        <v>0</v>
      </c>
      <c r="O1" s="2718"/>
      <c r="P1" s="2718"/>
      <c r="Q1" s="1371"/>
      <c r="R1" s="1602" t="s">
        <v>2760</v>
      </c>
      <c r="S1" s="1602" t="s">
        <v>2761</v>
      </c>
      <c r="T1" s="1602" t="s">
        <v>2762</v>
      </c>
      <c r="U1" s="1602" t="s">
        <v>2763</v>
      </c>
      <c r="V1" s="1602" t="s">
        <v>2764</v>
      </c>
      <c r="W1" s="1606"/>
      <c r="X1" s="1606"/>
      <c r="Y1" s="1606"/>
      <c r="Z1" s="1606"/>
      <c r="AA1" s="1606"/>
      <c r="AB1" s="1606"/>
      <c r="AC1" s="1607"/>
      <c r="AD1" s="1608"/>
      <c r="AE1" s="1608"/>
      <c r="AF1" s="1608"/>
      <c r="AG1" s="1608"/>
      <c r="AH1" s="1608"/>
      <c r="AI1" s="1608"/>
      <c r="AJ1" s="1609"/>
    </row>
    <row r="2" spans="1:36" ht="15.75">
      <c r="A2" s="245" t="s">
        <v>2765</v>
      </c>
      <c r="B2" s="248" t="e">
        <f ca="1">C26</f>
        <v>#DIV/0!</v>
      </c>
      <c r="C2" s="2720" t="s">
        <v>2766</v>
      </c>
      <c r="D2" s="2721" t="s">
        <v>2767</v>
      </c>
      <c r="E2" s="2722" t="s">
        <v>1373</v>
      </c>
      <c r="F2" s="2721" t="s">
        <v>2768</v>
      </c>
      <c r="G2" s="2723" t="str">
        <f>IF(E2="商业",项目基本情况!B37,IF(E2="办公",项目基本情况!C37,IF(E2="住宅",项目基本情况!D37,项目基本情况!E37)))</f>
        <v>二级</v>
      </c>
      <c r="H2" s="2721" t="s">
        <v>2769</v>
      </c>
      <c r="I2" s="2723" t="str">
        <f>IF(E2="商业",项目基本情况!B38,IF(E2="办公",项目基本情况!C38,IF(E2="住宅",项目基本情况!D38,项目基本情况!E38)))</f>
        <v>Ⅱ—13</v>
      </c>
      <c r="J2" s="2724"/>
      <c r="K2" s="1371"/>
      <c r="L2" s="2725" t="s">
        <v>2770</v>
      </c>
      <c r="M2" s="1082">
        <f>SUMPRODUCT((区片价!B10:B28=I2)*(区片价!C3:F3=E2)*(区片价!C10:F28))</f>
        <v>26530</v>
      </c>
      <c r="N2" s="1084">
        <f>SUMPRODUCT((因素修正幅度!B10:B28=I2)*(因素修正幅度!C3:F3=E2)*(因素修正幅度!C10:F28))</f>
        <v>0.08</v>
      </c>
      <c r="O2" s="1371"/>
      <c r="P2" s="1371"/>
      <c r="Q2" s="1371"/>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75">
      <c r="A3" s="247" t="s">
        <v>2771</v>
      </c>
      <c r="B3" s="248" t="e">
        <f ca="1">ROUND(B2*10000/D1,0)</f>
        <v>#DIV/0!</v>
      </c>
      <c r="C3" s="2720" t="s">
        <v>2772</v>
      </c>
      <c r="D3" s="2721" t="s">
        <v>2773</v>
      </c>
      <c r="E3" s="2726" t="s">
        <v>3129</v>
      </c>
      <c r="F3" s="2727" t="s">
        <v>3119</v>
      </c>
      <c r="G3" s="914">
        <f>IF(F3="宗地容积率",'数据-汇总表'!I4,IF(F3="估价对象容积率",'数据-汇总表'!I6,'数据-汇总表'!I7))</f>
        <v>0</v>
      </c>
      <c r="H3" s="198" t="s">
        <v>2774</v>
      </c>
      <c r="I3" s="945">
        <v>1</v>
      </c>
      <c r="J3" s="2724" t="s">
        <v>2775</v>
      </c>
      <c r="K3" s="1371"/>
      <c r="L3" s="2725" t="s">
        <v>2776</v>
      </c>
      <c r="M3" s="1082">
        <f>SUMPRODUCT((区片价!B29:B48=I2)*(区片价!C3:F3=E2)*(区片价!C29:F48))</f>
        <v>0</v>
      </c>
      <c r="N3" s="1084">
        <f>SUMPRODUCT((因素修正幅度!B29:B48=I2)*(因素修正幅度!C3:F3=E2)*(因素修正幅度!C29:F48))</f>
        <v>0</v>
      </c>
      <c r="O3" s="1371"/>
      <c r="P3" s="1371"/>
      <c r="Q3" s="1371"/>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221"/>
      <c r="B4" s="3222"/>
      <c r="C4" s="3222"/>
      <c r="D4" s="3223"/>
      <c r="E4" s="3223"/>
      <c r="F4" s="3223"/>
      <c r="G4" s="3223"/>
      <c r="H4" s="3223"/>
      <c r="I4" s="3223"/>
      <c r="J4" s="3224"/>
      <c r="K4" s="1371"/>
      <c r="L4" s="2725" t="s">
        <v>2777</v>
      </c>
      <c r="M4" s="1082">
        <f>SUMPRODUCT((区片价!B49:B75=I2)*(区片价!C3:F3=E2)*(区片价!C49:F75))</f>
        <v>0</v>
      </c>
      <c r="N4" s="1084">
        <f>SUMPRODUCT((因素修正幅度!B49:B75=I2)*(因素修正幅度!C3:F3=E2)*(因素修正幅度!C49:F75))</f>
        <v>0</v>
      </c>
      <c r="O4" s="1371"/>
      <c r="P4" s="1371"/>
      <c r="Q4" s="1371"/>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7" customFormat="1" ht="15.75" thickBot="1">
      <c r="A5" s="2728" t="s">
        <v>806</v>
      </c>
      <c r="B5" s="2729" t="s">
        <v>2778</v>
      </c>
      <c r="C5" s="915">
        <f>ROUND(IF(E2="商业",IF(F16="增加",C6*C7+C16,C6*C7-C16),IF(E2="住宅",IF(F16="增加",C6*C12+C16,C6*C12-C16),IF(F16="增加",C6+C16,C6-C16))),0)</f>
        <v>26530</v>
      </c>
      <c r="D5" s="1787">
        <f>ROUND(IF(E2="商业",IF(F16="增加",C6+C16,C6-C16)),0)</f>
        <v>26530</v>
      </c>
      <c r="E5" s="2730"/>
      <c r="F5" s="2730"/>
      <c r="G5" s="2731"/>
      <c r="H5" s="2731"/>
      <c r="I5" s="2731"/>
      <c r="J5" s="2732"/>
      <c r="K5" s="2733"/>
      <c r="L5" s="2725" t="s">
        <v>2779</v>
      </c>
      <c r="M5" s="1082">
        <f>SUMPRODUCT((区片价!B76:B109=I2)*(区片价!C3:F3=E2)*(区片价!C76:F109))</f>
        <v>0</v>
      </c>
      <c r="N5" s="1084">
        <f>SUMPRODUCT((因素修正幅度!B76:B109=I2)*(因素修正幅度!C3:F3=E2)*(因素修正幅度!C76:F109))</f>
        <v>0</v>
      </c>
      <c r="O5" s="1371"/>
      <c r="P5" s="1371"/>
      <c r="Q5" s="1371"/>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4"/>
      <c r="AD5" s="2735"/>
      <c r="AE5" s="2735"/>
      <c r="AF5" s="2735"/>
      <c r="AG5" s="2735"/>
      <c r="AH5" s="2735"/>
      <c r="AI5" s="2735"/>
      <c r="AJ5" s="2736"/>
    </row>
    <row r="6" spans="1:36" ht="15.75" thickBot="1">
      <c r="A6" s="2738" t="s">
        <v>2780</v>
      </c>
      <c r="B6" s="2739" t="s">
        <v>2781</v>
      </c>
      <c r="C6" s="916">
        <f>SUMIF(L1:L12,G2,M1:M12)</f>
        <v>26530</v>
      </c>
      <c r="D6" s="2740" t="s">
        <v>2782</v>
      </c>
      <c r="E6" s="2741"/>
      <c r="F6" s="2741"/>
      <c r="G6" s="2742"/>
      <c r="H6" s="2742"/>
      <c r="I6" s="2742"/>
      <c r="J6" s="2743"/>
      <c r="K6" s="1842"/>
      <c r="L6" s="2725" t="s">
        <v>2783</v>
      </c>
      <c r="M6" s="1082">
        <f>SUMPRODUCT((区片价!B110:B157=I2)*(区片价!C3:F3=E2)*(区片价!C110:F157))</f>
        <v>0</v>
      </c>
      <c r="N6" s="1084">
        <f>SUMPRODUCT((因素修正幅度!B110:B157=I2)*(因素修正幅度!C3:F3=E2)*(因素修正幅度!C110:F157))</f>
        <v>0</v>
      </c>
      <c r="O6" s="1371"/>
      <c r="P6" s="1371"/>
      <c r="Q6" s="1371"/>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4"/>
      <c r="AD6" s="2735"/>
      <c r="AE6" s="2735"/>
      <c r="AF6" s="2735"/>
      <c r="AG6" s="2735"/>
      <c r="AH6" s="2735"/>
      <c r="AI6" s="2735"/>
      <c r="AJ6" s="2736"/>
    </row>
    <row r="7" spans="1:36" ht="24">
      <c r="A7" s="3207" t="str">
        <f>IF(E2="商业",IF(C8="不临58条商业街","",2),"")</f>
        <v/>
      </c>
      <c r="B7" s="2744" t="s">
        <v>2784</v>
      </c>
      <c r="C7" s="917">
        <f>IF(C8="不临58条商业街",1,ROUND(1+(1.6*E8+1.2*E9+0.8*E10+0.4*E11)*C9,4))</f>
        <v>1</v>
      </c>
      <c r="D7" s="2745" t="s">
        <v>2785</v>
      </c>
      <c r="E7" s="946"/>
      <c r="F7" s="2746"/>
      <c r="G7" s="2747"/>
      <c r="H7" s="2747"/>
      <c r="I7" s="2747"/>
      <c r="J7" s="2748"/>
      <c r="K7" s="1842"/>
      <c r="L7" s="2725" t="s">
        <v>2786</v>
      </c>
      <c r="M7" s="1082">
        <f>SUMPRODUCT((区片价!B158:B205=I2)*(区片价!C3:F3=E2)*(区片价!C158:F205))</f>
        <v>0</v>
      </c>
      <c r="N7" s="1084">
        <f>SUMPRODUCT((因素修正幅度!B158:B205=I2)*(因素修正幅度!C3:F3=E2)*(因素修正幅度!C158:F205))</f>
        <v>0</v>
      </c>
      <c r="O7" s="1371"/>
      <c r="P7" s="1371"/>
      <c r="Q7" s="1371"/>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2787</v>
      </c>
      <c r="X7" s="1604" t="str">
        <f>G2</f>
        <v>二级</v>
      </c>
      <c r="Y7" s="1604" t="s">
        <v>2788</v>
      </c>
      <c r="Z7" s="1605">
        <f>G3</f>
        <v>0</v>
      </c>
      <c r="AA7" s="1606"/>
      <c r="AB7" s="1606"/>
      <c r="AC7" s="1607"/>
      <c r="AD7" s="1608"/>
      <c r="AE7" s="1608"/>
      <c r="AF7" s="1608"/>
      <c r="AG7" s="1608"/>
      <c r="AH7" s="1608"/>
      <c r="AI7" s="1608"/>
      <c r="AJ7" s="1609"/>
    </row>
    <row r="8" spans="1:36" ht="25.5">
      <c r="A8" s="3208"/>
      <c r="B8" s="198" t="s">
        <v>2789</v>
      </c>
      <c r="C8" s="2749" t="s">
        <v>3127</v>
      </c>
      <c r="D8" s="918" t="s">
        <v>139</v>
      </c>
      <c r="E8" s="919" t="e">
        <f>ROUND(C11/E7,4)</f>
        <v>#DIV/0!</v>
      </c>
      <c r="F8" s="2750" t="s">
        <v>2790</v>
      </c>
      <c r="G8" s="2751"/>
      <c r="H8" s="2751"/>
      <c r="I8" s="2751"/>
      <c r="J8" s="2752"/>
      <c r="K8" s="1371"/>
      <c r="L8" s="2725" t="s">
        <v>2791</v>
      </c>
      <c r="M8" s="1082">
        <f>SUMPRODUCT((区片价!B206:B244=I2)*(区片价!C3:F3=E2)*(区片价!C206:F244))</f>
        <v>0</v>
      </c>
      <c r="N8" s="1084">
        <f>SUMPRODUCT((因素修正幅度!B206:B244=I2)*(因素修正幅度!C3:F3=E2)*(因素修正幅度!C206:F244))</f>
        <v>0</v>
      </c>
      <c r="O8" s="1371"/>
      <c r="P8" s="1371"/>
      <c r="Q8" s="1371"/>
      <c r="R8" s="1602">
        <v>7</v>
      </c>
      <c r="S8" s="1603"/>
      <c r="T8" s="1602">
        <f t="shared" ca="1" si="0"/>
        <v>0</v>
      </c>
      <c r="U8" s="1603"/>
      <c r="V8" s="1602">
        <f t="shared" ca="1" si="1"/>
        <v>0</v>
      </c>
      <c r="W8" s="3218" t="s">
        <v>2792</v>
      </c>
      <c r="X8" s="3219"/>
      <c r="Y8" s="1610" t="s">
        <v>2793</v>
      </c>
      <c r="Z8" s="1610" t="s">
        <v>2794</v>
      </c>
      <c r="AA8" s="1610" t="s">
        <v>2795</v>
      </c>
      <c r="AB8" s="1610" t="s">
        <v>2796</v>
      </c>
      <c r="AC8" s="1610" t="s">
        <v>2797</v>
      </c>
      <c r="AD8" s="1610" t="s">
        <v>2798</v>
      </c>
      <c r="AE8" s="1610" t="s">
        <v>2799</v>
      </c>
      <c r="AF8" s="1610" t="s">
        <v>2800</v>
      </c>
      <c r="AG8" s="1610" t="s">
        <v>2801</v>
      </c>
      <c r="AH8" s="1610" t="s">
        <v>2802</v>
      </c>
      <c r="AI8" s="1610" t="s">
        <v>2803</v>
      </c>
      <c r="AJ8" s="1610" t="s">
        <v>2804</v>
      </c>
    </row>
    <row r="9" spans="1:36" ht="15">
      <c r="A9" s="3208"/>
      <c r="B9" s="198" t="s">
        <v>2805</v>
      </c>
      <c r="C9" s="920">
        <f>SUMIF(修正!C59:C119,C8,修正!E59:E119)</f>
        <v>0</v>
      </c>
      <c r="D9" s="200" t="s">
        <v>140</v>
      </c>
      <c r="E9" s="200" t="e">
        <f>ROUND(C11/E7,4)</f>
        <v>#DIV/0!</v>
      </c>
      <c r="F9" s="2750" t="s">
        <v>2806</v>
      </c>
      <c r="G9" s="2751"/>
      <c r="H9" s="2751"/>
      <c r="I9" s="2751"/>
      <c r="J9" s="2752"/>
      <c r="K9" s="1371"/>
      <c r="L9" s="2725" t="s">
        <v>2807</v>
      </c>
      <c r="M9" s="1082">
        <f>SUMPRODUCT((区片价!B245:B289=I2)*(区片价!C3:F3=E2)*(区片价!C245:F289))</f>
        <v>0</v>
      </c>
      <c r="N9" s="1084">
        <f>SUMPRODUCT((因素修正幅度!B245:B289=I2)*(因素修正幅度!C3:F3=E2)*(因素修正幅度!C245:F289))</f>
        <v>0</v>
      </c>
      <c r="O9" s="1371"/>
      <c r="P9" s="1371"/>
      <c r="Q9" s="1371"/>
      <c r="R9" s="1602">
        <v>8</v>
      </c>
      <c r="S9" s="1603"/>
      <c r="T9" s="1602">
        <f t="shared" ca="1" si="0"/>
        <v>0</v>
      </c>
      <c r="U9" s="1603"/>
      <c r="V9" s="1602">
        <f t="shared" ca="1" si="1"/>
        <v>0</v>
      </c>
      <c r="W9" s="3220" t="s">
        <v>2808</v>
      </c>
      <c r="X9" s="1611" t="s">
        <v>2809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8"/>
      <c r="B10" s="198" t="s">
        <v>2810</v>
      </c>
      <c r="C10" s="200">
        <f>SUMIF(修正!C59:C119,C8,修正!F59:F119)</f>
        <v>0</v>
      </c>
      <c r="D10" s="200" t="s">
        <v>141</v>
      </c>
      <c r="E10" s="200" t="e">
        <f>ROUND(C11/E7,4)</f>
        <v>#DIV/0!</v>
      </c>
      <c r="F10" s="2750" t="s">
        <v>2811</v>
      </c>
      <c r="G10" s="2751"/>
      <c r="H10" s="2751"/>
      <c r="I10" s="2751"/>
      <c r="J10" s="2752"/>
      <c r="K10" s="1371"/>
      <c r="L10" s="2725" t="s">
        <v>2812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f t="shared" ca="1" si="0"/>
        <v>0</v>
      </c>
      <c r="U10" s="1603"/>
      <c r="V10" s="1602">
        <f t="shared" ca="1" si="1"/>
        <v>0</v>
      </c>
      <c r="W10" s="322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8"/>
      <c r="B11" s="2753" t="s">
        <v>2813</v>
      </c>
      <c r="C11" s="921">
        <f>C10/4</f>
        <v>0</v>
      </c>
      <c r="D11" s="921" t="s">
        <v>142</v>
      </c>
      <c r="E11" s="921" t="e">
        <f>ROUND(C11/E7,4)</f>
        <v>#DIV/0!</v>
      </c>
      <c r="F11" s="2754" t="s">
        <v>2814</v>
      </c>
      <c r="G11" s="2755"/>
      <c r="H11" s="2755"/>
      <c r="I11" s="2755"/>
      <c r="J11" s="2756"/>
      <c r="K11" s="1371"/>
      <c r="L11" s="2725" t="s">
        <v>2815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f t="shared" ca="1" si="0"/>
        <v>0</v>
      </c>
      <c r="U11" s="1603"/>
      <c r="V11" s="1602">
        <f t="shared" ca="1" si="1"/>
        <v>0</v>
      </c>
      <c r="W11" s="3220" t="s">
        <v>2816</v>
      </c>
      <c r="X11" s="1614" t="s">
        <v>2817</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5" thickBot="1">
      <c r="A12" s="3207" t="s">
        <v>2818</v>
      </c>
      <c r="B12" s="2757" t="s">
        <v>2819</v>
      </c>
      <c r="C12" s="917">
        <f>ROUND(C15*D15*E15*F15*G15*H15*I15*J15,4)</f>
        <v>1</v>
      </c>
      <c r="D12" s="2758" t="s">
        <v>2820</v>
      </c>
      <c r="E12" s="2759"/>
      <c r="F12" s="2759"/>
      <c r="G12" s="2760"/>
      <c r="H12" s="2760"/>
      <c r="I12" s="2760"/>
      <c r="J12" s="2761"/>
      <c r="K12" s="1371"/>
      <c r="L12" s="2762" t="s">
        <v>2821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f t="shared" ca="1" si="0"/>
        <v>0</v>
      </c>
      <c r="U12" s="1603"/>
      <c r="V12" s="1602">
        <f t="shared" ca="1" si="1"/>
        <v>0</v>
      </c>
      <c r="W12" s="3220"/>
      <c r="X12" s="1616" t="s">
        <v>2822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5"/>
      <c r="B13" s="2763" t="s">
        <v>2823</v>
      </c>
      <c r="C13" s="2764" t="s">
        <v>2824</v>
      </c>
      <c r="D13" s="1808" t="s">
        <v>2825</v>
      </c>
      <c r="E13" s="1808" t="s">
        <v>2826</v>
      </c>
      <c r="F13" s="30" t="s">
        <v>2827</v>
      </c>
      <c r="G13" s="2765" t="s">
        <v>2828</v>
      </c>
      <c r="H13" s="2765" t="s">
        <v>2828</v>
      </c>
      <c r="I13" s="2765" t="s">
        <v>2828</v>
      </c>
      <c r="J13" s="2766" t="s">
        <v>2828</v>
      </c>
      <c r="K13" s="1371"/>
      <c r="L13" s="1371"/>
      <c r="M13" s="1371"/>
      <c r="N13" s="1371"/>
      <c r="O13" s="1371"/>
      <c r="P13" s="1371"/>
      <c r="Q13" s="1371"/>
      <c r="R13" s="1602">
        <v>12</v>
      </c>
      <c r="S13" s="1603"/>
      <c r="T13" s="1602">
        <f t="shared" ca="1" si="0"/>
        <v>0</v>
      </c>
      <c r="U13" s="1603"/>
      <c r="V13" s="1602">
        <f t="shared" ca="1" si="1"/>
        <v>0</v>
      </c>
      <c r="W13" s="322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25"/>
      <c r="B14" s="2767"/>
      <c r="C14" s="2768"/>
      <c r="D14" s="2769"/>
      <c r="E14" s="2769"/>
      <c r="F14" s="2770"/>
      <c r="G14" s="2771" t="s">
        <v>2829</v>
      </c>
      <c r="H14" s="2772"/>
      <c r="I14" s="2773"/>
      <c r="J14" s="2774"/>
      <c r="K14" s="1371"/>
      <c r="L14" s="1371"/>
      <c r="M14" s="1371"/>
      <c r="N14" s="1371"/>
      <c r="O14" s="1371"/>
      <c r="P14" s="1371"/>
      <c r="Q14" s="1371"/>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6"/>
      <c r="B15" s="2775" t="s">
        <v>2830</v>
      </c>
      <c r="C15" s="229">
        <f>IF(C14="有",1.1,1)</f>
        <v>1</v>
      </c>
      <c r="D15" s="229">
        <f>IF(D14="有",1.1,1)</f>
        <v>1</v>
      </c>
      <c r="E15" s="229">
        <f>IF(E14="有",1.1,1)</f>
        <v>1</v>
      </c>
      <c r="F15" s="229">
        <f>IF(F14="500米范围内",1.2,IF(F14="500-1000米",1.1,1))</f>
        <v>1</v>
      </c>
      <c r="G15" s="947">
        <v>1</v>
      </c>
      <c r="H15" s="947">
        <v>1</v>
      </c>
      <c r="I15" s="947">
        <v>1</v>
      </c>
      <c r="J15" s="948">
        <v>1</v>
      </c>
      <c r="K15" s="1371"/>
      <c r="L15" s="2776" t="s">
        <v>2767</v>
      </c>
      <c r="M15" s="918" t="s">
        <v>2831</v>
      </c>
      <c r="N15" s="918" t="s">
        <v>2832</v>
      </c>
      <c r="O15" s="918" t="s">
        <v>2833</v>
      </c>
      <c r="P15" s="2777" t="s">
        <v>2834</v>
      </c>
      <c r="Q15" s="1371"/>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07" t="s">
        <v>2835</v>
      </c>
      <c r="B16" s="2744" t="s">
        <v>2836</v>
      </c>
      <c r="C16" s="1801">
        <f>ROUND(SUM(G17:J17)/C17,0)</f>
        <v>0</v>
      </c>
      <c r="D16" s="2778" t="s">
        <v>2837</v>
      </c>
      <c r="E16" s="2779" t="s">
        <v>3120</v>
      </c>
      <c r="F16" s="2780" t="s">
        <v>3128</v>
      </c>
      <c r="G16" s="2781"/>
      <c r="H16" s="2781"/>
      <c r="I16" s="2781"/>
      <c r="J16" s="2782"/>
      <c r="K16" s="1371"/>
      <c r="L16" s="2783" t="s">
        <v>2838</v>
      </c>
      <c r="M16" s="920">
        <v>0.25</v>
      </c>
      <c r="N16" s="920">
        <v>0.2</v>
      </c>
      <c r="O16" s="920">
        <v>0.15</v>
      </c>
      <c r="P16" s="1370">
        <v>0.1</v>
      </c>
      <c r="Q16" s="1371"/>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08"/>
      <c r="B17" s="2784" t="s">
        <v>2839</v>
      </c>
      <c r="C17" s="922">
        <f>SUMPRODUCT((修正!A2:A5=E2)*(修正!B1:M1=G2)*(修正!B2:M5))</f>
        <v>3.5</v>
      </c>
      <c r="D17" s="2785" t="s">
        <v>2840</v>
      </c>
      <c r="E17" s="921" t="str">
        <f>IF(OR(G2="八级",G2="九级",G2="十级",G2="十一级",G2="十二级"),"五通一平","七通一平")</f>
        <v>七通一平</v>
      </c>
      <c r="F17" s="922" t="s">
        <v>2841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2842</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807</v>
      </c>
      <c r="B18" s="2789" t="s">
        <v>2843</v>
      </c>
      <c r="C18" s="924">
        <f>SUMIF(修正!C18:C39,E3,修正!E18:E39)</f>
        <v>1</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9.25" thickBot="1">
      <c r="A19" s="2788" t="s">
        <v>808</v>
      </c>
      <c r="B19" s="2789" t="s">
        <v>2844</v>
      </c>
      <c r="C19" s="925">
        <f>ROUND(IF(H19="按公示增长率计算",SUMPRODUCT((地价!A3:A24=YEAR(G19)&amp;"-"&amp;ROUNDUP(MONTH(G19)/3,0))*(地价!X2:AB2=E2)*(地价!X3:AB24)),IF(H19="地价指数",M20/M19,(1+I19)^O19)),4)</f>
        <v>1.3237000000000001</v>
      </c>
      <c r="D19" s="2796" t="s">
        <v>2845</v>
      </c>
      <c r="E19" s="926">
        <v>41640</v>
      </c>
      <c r="F19" s="2796" t="s">
        <v>2846</v>
      </c>
      <c r="G19" s="927">
        <f>'数据-取费表'!B2</f>
        <v>43382</v>
      </c>
      <c r="H19" s="2797" t="s">
        <v>3121</v>
      </c>
      <c r="I19" s="928" t="str">
        <f>IF(H19="季度增幅（自定义）",SUMIF(N21:N24,E2,O21:O24),"")</f>
        <v/>
      </c>
      <c r="J19" s="2794"/>
      <c r="K19" s="1378"/>
      <c r="L19" s="2798" t="s">
        <v>2847</v>
      </c>
      <c r="M19" s="1734">
        <f>ROUND(SUMIF(地价!B2:F2,E2,地价!B24:F24),0)</f>
        <v>258</v>
      </c>
      <c r="N19" s="2799" t="s">
        <v>2848</v>
      </c>
      <c r="O19" s="929">
        <f>ROUNDDOWN(DATEDIF(E19,G19,"M")/3,0)</f>
        <v>19</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809</v>
      </c>
      <c r="B20" s="2804" t="s">
        <v>2849</v>
      </c>
      <c r="C20" s="930">
        <f ca="1">ROUND(POWER(1+G20,J20-I20)*(POWER(1+G20,I20)-1)/(POWER(1+G20,J20)-1),4)</f>
        <v>0.79120000000000001</v>
      </c>
      <c r="D20" s="2805" t="s">
        <v>2850</v>
      </c>
      <c r="E20" s="1768">
        <f ca="1">存贷款利率!D4/100</f>
        <v>4.3499999999999997E-2</v>
      </c>
      <c r="F20" s="2805" t="s">
        <v>2842</v>
      </c>
      <c r="G20" s="935">
        <f ca="1">SUMIF(M15:P15,E2,M17:P17)</f>
        <v>5.3999999999999999E-2</v>
      </c>
      <c r="H20" s="2805" t="s">
        <v>2851</v>
      </c>
      <c r="I20" s="936">
        <f>SUMIF('数据-取费表'!C6:C15,E2,'数据-取费表'!F6:F15)/COUNTIF('数据-取费表'!C6:C15,E2)</f>
        <v>22.56</v>
      </c>
      <c r="J20" s="937">
        <f>IF(E2="住宅",70,IF(E2="商业",40,50))</f>
        <v>40</v>
      </c>
      <c r="K20" s="1378"/>
      <c r="L20" s="2806" t="s">
        <v>2852</v>
      </c>
      <c r="M20" s="1735">
        <f>ROUND(SUMPRODUCT((地价!A4:A24=YEAR(G19)&amp;"-"&amp;ROUNDUP(MONTH(G19)/3,0))*(地价!B2:F2=E2)*(地价!B4:F24)),0)</f>
        <v>341</v>
      </c>
      <c r="N20" s="2807" t="s">
        <v>2853</v>
      </c>
      <c r="O20" s="2808" t="s">
        <v>2854</v>
      </c>
      <c r="P20" s="2809" t="s">
        <v>2855</v>
      </c>
      <c r="R20" s="1377"/>
      <c r="S20" s="1377"/>
      <c r="T20" s="1372"/>
      <c r="U20" s="1372"/>
      <c r="V20" s="1372"/>
      <c r="W20" s="1371"/>
      <c r="X20" s="1371"/>
      <c r="Y20" s="1371"/>
      <c r="Z20" s="1378"/>
      <c r="AA20" s="1379"/>
      <c r="AB20" s="1379"/>
      <c r="AC20" s="1379"/>
      <c r="AD20" s="1379"/>
      <c r="AE20" s="1379"/>
      <c r="AF20" s="1379"/>
    </row>
    <row r="21" spans="1:37" s="2737" customFormat="1" ht="15">
      <c r="A21" s="2810" t="s">
        <v>810</v>
      </c>
      <c r="B21" s="2811" t="s">
        <v>3122</v>
      </c>
      <c r="C21" s="938" t="e">
        <f>IF(B21="容积率修正",IF(G3&lt;=10,D22,J22),C23)</f>
        <v>#DIV/0!</v>
      </c>
      <c r="D21" s="2812"/>
      <c r="E21" s="2812"/>
      <c r="F21" s="2812"/>
      <c r="G21" s="2812"/>
      <c r="H21" s="2812"/>
      <c r="I21" s="2812"/>
      <c r="J21" s="2813"/>
      <c r="K21" s="1378"/>
      <c r="N21" s="2814" t="s">
        <v>2856</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7" customFormat="1" ht="14.25">
      <c r="A22" s="2663" t="s">
        <v>2857</v>
      </c>
      <c r="B22" s="2815" t="s">
        <v>2858</v>
      </c>
      <c r="C22" s="1810" t="s">
        <v>2859</v>
      </c>
      <c r="D22" s="1810">
        <f>IF(E22=G22,F22,IF(G3&lt;=10,ROUND(F22+(H22-F22)*(G3-E22)/(G22-E22),4),"——"))</f>
        <v>0</v>
      </c>
      <c r="E22" s="914">
        <f>ROUNDDOWN(G3,1)</f>
        <v>0</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4" t="s">
        <v>2860</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7.75" thickBot="1">
      <c r="A23" s="2663" t="s">
        <v>2861</v>
      </c>
      <c r="B23" s="2816" t="s">
        <v>2862</v>
      </c>
      <c r="C23" s="1014" t="e">
        <f>ROUND(IF(G3&gt;1,IF(I3&lt;7,SUMPRODUCT((B93:B98=I3)*(C92:N92=G2)*(C93:N98)),SUMIF(C92:N92,G2,C100:N100)),IF(I3&lt;7,SUMPRODUCT((B102:B107=I3)*(C92:N92=G2)*(C102:N107)),SUMIF(C92:N92,G2,C109:N109))),4)</f>
        <v>#DIV/0!</v>
      </c>
      <c r="D23" s="2772"/>
      <c r="E23" s="2772"/>
      <c r="F23" s="2817"/>
      <c r="G23" s="2818"/>
      <c r="H23" s="2819"/>
      <c r="I23" s="2820"/>
      <c r="J23" s="2821"/>
      <c r="K23" s="1371"/>
      <c r="N23" s="2814" t="s">
        <v>2863</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5"/>
    </row>
    <row r="24" spans="1:37" s="2737" customFormat="1" ht="15.75" thickBot="1">
      <c r="A24" s="2803" t="s">
        <v>811</v>
      </c>
      <c r="B24" s="2789" t="s">
        <v>2864</v>
      </c>
      <c r="C24" s="925">
        <f>SUMIF(A45:A88,E2,B45:B88)</f>
        <v>1.04</v>
      </c>
      <c r="D24" s="2792"/>
      <c r="E24" s="2822"/>
      <c r="F24" s="2822"/>
      <c r="G24" s="2822"/>
      <c r="H24" s="2822"/>
      <c r="I24" s="2822"/>
      <c r="J24" s="2823"/>
      <c r="K24" s="1378"/>
      <c r="N24" s="2824" t="s">
        <v>2865</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75" thickBot="1">
      <c r="A25" s="2803" t="s">
        <v>812</v>
      </c>
      <c r="B25" s="2825" t="s">
        <v>2866</v>
      </c>
      <c r="C25" s="931"/>
      <c r="D25" s="2747"/>
      <c r="E25" s="2747"/>
      <c r="F25" s="2826"/>
      <c r="G25" s="2747"/>
      <c r="H25" s="2747"/>
      <c r="I25" s="2747"/>
      <c r="J25" s="2748"/>
      <c r="K25" s="1371"/>
      <c r="N25" s="2827" t="s">
        <v>2867</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5">
      <c r="A26" s="2828"/>
      <c r="B26" s="2815" t="s">
        <v>2868</v>
      </c>
      <c r="C26" s="206" t="e">
        <f ca="1">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2869</v>
      </c>
      <c r="C27" s="932" t="e">
        <f ca="1">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2870</v>
      </c>
      <c r="C28" s="2839" t="s">
        <v>2871</v>
      </c>
      <c r="D28" s="2839" t="s">
        <v>2872</v>
      </c>
      <c r="E28" s="2840" t="s">
        <v>2873</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2874</v>
      </c>
      <c r="C29" s="206" t="e">
        <f ca="1">ROUND(C5*C18*C19*C20*C21*C24,0)</f>
        <v>#DIV/0!</v>
      </c>
      <c r="D29" s="2844"/>
      <c r="E29" s="943" t="e">
        <f ca="1">ROUND(C29*D29/10000,0)</f>
        <v>#DIV/0!</v>
      </c>
      <c r="F29" s="2845" t="s">
        <v>2875</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2876</v>
      </c>
      <c r="C30" s="229" t="e">
        <f ca="1">ROUND(IF(E2="工业",C29*M39,C29*M38),0)</f>
        <v>#DIV/0!</v>
      </c>
      <c r="D30" s="2850"/>
      <c r="E30" s="943" t="e">
        <f ca="1">ROUND(C30*D30/10000,0)</f>
        <v>#DIV/0!</v>
      </c>
      <c r="F30" s="2851" t="s">
        <v>2877</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2878</v>
      </c>
      <c r="C31" s="2856" t="s">
        <v>2879</v>
      </c>
      <c r="D31" s="2760"/>
      <c r="E31" s="2856"/>
      <c r="F31" s="2856"/>
      <c r="G31" s="2758" t="s">
        <v>2880</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1" t="s">
        <v>2871</v>
      </c>
      <c r="D32" s="498" t="s">
        <v>2872</v>
      </c>
      <c r="E32" s="498" t="s">
        <v>2873</v>
      </c>
      <c r="F32" s="388" t="s">
        <v>2881</v>
      </c>
      <c r="G32" s="2859" t="s">
        <v>2871</v>
      </c>
      <c r="H32" s="2859" t="s">
        <v>2872</v>
      </c>
      <c r="I32" s="2859" t="s">
        <v>2873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15" t="s">
        <v>2882</v>
      </c>
      <c r="B33" s="2860" t="s">
        <v>2883</v>
      </c>
      <c r="C33" s="206">
        <f ca="1">ROUND(D5*C19*C20*C24*F33,0)</f>
        <v>23117</v>
      </c>
      <c r="D33" s="2844">
        <f>'数据-汇总表'!G19</f>
        <v>2188.58</v>
      </c>
      <c r="E33" s="200">
        <f ca="1">ROUND(C33*D33/10000,0)</f>
        <v>5059</v>
      </c>
      <c r="F33" s="200">
        <f>SUMIF(修正!A45:A56,G2,修正!B45:B56)</f>
        <v>0.8</v>
      </c>
      <c r="G33" s="200">
        <f t="shared" ref="G33" ca="1" si="6">ROUND(IF(E2="工业",C33*$M$39,C33*$M$38),0)</f>
        <v>5779</v>
      </c>
      <c r="H33" s="200">
        <f>D33</f>
        <v>2188.58</v>
      </c>
      <c r="I33" s="200">
        <f ca="1">ROUND(G33*H33/10000,0)</f>
        <v>1265</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16"/>
      <c r="B34" s="2764" t="s">
        <v>2884</v>
      </c>
      <c r="C34" s="206">
        <f ca="1">ROUND(D5*C19*C20*C24*F34,0)</f>
        <v>14448</v>
      </c>
      <c r="D34" s="2844"/>
      <c r="E34" s="200">
        <f t="shared" ref="E34:E39" ca="1" si="7">ROUND(C34*D34/10000,0)</f>
        <v>0</v>
      </c>
      <c r="F34" s="200">
        <f>SUMIF(修正!A45:A56,G2,修正!C45:C56)</f>
        <v>0.5</v>
      </c>
      <c r="G34" s="200">
        <f ca="1">ROUND(IF(E2="工业",C34*$M$39,C34*$M$38),0)</f>
        <v>3612</v>
      </c>
      <c r="H34" s="200">
        <f t="shared" ref="H34:H39" si="8">D34</f>
        <v>0</v>
      </c>
      <c r="I34" s="200">
        <f t="shared" ref="I34:I39" ca="1" si="9">ROUND(G34*H34/10000,0)</f>
        <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16"/>
      <c r="B35" s="2764" t="s">
        <v>2885</v>
      </c>
      <c r="C35" s="206">
        <f ca="1">ROUND(D5*C19*C20*C24*F35,0)</f>
        <v>10403</v>
      </c>
      <c r="D35" s="2844"/>
      <c r="E35" s="200">
        <f t="shared" ca="1" si="7"/>
        <v>0</v>
      </c>
      <c r="F35" s="200">
        <f>SUMIF(修正!A45:A56,G2,修正!D45:D56)</f>
        <v>0.36</v>
      </c>
      <c r="G35" s="200">
        <f ca="1">ROUND(IF(E2="工业",C35*$M$39,C35*$M$38),0)</f>
        <v>2601</v>
      </c>
      <c r="H35" s="200">
        <f t="shared" si="8"/>
        <v>0</v>
      </c>
      <c r="I35" s="200">
        <f t="shared" ca="1" si="9"/>
        <v>0</v>
      </c>
      <c r="J35" s="2861"/>
      <c r="K35" s="1371"/>
      <c r="L35" s="1371"/>
      <c r="M35" s="1371"/>
      <c r="N35" s="1371"/>
      <c r="O35" s="1371"/>
      <c r="P35" s="1371"/>
      <c r="Q35" s="1371"/>
      <c r="R35" s="1371"/>
      <c r="S35" s="1371"/>
      <c r="T35" s="1371"/>
      <c r="U35" s="1371"/>
      <c r="V35" s="1371"/>
      <c r="W35" s="1371"/>
      <c r="X35" s="1371"/>
      <c r="Y35" s="1371"/>
      <c r="Z35" s="1372"/>
    </row>
    <row r="36" spans="1:37" ht="13.5" thickBot="1">
      <c r="A36" s="3217"/>
      <c r="B36" s="2764" t="s">
        <v>2886</v>
      </c>
      <c r="C36" s="206">
        <f ca="1">ROUND(D5*C19*C20*C24*F36,0)</f>
        <v>8669</v>
      </c>
      <c r="D36" s="2844"/>
      <c r="E36" s="200">
        <f t="shared" ca="1" si="7"/>
        <v>0</v>
      </c>
      <c r="F36" s="200">
        <f>SUMIF(修正!A45:A56,G2,修正!E45:E56)</f>
        <v>0.3</v>
      </c>
      <c r="G36" s="200">
        <f ca="1">ROUND(IF(E2="工业",C36*$M$39,C36*$M$38),0)</f>
        <v>2167</v>
      </c>
      <c r="H36" s="200">
        <f t="shared" si="8"/>
        <v>0</v>
      </c>
      <c r="I36" s="200">
        <f t="shared" ca="1" si="9"/>
        <v>0</v>
      </c>
      <c r="J36" s="2861"/>
      <c r="K36" s="1371"/>
      <c r="L36" s="2718"/>
      <c r="M36" s="2718"/>
      <c r="N36" s="1371"/>
      <c r="O36" s="1371"/>
      <c r="P36" s="1371"/>
      <c r="Q36" s="1371"/>
      <c r="R36" s="1371"/>
      <c r="S36" s="1371"/>
      <c r="T36" s="1371"/>
      <c r="U36" s="1371"/>
      <c r="V36" s="1371"/>
      <c r="W36" s="1371"/>
      <c r="X36" s="1371"/>
      <c r="Y36" s="1371"/>
      <c r="Z36" s="1372"/>
    </row>
    <row r="37" spans="1:37">
      <c r="A37" s="2862"/>
      <c r="B37" s="2764" t="s">
        <v>2887</v>
      </c>
      <c r="C37" s="200">
        <f ca="1">ROUND(C5*C19*C20*C24*F37,0)</f>
        <v>8669</v>
      </c>
      <c r="D37" s="2844"/>
      <c r="E37" s="200">
        <f t="shared" ca="1" si="7"/>
        <v>0</v>
      </c>
      <c r="F37" s="206">
        <f>SUMIF(修正!A45:A56,G2,修正!F45:F56)</f>
        <v>0.3</v>
      </c>
      <c r="G37" s="200">
        <f ca="1">ROUND(IF(E2="工业",C37*$M$39,C37*$M$38),0)</f>
        <v>2167</v>
      </c>
      <c r="H37" s="200">
        <f t="shared" si="8"/>
        <v>0</v>
      </c>
      <c r="I37" s="200">
        <f t="shared" ca="1" si="9"/>
        <v>0</v>
      </c>
      <c r="J37" s="2861"/>
      <c r="K37" s="1371"/>
      <c r="L37" s="2863" t="s">
        <v>2888</v>
      </c>
      <c r="M37" s="2864"/>
      <c r="N37" s="1371"/>
      <c r="O37" s="1371"/>
      <c r="P37" s="1371"/>
      <c r="Q37" s="1371"/>
      <c r="R37" s="1371"/>
      <c r="S37" s="1371"/>
      <c r="T37" s="1371"/>
      <c r="U37" s="1371"/>
      <c r="V37" s="1371"/>
      <c r="W37" s="1371"/>
      <c r="X37" s="1371"/>
      <c r="Y37" s="1371"/>
      <c r="Z37" s="1372"/>
    </row>
    <row r="38" spans="1:37">
      <c r="A38" s="2862"/>
      <c r="B38" s="2764" t="s">
        <v>2889</v>
      </c>
      <c r="C38" s="200">
        <f ca="1">ROUND(C5*C19*C20*C24*F38,0)</f>
        <v>8669</v>
      </c>
      <c r="D38" s="2844"/>
      <c r="E38" s="200">
        <f t="shared" ca="1" si="7"/>
        <v>0</v>
      </c>
      <c r="F38" s="206">
        <f>SUMIF(修正!A45:A56,G2,修正!G45:G56)</f>
        <v>0.3</v>
      </c>
      <c r="G38" s="200">
        <f ca="1">ROUND(IF(E2="工业",C38*$M$39,C38*$M$38),0)</f>
        <v>2167</v>
      </c>
      <c r="H38" s="200">
        <f t="shared" si="8"/>
        <v>0</v>
      </c>
      <c r="I38" s="200">
        <f t="shared" ca="1" si="9"/>
        <v>0</v>
      </c>
      <c r="J38" s="2861"/>
      <c r="K38" s="1371"/>
      <c r="L38" s="1887" t="s">
        <v>2890</v>
      </c>
      <c r="M38" s="2865">
        <v>0.25</v>
      </c>
      <c r="N38" s="1371"/>
      <c r="O38" s="1371"/>
      <c r="P38" s="1371"/>
      <c r="Q38" s="1371"/>
      <c r="R38" s="1371"/>
      <c r="S38" s="1371"/>
      <c r="T38" s="1371"/>
      <c r="U38" s="1371"/>
      <c r="V38" s="1371"/>
      <c r="W38" s="1371"/>
      <c r="X38" s="1371"/>
      <c r="Y38" s="1371"/>
      <c r="Z38" s="1372"/>
    </row>
    <row r="39" spans="1:37" ht="13.5" thickBot="1">
      <c r="A39" s="2848"/>
      <c r="B39" s="2866" t="s">
        <v>2891</v>
      </c>
      <c r="C39" s="229">
        <f ca="1">ROUND(C5*C19*C20*C24*F39,0)</f>
        <v>7224</v>
      </c>
      <c r="D39" s="2850"/>
      <c r="E39" s="229">
        <f t="shared" ca="1" si="7"/>
        <v>0</v>
      </c>
      <c r="F39" s="933">
        <f>SUMIF(修正!A45:A56,G2,修正!H45:H56)</f>
        <v>0.25</v>
      </c>
      <c r="G39" s="229">
        <f ca="1">ROUND(IF(E2="工业",C39*$M$39,C39*$M$38),0)</f>
        <v>1806</v>
      </c>
      <c r="H39" s="229">
        <f t="shared" si="8"/>
        <v>0</v>
      </c>
      <c r="I39" s="229">
        <f t="shared" ca="1" si="9"/>
        <v>0</v>
      </c>
      <c r="J39" s="2867"/>
      <c r="K39" s="1371"/>
      <c r="L39" s="2868" t="s">
        <v>2834</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2892</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2893</v>
      </c>
      <c r="B46" s="2874">
        <f>1+E48</f>
        <v>1.04</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2894</v>
      </c>
      <c r="B47" s="1809" t="s">
        <v>2895</v>
      </c>
      <c r="C47" s="1809" t="s">
        <v>2896</v>
      </c>
      <c r="D47" s="1809" t="s">
        <v>2897</v>
      </c>
      <c r="E47" s="817" t="s">
        <v>2898</v>
      </c>
      <c r="F47" s="2878" t="s">
        <v>2899</v>
      </c>
      <c r="G47" s="1809" t="s">
        <v>754</v>
      </c>
      <c r="H47" s="2879" t="s">
        <v>2900</v>
      </c>
      <c r="I47" s="1809" t="s">
        <v>2901</v>
      </c>
      <c r="J47" s="603" t="s">
        <v>2551</v>
      </c>
      <c r="K47" s="603" t="s">
        <v>2552</v>
      </c>
      <c r="L47" s="603" t="s">
        <v>2553</v>
      </c>
      <c r="M47" s="603" t="s">
        <v>2554</v>
      </c>
      <c r="N47" s="603" t="s">
        <v>2555</v>
      </c>
      <c r="AA47" s="1372"/>
      <c r="AB47" s="1372"/>
      <c r="AC47" s="1372"/>
      <c r="AD47" s="1372"/>
      <c r="AE47" s="1372"/>
      <c r="AF47" s="1372"/>
      <c r="AG47" s="1372"/>
      <c r="AH47" s="1372"/>
      <c r="AI47" s="1372"/>
      <c r="AJ47" s="1372"/>
      <c r="AK47" s="1372"/>
    </row>
    <row r="48" spans="1:37" s="1371" customFormat="1" ht="51">
      <c r="A48" s="2877" t="s">
        <v>2902</v>
      </c>
      <c r="B48" s="2880" t="str">
        <f>估价对象房地状况!C4</f>
        <v>估价对象位于东大桥商圈，周边商业氛围较成熟，人流量较大，商业繁华度较好</v>
      </c>
      <c r="C48" s="2769" t="s">
        <v>3015</v>
      </c>
      <c r="D48" s="1287">
        <f t="shared" ref="D48:D56" si="10">SUMIF($J$47:$N$47,C48,J48:N48)</f>
        <v>1.32E-2</v>
      </c>
      <c r="E48" s="819">
        <f>ROUND(SUM(D48:D56),4)</f>
        <v>0.04</v>
      </c>
      <c r="F48" s="2500">
        <f>IF(E2="商业",SUMIF(L1:L12,G2,N1:N12),"——")</f>
        <v>0.08</v>
      </c>
      <c r="G48" s="1285">
        <v>1.32E-2</v>
      </c>
      <c r="H48" s="1289">
        <f t="shared" ref="H48:H56" si="11">IFERROR(ROUNDDOWN($F$48*I48/2,4),"——")</f>
        <v>1.32E-2</v>
      </c>
      <c r="I48" s="818">
        <v>0.33</v>
      </c>
      <c r="J48" s="1286">
        <f t="shared" ref="J48:J56" si="12">K48+$G48</f>
        <v>2.64E-2</v>
      </c>
      <c r="K48" s="1286">
        <f t="shared" ref="K48:K56" si="13">$L48+$G48</f>
        <v>1.32E-2</v>
      </c>
      <c r="L48" s="1286">
        <v>0</v>
      </c>
      <c r="M48" s="1286">
        <f t="shared" ref="M48:N56" si="14">L48-$G48</f>
        <v>-1.32E-2</v>
      </c>
      <c r="N48" s="1286">
        <f t="shared" si="14"/>
        <v>-2.64E-2</v>
      </c>
      <c r="AA48" s="1372"/>
      <c r="AB48" s="1372"/>
      <c r="AC48" s="1372"/>
      <c r="AD48" s="1372"/>
      <c r="AE48" s="1372"/>
      <c r="AF48" s="1372"/>
      <c r="AG48" s="1372"/>
      <c r="AH48" s="1372"/>
      <c r="AI48" s="1372"/>
      <c r="AJ48" s="1372"/>
      <c r="AK48" s="1372"/>
    </row>
    <row r="49" spans="1:37" s="1371" customFormat="1" ht="51">
      <c r="A49" s="2877" t="s">
        <v>2903</v>
      </c>
      <c r="B49" s="2881" t="str">
        <f>估价对象房地状况!C18</f>
        <v>估价对象周边道路状况较好、公共交通通达情况较好、停车便捷程度较好，综合评价交通便捷度较好</v>
      </c>
      <c r="C49" s="2769" t="s">
        <v>3015</v>
      </c>
      <c r="D49" s="1287">
        <f t="shared" si="10"/>
        <v>0.01</v>
      </c>
      <c r="E49" s="820"/>
      <c r="F49" s="2500"/>
      <c r="G49" s="1285">
        <v>0.01</v>
      </c>
      <c r="H49" s="1289">
        <f t="shared" si="11"/>
        <v>0.01</v>
      </c>
      <c r="I49" s="818">
        <v>0.25</v>
      </c>
      <c r="J49" s="1286">
        <f t="shared" si="12"/>
        <v>0.02</v>
      </c>
      <c r="K49" s="1286">
        <f t="shared" si="13"/>
        <v>0.01</v>
      </c>
      <c r="L49" s="1286">
        <v>0</v>
      </c>
      <c r="M49" s="1286">
        <f t="shared" si="14"/>
        <v>-0.01</v>
      </c>
      <c r="N49" s="1286">
        <f t="shared" si="14"/>
        <v>-0.02</v>
      </c>
      <c r="AA49" s="1372"/>
      <c r="AB49" s="1372"/>
      <c r="AC49" s="1372"/>
      <c r="AD49" s="1372"/>
      <c r="AE49" s="1372"/>
      <c r="AF49" s="1372"/>
      <c r="AG49" s="1372"/>
      <c r="AH49" s="1372"/>
      <c r="AI49" s="1372"/>
      <c r="AJ49" s="1372"/>
      <c r="AK49" s="1372"/>
    </row>
    <row r="50" spans="1:37" s="1371" customFormat="1" ht="24">
      <c r="A50" s="2877" t="s">
        <v>2904</v>
      </c>
      <c r="B50" s="2881" t="str">
        <f>估价对象房地状况!C19</f>
        <v>较一致</v>
      </c>
      <c r="C50" s="2769" t="s">
        <v>3015</v>
      </c>
      <c r="D50" s="1287">
        <f t="shared" si="10"/>
        <v>2E-3</v>
      </c>
      <c r="E50" s="820"/>
      <c r="F50" s="2500"/>
      <c r="G50" s="1285">
        <v>2E-3</v>
      </c>
      <c r="H50" s="1289">
        <f t="shared" si="11"/>
        <v>2E-3</v>
      </c>
      <c r="I50" s="818">
        <v>0.05</v>
      </c>
      <c r="J50" s="1286">
        <f t="shared" si="12"/>
        <v>4.0000000000000001E-3</v>
      </c>
      <c r="K50" s="1286">
        <f t="shared" si="13"/>
        <v>2E-3</v>
      </c>
      <c r="L50" s="1286">
        <v>0</v>
      </c>
      <c r="M50" s="1286">
        <f t="shared" si="14"/>
        <v>-2E-3</v>
      </c>
      <c r="N50" s="1286">
        <f t="shared" si="14"/>
        <v>-4.0000000000000001E-3</v>
      </c>
      <c r="AA50" s="1372"/>
      <c r="AB50" s="1372"/>
      <c r="AC50" s="1372"/>
      <c r="AD50" s="1372"/>
      <c r="AE50" s="1372"/>
      <c r="AF50" s="1372"/>
      <c r="AG50" s="1372"/>
      <c r="AH50" s="1372"/>
      <c r="AI50" s="1372"/>
      <c r="AJ50" s="1372"/>
      <c r="AK50" s="1372"/>
    </row>
    <row r="51" spans="1:37" s="1371" customFormat="1" ht="36">
      <c r="A51" s="2877" t="s">
        <v>2905</v>
      </c>
      <c r="B51" s="2975" t="s">
        <v>3125</v>
      </c>
      <c r="C51" s="2769" t="s">
        <v>3015</v>
      </c>
      <c r="D51" s="1287">
        <f t="shared" si="10"/>
        <v>2E-3</v>
      </c>
      <c r="E51" s="820"/>
      <c r="F51" s="2500"/>
      <c r="G51" s="1285">
        <v>2E-3</v>
      </c>
      <c r="H51" s="1289">
        <f t="shared" si="11"/>
        <v>2E-3</v>
      </c>
      <c r="I51" s="818">
        <v>0.05</v>
      </c>
      <c r="J51" s="1286">
        <f t="shared" si="12"/>
        <v>4.0000000000000001E-3</v>
      </c>
      <c r="K51" s="1286">
        <f t="shared" si="13"/>
        <v>2E-3</v>
      </c>
      <c r="L51" s="1286">
        <v>0</v>
      </c>
      <c r="M51" s="1286">
        <f t="shared" si="14"/>
        <v>-2E-3</v>
      </c>
      <c r="N51" s="1286">
        <f t="shared" si="14"/>
        <v>-4.0000000000000001E-3</v>
      </c>
      <c r="AA51" s="1372"/>
      <c r="AB51" s="1372"/>
      <c r="AC51" s="1372"/>
      <c r="AD51" s="1372"/>
      <c r="AE51" s="1372"/>
      <c r="AF51" s="1372"/>
      <c r="AG51" s="1372"/>
      <c r="AH51" s="1372"/>
      <c r="AI51" s="1372"/>
      <c r="AJ51" s="1372"/>
      <c r="AK51" s="1372"/>
    </row>
    <row r="52" spans="1:37" s="1371" customFormat="1" ht="24">
      <c r="A52" s="2877" t="s">
        <v>2907</v>
      </c>
      <c r="B52" s="2881" t="str">
        <f>估价对象房地状况!C24</f>
        <v>城市次干道-朝外北街</v>
      </c>
      <c r="C52" s="2769" t="s">
        <v>3015</v>
      </c>
      <c r="D52" s="1287">
        <f t="shared" si="10"/>
        <v>3.2000000000000002E-3</v>
      </c>
      <c r="E52" s="820"/>
      <c r="F52" s="2500"/>
      <c r="G52" s="1285">
        <v>3.2000000000000002E-3</v>
      </c>
      <c r="H52" s="1289">
        <f t="shared" si="11"/>
        <v>3.2000000000000002E-3</v>
      </c>
      <c r="I52" s="818">
        <v>0.08</v>
      </c>
      <c r="J52" s="1286">
        <f t="shared" si="12"/>
        <v>6.4000000000000003E-3</v>
      </c>
      <c r="K52" s="1286">
        <f t="shared" si="13"/>
        <v>3.2000000000000002E-3</v>
      </c>
      <c r="L52" s="1286">
        <v>0</v>
      </c>
      <c r="M52" s="1286">
        <f t="shared" si="14"/>
        <v>-3.2000000000000002E-3</v>
      </c>
      <c r="N52" s="1286">
        <f t="shared" si="14"/>
        <v>-6.4000000000000003E-3</v>
      </c>
      <c r="AA52" s="1372"/>
      <c r="AB52" s="1372"/>
      <c r="AC52" s="1372"/>
      <c r="AD52" s="1372"/>
      <c r="AE52" s="1372"/>
      <c r="AF52" s="1372"/>
      <c r="AG52" s="1372"/>
      <c r="AH52" s="1372"/>
      <c r="AI52" s="1372"/>
      <c r="AJ52" s="1372"/>
      <c r="AK52" s="1372"/>
    </row>
    <row r="53" spans="1:37" s="1371" customFormat="1" ht="24">
      <c r="A53" s="2877" t="s">
        <v>2908</v>
      </c>
      <c r="B53" s="2976" t="s">
        <v>3126</v>
      </c>
      <c r="C53" s="2769" t="s">
        <v>3015</v>
      </c>
      <c r="D53" s="1287">
        <f t="shared" si="10"/>
        <v>1.1999999999999999E-3</v>
      </c>
      <c r="E53" s="820"/>
      <c r="F53" s="2500"/>
      <c r="G53" s="1285">
        <v>1.1999999999999999E-3</v>
      </c>
      <c r="H53" s="1289">
        <f t="shared" si="11"/>
        <v>1.1999999999999999E-3</v>
      </c>
      <c r="I53" s="818">
        <v>0.03</v>
      </c>
      <c r="J53" s="1286">
        <f t="shared" si="12"/>
        <v>2.3999999999999998E-3</v>
      </c>
      <c r="K53" s="1286">
        <f t="shared" si="13"/>
        <v>1.1999999999999999E-3</v>
      </c>
      <c r="L53" s="1286">
        <v>0</v>
      </c>
      <c r="M53" s="1286">
        <f t="shared" si="14"/>
        <v>-1.1999999999999999E-3</v>
      </c>
      <c r="N53" s="1286">
        <f t="shared" si="14"/>
        <v>-2.3999999999999998E-3</v>
      </c>
      <c r="AA53" s="1372"/>
      <c r="AB53" s="1372"/>
      <c r="AC53" s="1372"/>
      <c r="AD53" s="1372"/>
      <c r="AE53" s="1372"/>
      <c r="AF53" s="1372"/>
      <c r="AG53" s="1372"/>
      <c r="AH53" s="1372"/>
      <c r="AI53" s="1372"/>
      <c r="AJ53" s="1372"/>
      <c r="AK53" s="1372"/>
    </row>
    <row r="54" spans="1:37" s="1371" customFormat="1" ht="25.5">
      <c r="A54" s="2884" t="s">
        <v>2910</v>
      </c>
      <c r="B54" s="1725" t="str">
        <f>估价对象房地状况!C21</f>
        <v>估价对象所在区域公共配套设施齐备情况较好</v>
      </c>
      <c r="C54" s="2769" t="s">
        <v>3015</v>
      </c>
      <c r="D54" s="1287">
        <f t="shared" si="10"/>
        <v>2E-3</v>
      </c>
      <c r="E54" s="820"/>
      <c r="F54" s="2500"/>
      <c r="G54" s="1285">
        <v>2E-3</v>
      </c>
      <c r="H54" s="1289">
        <f t="shared" si="11"/>
        <v>2E-3</v>
      </c>
      <c r="I54" s="818">
        <v>0.05</v>
      </c>
      <c r="J54" s="1286">
        <f t="shared" si="12"/>
        <v>4.0000000000000001E-3</v>
      </c>
      <c r="K54" s="1286">
        <f t="shared" si="13"/>
        <v>2E-3</v>
      </c>
      <c r="L54" s="1286">
        <v>0</v>
      </c>
      <c r="M54" s="1286">
        <f t="shared" si="14"/>
        <v>-2E-3</v>
      </c>
      <c r="N54" s="1286">
        <f t="shared" si="14"/>
        <v>-4.0000000000000001E-3</v>
      </c>
      <c r="AA54" s="1372"/>
      <c r="AB54" s="1372"/>
      <c r="AC54" s="1372"/>
      <c r="AD54" s="1372"/>
      <c r="AE54" s="1372"/>
      <c r="AF54" s="1372"/>
      <c r="AG54" s="1372"/>
      <c r="AH54" s="1372"/>
      <c r="AI54" s="1372"/>
      <c r="AJ54" s="1372"/>
      <c r="AK54" s="1372"/>
    </row>
    <row r="55" spans="1:37" s="1371" customFormat="1" ht="25.5">
      <c r="A55" s="2884" t="s">
        <v>2911</v>
      </c>
      <c r="B55" s="2881" t="str">
        <f>估价对象房地状况!C22</f>
        <v>估价对象所在区域基础设施水平较好</v>
      </c>
      <c r="C55" s="2769" t="s">
        <v>3015</v>
      </c>
      <c r="D55" s="1287">
        <f t="shared" si="10"/>
        <v>4.0000000000000001E-3</v>
      </c>
      <c r="E55" s="820"/>
      <c r="F55" s="2500"/>
      <c r="G55" s="1285">
        <v>4.0000000000000001E-3</v>
      </c>
      <c r="H55" s="1289">
        <f t="shared" si="11"/>
        <v>4.0000000000000001E-3</v>
      </c>
      <c r="I55" s="818">
        <v>0.1</v>
      </c>
      <c r="J55" s="1286">
        <f t="shared" si="12"/>
        <v>8.0000000000000002E-3</v>
      </c>
      <c r="K55" s="1286">
        <f t="shared" si="13"/>
        <v>4.0000000000000001E-3</v>
      </c>
      <c r="L55" s="1286">
        <v>0</v>
      </c>
      <c r="M55" s="1286">
        <f t="shared" si="14"/>
        <v>-4.0000000000000001E-3</v>
      </c>
      <c r="N55" s="1286">
        <f t="shared" si="14"/>
        <v>-8.0000000000000002E-3</v>
      </c>
      <c r="AA55" s="1372"/>
      <c r="AB55" s="1372"/>
      <c r="AC55" s="1372"/>
      <c r="AD55" s="1372"/>
      <c r="AE55" s="1372"/>
      <c r="AF55" s="1372"/>
      <c r="AG55" s="1372"/>
      <c r="AH55" s="1372"/>
      <c r="AI55" s="1372"/>
      <c r="AJ55" s="1372"/>
      <c r="AK55" s="1372"/>
    </row>
    <row r="56" spans="1:37" s="1371" customFormat="1" ht="39" thickBot="1">
      <c r="A56" s="2885" t="s">
        <v>2912</v>
      </c>
      <c r="B56" s="2886" t="str">
        <f>估价对象房地状况!C20</f>
        <v>区域自然环境及人文环境较好；综合评价环境状况较好</v>
      </c>
      <c r="C56" s="2769" t="s">
        <v>3015</v>
      </c>
      <c r="D56" s="1287">
        <f t="shared" si="10"/>
        <v>2.3999999999999998E-3</v>
      </c>
      <c r="E56" s="823"/>
      <c r="F56" s="2500"/>
      <c r="G56" s="1285">
        <v>2.3999999999999998E-3</v>
      </c>
      <c r="H56" s="1289">
        <f t="shared" si="11"/>
        <v>2.3999999999999998E-3</v>
      </c>
      <c r="I56" s="822">
        <v>0.06</v>
      </c>
      <c r="J56" s="1286">
        <f t="shared" si="12"/>
        <v>4.7999999999999996E-3</v>
      </c>
      <c r="K56" s="1286">
        <f t="shared" si="13"/>
        <v>2.3999999999999998E-3</v>
      </c>
      <c r="L56" s="1286">
        <v>0</v>
      </c>
      <c r="M56" s="1286">
        <f t="shared" si="14"/>
        <v>-2.3999999999999998E-3</v>
      </c>
      <c r="N56" s="1286">
        <f t="shared" si="14"/>
        <v>-4.7999999999999996E-3</v>
      </c>
      <c r="AA56" s="1372"/>
      <c r="AB56" s="1372"/>
      <c r="AC56" s="1372"/>
      <c r="AD56" s="1372"/>
      <c r="AE56" s="1372"/>
      <c r="AF56" s="1372"/>
      <c r="AG56" s="1372"/>
      <c r="AH56" s="1372"/>
      <c r="AI56" s="1372"/>
      <c r="AJ56" s="1372"/>
      <c r="AK56" s="1372"/>
    </row>
    <row r="57" spans="1:37" s="1371" customFormat="1" ht="15">
      <c r="A57" s="2873" t="s">
        <v>2913</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2894</v>
      </c>
      <c r="B58" s="1809"/>
      <c r="C58" s="1809" t="s">
        <v>2896</v>
      </c>
      <c r="D58" s="1809" t="s">
        <v>2897</v>
      </c>
      <c r="E58" s="817" t="s">
        <v>2898</v>
      </c>
      <c r="F58" s="2878" t="s">
        <v>2914</v>
      </c>
      <c r="G58" s="1809" t="s">
        <v>754</v>
      </c>
      <c r="H58" s="2879" t="s">
        <v>2900</v>
      </c>
      <c r="I58" s="1809" t="s">
        <v>2901</v>
      </c>
      <c r="J58" s="603" t="s">
        <v>2551</v>
      </c>
      <c r="K58" s="603" t="s">
        <v>2552</v>
      </c>
      <c r="L58" s="603" t="s">
        <v>2553</v>
      </c>
      <c r="M58" s="603" t="s">
        <v>2554</v>
      </c>
      <c r="N58" s="603" t="s">
        <v>2555</v>
      </c>
      <c r="AA58" s="1372"/>
      <c r="AB58" s="1372"/>
      <c r="AC58" s="1372"/>
      <c r="AD58" s="1372"/>
      <c r="AE58" s="1372"/>
      <c r="AF58" s="1372"/>
      <c r="AG58" s="1372"/>
      <c r="AH58" s="1372"/>
      <c r="AI58" s="1372"/>
      <c r="AJ58" s="1372"/>
      <c r="AK58" s="1372"/>
    </row>
    <row r="59" spans="1:37" s="1371" customFormat="1" ht="24">
      <c r="A59" s="2877" t="s">
        <v>2915</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2903</v>
      </c>
      <c r="B60" s="2881" t="str">
        <f>估价对象房地状况!C18</f>
        <v>估价对象周边道路状况较好、公共交通通达情况较好、停车便捷程度较好，综合评价交通便捷度较好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2904</v>
      </c>
      <c r="B61" s="2881" t="str">
        <f>估价对象房地状况!C19</f>
        <v>较一致</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2905</v>
      </c>
      <c r="B62" s="2882" t="s">
        <v>2906</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2907</v>
      </c>
      <c r="B63" s="2881" t="str">
        <f>估价对象房地状况!C24</f>
        <v>城市次干道-朝外北街</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2908</v>
      </c>
      <c r="B64" s="2883" t="s">
        <v>2909</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2910</v>
      </c>
      <c r="B65" s="1725" t="str">
        <f>估价对象房地状况!C21</f>
        <v>估价对象所在区域公共配套设施齐备情况较好</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2911</v>
      </c>
      <c r="B66" s="1725" t="str">
        <f>估价对象房地状况!C22</f>
        <v>估价对象所在区域基础设施水平较好</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2912</v>
      </c>
      <c r="B67" s="2887" t="str">
        <f>估价对象房地状况!C20</f>
        <v>区域自然环境及人文环境较好；综合评价环境状况较好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2916</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2894</v>
      </c>
      <c r="B69" s="1809"/>
      <c r="C69" s="1809" t="s">
        <v>2896</v>
      </c>
      <c r="D69" s="1809" t="s">
        <v>2897</v>
      </c>
      <c r="E69" s="817" t="s">
        <v>2898</v>
      </c>
      <c r="F69" s="2878" t="s">
        <v>2914</v>
      </c>
      <c r="G69" s="1809" t="s">
        <v>754</v>
      </c>
      <c r="H69" s="2879" t="s">
        <v>2900</v>
      </c>
      <c r="I69" s="1809" t="s">
        <v>2901</v>
      </c>
      <c r="J69" s="603" t="s">
        <v>2551</v>
      </c>
      <c r="K69" s="603" t="s">
        <v>2552</v>
      </c>
      <c r="L69" s="603" t="s">
        <v>2553</v>
      </c>
      <c r="M69" s="603" t="s">
        <v>2554</v>
      </c>
      <c r="N69" s="603" t="s">
        <v>2555</v>
      </c>
      <c r="AA69" s="1372"/>
      <c r="AB69" s="1372"/>
      <c r="AC69" s="1372"/>
      <c r="AD69" s="1372"/>
      <c r="AE69" s="1372"/>
      <c r="AF69" s="1372"/>
      <c r="AG69" s="1372"/>
      <c r="AH69" s="1372"/>
      <c r="AI69" s="1372"/>
      <c r="AJ69" s="1372"/>
      <c r="AK69" s="1372"/>
    </row>
    <row r="70" spans="1:37" s="1371" customFormat="1" ht="24">
      <c r="A70" s="2877" t="s">
        <v>2917</v>
      </c>
      <c r="B70" s="2880">
        <f>估价对象房地状况!C15</f>
        <v>0</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2903</v>
      </c>
      <c r="B71" s="2881" t="str">
        <f>估价对象房地状况!C18</f>
        <v>估价对象周边道路状况较好、公共交通通达情况较好、停车便捷程度较好，综合评价交通便捷度较好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2904</v>
      </c>
      <c r="B72" s="2881" t="str">
        <f>估价对象房地状况!C19</f>
        <v>较一致</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2918</v>
      </c>
      <c r="B73" s="2881" t="str">
        <f>估价对象房地状况!C24</f>
        <v>城市次干道-朝外北街</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2910</v>
      </c>
      <c r="B74" s="1725" t="str">
        <f>估价对象房地状况!C21</f>
        <v>估价对象所在区域公共配套设施齐备情况较好</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2911</v>
      </c>
      <c r="B75" s="1725" t="str">
        <f>估价对象房地状况!C22</f>
        <v>估价对象所在区域基础设施水平较好</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2908</v>
      </c>
      <c r="B76" s="2883" t="s">
        <v>2909</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2912</v>
      </c>
      <c r="B77" s="2880" t="str">
        <f>估价对象房地状况!C20</f>
        <v>区域自然环境及人文环境较好；综合评价环境状况较好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2919</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2920</v>
      </c>
      <c r="B79" s="2874">
        <f>1+E81</f>
        <v>1</v>
      </c>
      <c r="C79" s="812"/>
      <c r="D79" s="812"/>
      <c r="E79" s="813"/>
      <c r="F79" s="2876"/>
      <c r="G79" s="6"/>
      <c r="H79" s="6"/>
      <c r="I79" s="6"/>
      <c r="J79" s="7"/>
      <c r="K79" s="7"/>
      <c r="L79" s="7"/>
      <c r="M79" s="7"/>
      <c r="N79" s="7"/>
      <c r="Z79" s="2719"/>
      <c r="AA79" s="2795"/>
      <c r="AG79" s="1373"/>
      <c r="AK79" s="2795"/>
    </row>
    <row r="80" spans="1:37" ht="24.75">
      <c r="A80" s="2877" t="s">
        <v>2894</v>
      </c>
      <c r="B80" s="1809"/>
      <c r="C80" s="1809" t="s">
        <v>2896</v>
      </c>
      <c r="D80" s="1809" t="s">
        <v>2897</v>
      </c>
      <c r="E80" s="817" t="s">
        <v>2898</v>
      </c>
      <c r="F80" s="2878" t="s">
        <v>2914</v>
      </c>
      <c r="G80" s="1809" t="s">
        <v>754</v>
      </c>
      <c r="H80" s="2879" t="s">
        <v>2900</v>
      </c>
      <c r="I80" s="1809" t="s">
        <v>2901</v>
      </c>
      <c r="J80" s="603" t="s">
        <v>2551</v>
      </c>
      <c r="K80" s="603" t="s">
        <v>2552</v>
      </c>
      <c r="L80" s="603" t="s">
        <v>2553</v>
      </c>
      <c r="M80" s="603" t="s">
        <v>2554</v>
      </c>
      <c r="N80" s="603" t="s">
        <v>2555</v>
      </c>
      <c r="Z80" s="2719"/>
      <c r="AA80" s="2795"/>
      <c r="AG80" s="1373"/>
      <c r="AK80" s="2795"/>
    </row>
    <row r="81" spans="1:37" ht="24">
      <c r="A81" s="2877" t="s">
        <v>2921</v>
      </c>
      <c r="B81" s="2881">
        <f>估价对象房地状况!G15</f>
        <v>0</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14.25">
      <c r="A82" s="2877" t="s">
        <v>2903</v>
      </c>
      <c r="B82" s="2881">
        <f>估价对象房地状况!G16</f>
        <v>0</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2904</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2918</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4">
      <c r="A85" s="2877" t="s">
        <v>2910</v>
      </c>
      <c r="B85" s="1725">
        <f>估价对象房地状况!G19</f>
        <v>0</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4">
      <c r="A86" s="2877" t="s">
        <v>2911</v>
      </c>
      <c r="B86" s="1725">
        <f>估价对象房地状况!G20</f>
        <v>0</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2908</v>
      </c>
      <c r="B87" s="2883" t="s">
        <v>2922</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15" thickBot="1">
      <c r="A88" s="2885" t="s">
        <v>2923</v>
      </c>
      <c r="B88" s="2890">
        <f>估价对象房地状况!G18</f>
        <v>0</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209" t="s">
        <v>2924</v>
      </c>
      <c r="B90" s="3209"/>
      <c r="C90" s="3209"/>
      <c r="D90" s="3209"/>
      <c r="E90" s="3209"/>
      <c r="F90" s="3209"/>
      <c r="G90" s="3209"/>
      <c r="H90" s="3209"/>
      <c r="I90" s="3209"/>
      <c r="J90" s="3209"/>
      <c r="K90" s="2891"/>
      <c r="L90" s="2891"/>
      <c r="M90" s="2891"/>
      <c r="N90" s="2891"/>
    </row>
    <row r="91" spans="1:37">
      <c r="A91" s="3211" t="s">
        <v>2925</v>
      </c>
      <c r="B91" s="3211" t="s">
        <v>2926</v>
      </c>
      <c r="C91" s="2845" t="s">
        <v>2927</v>
      </c>
      <c r="D91" s="2846"/>
      <c r="E91" s="2846"/>
      <c r="F91" s="2846"/>
      <c r="G91" s="2846"/>
      <c r="H91" s="2846"/>
      <c r="I91" s="2846"/>
      <c r="J91" s="2892"/>
      <c r="K91" s="2893"/>
      <c r="L91" s="2893"/>
      <c r="M91" s="2893"/>
      <c r="N91" s="2893"/>
    </row>
    <row r="92" spans="1:37">
      <c r="A92" s="3211"/>
      <c r="B92" s="3211"/>
      <c r="C92" s="943" t="s">
        <v>2793</v>
      </c>
      <c r="D92" s="943" t="s">
        <v>2794</v>
      </c>
      <c r="E92" s="943" t="s">
        <v>2795</v>
      </c>
      <c r="F92" s="943" t="s">
        <v>2796</v>
      </c>
      <c r="G92" s="943" t="s">
        <v>2797</v>
      </c>
      <c r="H92" s="943" t="s">
        <v>2798</v>
      </c>
      <c r="I92" s="943" t="s">
        <v>2799</v>
      </c>
      <c r="J92" s="943" t="s">
        <v>2800</v>
      </c>
      <c r="K92" s="943" t="s">
        <v>2801</v>
      </c>
      <c r="L92" s="943" t="s">
        <v>2802</v>
      </c>
      <c r="M92" s="943" t="s">
        <v>2803</v>
      </c>
      <c r="N92" s="943" t="s">
        <v>2804</v>
      </c>
    </row>
    <row r="93" spans="1:37">
      <c r="A93" s="3212" t="s">
        <v>2928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1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1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1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1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1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13"/>
      <c r="B99" s="2894" t="s">
        <v>2809</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214"/>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212" t="s">
        <v>2929</v>
      </c>
      <c r="B101" s="2898" t="s">
        <v>2930</v>
      </c>
      <c r="C101" s="2899">
        <f>$G$3</f>
        <v>0</v>
      </c>
      <c r="D101" s="2899">
        <f t="shared" ref="D101:N101" si="31">$G$3</f>
        <v>0</v>
      </c>
      <c r="E101" s="2899">
        <f t="shared" si="31"/>
        <v>0</v>
      </c>
      <c r="F101" s="2899">
        <f t="shared" si="31"/>
        <v>0</v>
      </c>
      <c r="G101" s="2899">
        <f t="shared" si="31"/>
        <v>0</v>
      </c>
      <c r="H101" s="2899">
        <f t="shared" si="31"/>
        <v>0</v>
      </c>
      <c r="I101" s="2899">
        <f t="shared" si="31"/>
        <v>0</v>
      </c>
      <c r="J101" s="2899">
        <f t="shared" si="31"/>
        <v>0</v>
      </c>
      <c r="K101" s="2899">
        <f t="shared" si="31"/>
        <v>0</v>
      </c>
      <c r="L101" s="2899">
        <f t="shared" si="31"/>
        <v>0</v>
      </c>
      <c r="M101" s="2899">
        <f t="shared" si="31"/>
        <v>0</v>
      </c>
      <c r="N101" s="2899">
        <f t="shared" si="31"/>
        <v>0</v>
      </c>
    </row>
    <row r="102" spans="1:14">
      <c r="A102" s="3213"/>
      <c r="B102" s="2894">
        <v>1</v>
      </c>
      <c r="C102" s="2895" t="e">
        <f>1.9362/C101</f>
        <v>#DIV/0!</v>
      </c>
      <c r="D102" s="2895" t="e">
        <f>1.9362/D101</f>
        <v>#DIV/0!</v>
      </c>
      <c r="E102" s="2895" t="e">
        <f>1.8629/E101</f>
        <v>#DIV/0!</v>
      </c>
      <c r="F102" s="2895" t="e">
        <f>1.8629/F101</f>
        <v>#DIV/0!</v>
      </c>
      <c r="G102" s="2895" t="e">
        <f>1.8629/G101</f>
        <v>#DIV/0!</v>
      </c>
      <c r="H102" s="2895" t="e">
        <f>1.8629/H101</f>
        <v>#DIV/0!</v>
      </c>
      <c r="I102" s="2895" t="e">
        <f>1.8629/I101</f>
        <v>#DIV/0!</v>
      </c>
      <c r="J102" s="2895" t="e">
        <f>1.942/J101</f>
        <v>#DIV/0!</v>
      </c>
      <c r="K102" s="2895" t="e">
        <f>1.942/K101</f>
        <v>#DIV/0!</v>
      </c>
      <c r="L102" s="2895" t="e">
        <f>1.942/L101</f>
        <v>#DIV/0!</v>
      </c>
      <c r="M102" s="2895" t="e">
        <f>1.942/M101</f>
        <v>#DIV/0!</v>
      </c>
      <c r="N102" s="2895" t="e">
        <f>1.942/N101</f>
        <v>#DIV/0!</v>
      </c>
    </row>
    <row r="103" spans="1:14">
      <c r="A103" s="3213"/>
      <c r="B103" s="2894">
        <v>2</v>
      </c>
      <c r="C103" s="2895" t="e">
        <f>1.4198/C101</f>
        <v>#DIV/0!</v>
      </c>
      <c r="D103" s="2895" t="e">
        <f>1.4198/D101</f>
        <v>#DIV/0!</v>
      </c>
      <c r="E103" s="2895" t="e">
        <f>1.3372/E101</f>
        <v>#DIV/0!</v>
      </c>
      <c r="F103" s="2895" t="e">
        <f>1.3372/F101</f>
        <v>#DIV/0!</v>
      </c>
      <c r="G103" s="2895" t="e">
        <f>1.3372/G101</f>
        <v>#DIV/0!</v>
      </c>
      <c r="H103" s="2895" t="e">
        <f>1.3372/H101</f>
        <v>#DIV/0!</v>
      </c>
      <c r="I103" s="2895" t="e">
        <f>1.3372/I101</f>
        <v>#DIV/0!</v>
      </c>
      <c r="J103" s="2895" t="e">
        <f>1.2799/J101</f>
        <v>#DIV/0!</v>
      </c>
      <c r="K103" s="2895" t="e">
        <f>1.2799/K101</f>
        <v>#DIV/0!</v>
      </c>
      <c r="L103" s="2895" t="e">
        <f>1.2799/L101</f>
        <v>#DIV/0!</v>
      </c>
      <c r="M103" s="2895" t="e">
        <f>1.2799/M101</f>
        <v>#DIV/0!</v>
      </c>
      <c r="N103" s="2895" t="e">
        <f>1.2799/N101</f>
        <v>#DIV/0!</v>
      </c>
    </row>
    <row r="104" spans="1:14">
      <c r="A104" s="3213"/>
      <c r="B104" s="2894">
        <v>3</v>
      </c>
      <c r="C104" s="2895" t="e">
        <f>1.1594/C101</f>
        <v>#DIV/0!</v>
      </c>
      <c r="D104" s="2895" t="e">
        <f>1.1594/D101</f>
        <v>#DIV/0!</v>
      </c>
      <c r="E104" s="2895" t="e">
        <f>1.0788/E101</f>
        <v>#DIV/0!</v>
      </c>
      <c r="F104" s="2895" t="e">
        <f>1.0788/F101</f>
        <v>#DIV/0!</v>
      </c>
      <c r="G104" s="2895" t="e">
        <f>1.0788/G101</f>
        <v>#DIV/0!</v>
      </c>
      <c r="H104" s="2895" t="e">
        <f>1.0788/H101</f>
        <v>#DIV/0!</v>
      </c>
      <c r="I104" s="2895" t="e">
        <f>1.0788/I101</f>
        <v>#DIV/0!</v>
      </c>
      <c r="J104" s="2895" t="e">
        <f>1.0072/J101</f>
        <v>#DIV/0!</v>
      </c>
      <c r="K104" s="2895" t="e">
        <f>1.0072/K101</f>
        <v>#DIV/0!</v>
      </c>
      <c r="L104" s="2895" t="e">
        <f>1.0072/L101</f>
        <v>#DIV/0!</v>
      </c>
      <c r="M104" s="2895" t="e">
        <f>1.0072/M101</f>
        <v>#DIV/0!</v>
      </c>
      <c r="N104" s="2895" t="e">
        <f>1.0072/N101</f>
        <v>#DIV/0!</v>
      </c>
    </row>
    <row r="105" spans="1:14">
      <c r="A105" s="3213"/>
      <c r="B105" s="2894">
        <v>4</v>
      </c>
      <c r="C105" s="2895" t="e">
        <f>0.9622/C101</f>
        <v>#DIV/0!</v>
      </c>
      <c r="D105" s="2895" t="e">
        <f>0.9622/D101</f>
        <v>#DIV/0!</v>
      </c>
      <c r="E105" s="2895" t="e">
        <f>0.8656/E101</f>
        <v>#DIV/0!</v>
      </c>
      <c r="F105" s="2895" t="e">
        <f>0.8656/F101</f>
        <v>#DIV/0!</v>
      </c>
      <c r="G105" s="2895" t="e">
        <f>0.8656/G101</f>
        <v>#DIV/0!</v>
      </c>
      <c r="H105" s="2895" t="e">
        <f>0.8656/H101</f>
        <v>#DIV/0!</v>
      </c>
      <c r="I105" s="2895" t="e">
        <f>0.8656/I101</f>
        <v>#DIV/0!</v>
      </c>
      <c r="J105" s="2895" t="e">
        <f>0.7525/J101</f>
        <v>#DIV/0!</v>
      </c>
      <c r="K105" s="2895" t="e">
        <f>0.7525/K101</f>
        <v>#DIV/0!</v>
      </c>
      <c r="L105" s="2895" t="e">
        <f>0.7525/L101</f>
        <v>#DIV/0!</v>
      </c>
      <c r="M105" s="2895" t="e">
        <f>0.7525/M101</f>
        <v>#DIV/0!</v>
      </c>
      <c r="N105" s="2895" t="e">
        <f>0.7525/N101</f>
        <v>#DIV/0!</v>
      </c>
    </row>
    <row r="106" spans="1:14">
      <c r="A106" s="3213"/>
      <c r="B106" s="2894">
        <v>5</v>
      </c>
      <c r="C106" s="2895" t="e">
        <f>0.8417/C101</f>
        <v>#DIV/0!</v>
      </c>
      <c r="D106" s="2895" t="e">
        <f>0.8417/D101</f>
        <v>#DIV/0!</v>
      </c>
      <c r="E106" s="2895" t="e">
        <f>0.7371/E101</f>
        <v>#DIV/0!</v>
      </c>
      <c r="F106" s="2895" t="e">
        <f>0.7371/F101</f>
        <v>#DIV/0!</v>
      </c>
      <c r="G106" s="2895" t="e">
        <f>0.7371/G101</f>
        <v>#DIV/0!</v>
      </c>
      <c r="H106" s="2895" t="e">
        <f>0.7371/H101</f>
        <v>#DIV/0!</v>
      </c>
      <c r="I106" s="2895" t="e">
        <f>0.7371/I101</f>
        <v>#DIV/0!</v>
      </c>
      <c r="J106" s="2895" t="e">
        <f>0.5659/J101</f>
        <v>#DIV/0!</v>
      </c>
      <c r="K106" s="2895" t="e">
        <f>0.5659/K101</f>
        <v>#DIV/0!</v>
      </c>
      <c r="L106" s="2895" t="e">
        <f>0.5659/L101</f>
        <v>#DIV/0!</v>
      </c>
      <c r="M106" s="2895" t="e">
        <f>0.5659/M101</f>
        <v>#DIV/0!</v>
      </c>
      <c r="N106" s="2895" t="e">
        <f>0.5659/N101</f>
        <v>#DIV/0!</v>
      </c>
    </row>
    <row r="107" spans="1:14">
      <c r="A107" s="3213"/>
      <c r="B107" s="2894">
        <v>6</v>
      </c>
      <c r="C107" s="2895" t="e">
        <f>0.7608/C101</f>
        <v>#DIV/0!</v>
      </c>
      <c r="D107" s="2895" t="e">
        <f>0.7608/D101</f>
        <v>#DIV/0!</v>
      </c>
      <c r="E107" s="2895" t="e">
        <f>0.6482/E101</f>
        <v>#DIV/0!</v>
      </c>
      <c r="F107" s="2895" t="e">
        <f>0.6482/F101</f>
        <v>#DIV/0!</v>
      </c>
      <c r="G107" s="2895" t="e">
        <f>0.6482/G101</f>
        <v>#DIV/0!</v>
      </c>
      <c r="H107" s="2895" t="e">
        <f>0.6482/H101</f>
        <v>#DIV/0!</v>
      </c>
      <c r="I107" s="2895" t="e">
        <f>0.6482/I101</f>
        <v>#DIV/0!</v>
      </c>
      <c r="J107" s="2895" t="e">
        <f>0.4525/J101</f>
        <v>#DIV/0!</v>
      </c>
      <c r="K107" s="2895" t="e">
        <f>0.4525/K101</f>
        <v>#DIV/0!</v>
      </c>
      <c r="L107" s="2895" t="e">
        <f>0.4525/L101</f>
        <v>#DIV/0!</v>
      </c>
      <c r="M107" s="2895" t="e">
        <f>0.4525/M101</f>
        <v>#DIV/0!</v>
      </c>
      <c r="N107" s="2895" t="e">
        <f>0.4525/N101</f>
        <v>#DIV/0!</v>
      </c>
    </row>
    <row r="108" spans="1:14">
      <c r="A108" s="3213"/>
      <c r="B108" s="3097" t="s">
        <v>2931</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214"/>
      <c r="B109" s="3098"/>
      <c r="C109" s="2897" t="e">
        <f>(-0.163*(C108^2)-0.59*C108+7617)*(10^(-4))/C101</f>
        <v>#DIV/0!</v>
      </c>
      <c r="D109" s="2897" t="e">
        <f>(-0.163*(D108^2)-0.59*D108+7617)*(10^(-4))/D101</f>
        <v>#DIV/0!</v>
      </c>
      <c r="E109" s="2897" t="e">
        <f>(-0.161*(E108^2)-7.509*E108+6533)*(10^(-4))/E101</f>
        <v>#DIV/0!</v>
      </c>
      <c r="F109" s="2897" t="e">
        <f>(-0.161*(F108^2)-7.509*F108+6533)*(10^(-4))/F101</f>
        <v>#DIV/0!</v>
      </c>
      <c r="G109" s="2897" t="e">
        <f>(-0.161*(G108^2)-7.509*G108+6533)*(10^(-4))/G101</f>
        <v>#DIV/0!</v>
      </c>
      <c r="H109" s="2897" t="e">
        <f>(-0.161*(H108^2)-7.509*H108+6533)*(10^(-4))/H101</f>
        <v>#DIV/0!</v>
      </c>
      <c r="I109" s="2897" t="e">
        <f>(-0.161*(I108^2)-7.509*I108+6533)*(10^(-4))/I101</f>
        <v>#DIV/0!</v>
      </c>
      <c r="J109" s="2897" t="e">
        <f>(-0.214*(J108^2)-21.991*J108+4665)*(10^(-4))/J101</f>
        <v>#DIV/0!</v>
      </c>
      <c r="K109" s="2897" t="e">
        <f>(-0.214*(K108^2)-21.991*K108+4665)*(10^(-4))/K101</f>
        <v>#DIV/0!</v>
      </c>
      <c r="L109" s="2897" t="e">
        <f>(-0.214*(L108^2)-21.991*L108+4665)*(10^(-4))/L101</f>
        <v>#DIV/0!</v>
      </c>
      <c r="M109" s="2897" t="e">
        <f>(-0.214*(M108^2)-21.991*M108+4665)*(10^(-4))/M101</f>
        <v>#DIV/0!</v>
      </c>
      <c r="N109" s="2897" t="e">
        <f>(-0.214*(N108^2)-21.991*N108+4665)*(10^(-4))/N101</f>
        <v>#DIV/0!</v>
      </c>
    </row>
    <row r="110" spans="1:14">
      <c r="A110" s="3210" t="s">
        <v>2932</v>
      </c>
      <c r="B110" s="3210"/>
      <c r="C110" s="3210"/>
      <c r="D110" s="3210"/>
      <c r="E110" s="3210"/>
      <c r="F110" s="3210"/>
      <c r="G110" s="3210"/>
      <c r="H110" s="3210"/>
      <c r="I110" s="3210"/>
      <c r="J110" s="3210"/>
      <c r="K110" s="2900"/>
      <c r="L110" s="2900"/>
      <c r="M110" s="2900"/>
      <c r="N110" s="2900"/>
    </row>
    <row r="112" spans="1:14" ht="13.5" thickBot="1"/>
    <row r="113" spans="1:13" ht="25.5" thickBot="1">
      <c r="A113" s="901" t="s">
        <v>2933</v>
      </c>
      <c r="B113" s="1288">
        <f>G3</f>
        <v>0</v>
      </c>
      <c r="C113" s="902" t="s">
        <v>2934</v>
      </c>
      <c r="D113" s="903">
        <f>SUMPRODUCT((A115:A118=F113)*(B114:M114=H113)*B115:M118)</f>
        <v>0.9335</v>
      </c>
      <c r="E113" s="2723" t="s">
        <v>2767</v>
      </c>
      <c r="F113" s="2902" t="str">
        <f>E2</f>
        <v>商业</v>
      </c>
      <c r="G113" s="2723" t="s">
        <v>2768</v>
      </c>
      <c r="H113" s="2902" t="str">
        <f>G2</f>
        <v>二级</v>
      </c>
      <c r="I113" s="2723"/>
      <c r="J113" s="2903"/>
      <c r="K113" s="2903"/>
      <c r="L113" s="2903"/>
      <c r="M113" s="2903"/>
    </row>
    <row r="114" spans="1:13">
      <c r="A114" s="906"/>
      <c r="B114" s="2904" t="s">
        <v>2935</v>
      </c>
      <c r="C114" s="2904" t="s">
        <v>2936</v>
      </c>
      <c r="D114" s="2904" t="s">
        <v>2937</v>
      </c>
      <c r="E114" s="2905" t="s">
        <v>2938</v>
      </c>
      <c r="F114" s="2905" t="s">
        <v>2939</v>
      </c>
      <c r="G114" s="2905" t="s">
        <v>2940</v>
      </c>
      <c r="H114" s="2906" t="s">
        <v>2941</v>
      </c>
      <c r="I114" s="2906" t="s">
        <v>2942</v>
      </c>
      <c r="J114" s="2907" t="s">
        <v>2943</v>
      </c>
      <c r="K114" s="2907" t="s">
        <v>2944</v>
      </c>
      <c r="L114" s="2907" t="s">
        <v>2945</v>
      </c>
      <c r="M114" s="2908" t="s">
        <v>2946</v>
      </c>
    </row>
    <row r="115" spans="1:13">
      <c r="A115" s="907" t="s">
        <v>2831</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2832</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2833</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5" thickBot="1">
      <c r="A118" s="712" t="s">
        <v>2834</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7"/>
      <c r="C1" s="242"/>
      <c r="D1" s="242"/>
      <c r="E1" s="242"/>
      <c r="F1" s="242"/>
      <c r="G1" s="1380">
        <f>MATCH(B1,'数据-取费表'!A6:A16,0)+5</f>
        <v>7</v>
      </c>
    </row>
    <row r="2" spans="1:9" s="244" customFormat="1" ht="18" customHeight="1">
      <c r="A2" s="245" t="s">
        <v>2281</v>
      </c>
      <c r="B2" s="246">
        <f ca="1">IF(D2="——",C52,C52-E2)</f>
        <v>9016</v>
      </c>
      <c r="C2" s="243" t="s">
        <v>2282</v>
      </c>
      <c r="D2" s="2546" t="s">
        <v>70</v>
      </c>
      <c r="E2" s="1441" t="e">
        <f ca="1">SUMIF(INDIRECT("'"&amp;G2&amp;"'"&amp;"!A:A"),"承租人权益价值",INDIRECT("'"&amp;G2&amp;"'"&amp;"!c:c"))</f>
        <v>#REF!</v>
      </c>
      <c r="F2" s="2547" t="s">
        <v>2282</v>
      </c>
      <c r="G2" s="2548"/>
    </row>
    <row r="3" spans="1:9" s="244" customFormat="1" ht="18" customHeight="1" thickBot="1">
      <c r="A3" s="247" t="s">
        <v>2283</v>
      </c>
      <c r="B3" s="248">
        <f ca="1">ROUND(B2*10000/(IF(B1="",'数据-汇总表'!E3,INDIRECT("'数据-取费表'!k"&amp;$G$1))),0)</f>
        <v>41196</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 ca="1">C6+C7+C8</f>
        <v>5213</v>
      </c>
      <c r="D5" s="255" t="s">
        <v>2288</v>
      </c>
      <c r="E5" s="256" t="s">
        <v>2289</v>
      </c>
      <c r="F5" s="256" t="s">
        <v>2290</v>
      </c>
      <c r="G5" s="257"/>
    </row>
    <row r="6" spans="1:9" s="258" customFormat="1" ht="13.5" customHeight="1">
      <c r="A6" s="950" t="s">
        <v>2291</v>
      </c>
      <c r="B6" s="259" t="s">
        <v>2292</v>
      </c>
      <c r="C6" s="260">
        <f ca="1">基准地价修正!E33</f>
        <v>5059</v>
      </c>
      <c r="D6" s="261"/>
      <c r="E6" s="262"/>
      <c r="F6" s="262"/>
      <c r="G6" s="263"/>
    </row>
    <row r="7" spans="1:9" s="258" customFormat="1" ht="13.5" customHeight="1">
      <c r="A7" s="950" t="s">
        <v>2293</v>
      </c>
      <c r="B7" s="259" t="s">
        <v>2294</v>
      </c>
      <c r="C7" s="264">
        <f ca="1">ROUND(C6*F7,0)</f>
        <v>154</v>
      </c>
      <c r="D7" s="264"/>
      <c r="E7" s="262"/>
      <c r="F7" s="265">
        <f>'数据-取费表'!B48+'数据-取费表'!B49</f>
        <v>3.0499999999999999E-2</v>
      </c>
      <c r="G7" s="263"/>
    </row>
    <row r="8" spans="1:9" s="267" customFormat="1">
      <c r="A8" s="950" t="s">
        <v>2295</v>
      </c>
      <c r="B8" s="259" t="s">
        <v>2296</v>
      </c>
      <c r="C8" s="264" t="str">
        <f>IF(G8="已包含在土地购买价格中","0",IF(B1="",'数据-取费表'!B29,IF(G9="全部缴纳",C9+C10,H9)))</f>
        <v>0</v>
      </c>
      <c r="D8" s="266"/>
      <c r="E8" s="264"/>
      <c r="F8" s="265"/>
      <c r="G8" s="2549" t="s">
        <v>1144</v>
      </c>
    </row>
    <row r="9" spans="1:9" s="258" customFormat="1" ht="13.5" customHeight="1">
      <c r="A9" s="951" t="s">
        <v>799</v>
      </c>
      <c r="B9" s="268" t="s">
        <v>2297</v>
      </c>
      <c r="C9" s="269">
        <f ca="1">ROUND(D9*E9/10000,0)</f>
        <v>0</v>
      </c>
      <c r="D9" s="1033">
        <f ca="1">IF(B1="",'数据-汇总表'!E5,IF(INDIRECT("'数据-取费表'!c"&amp;$G$1)="住宅",INDIRECT("'数据-取费表'!k"&amp;$G$1),0))</f>
        <v>0</v>
      </c>
      <c r="E9" s="269">
        <f>'数据-取费表'!B27</f>
        <v>0</v>
      </c>
      <c r="F9" s="265"/>
      <c r="G9" s="2550" t="s">
        <v>3031</v>
      </c>
      <c r="H9" s="1391"/>
      <c r="I9" s="2551" t="s">
        <v>2298</v>
      </c>
    </row>
    <row r="10" spans="1:9" s="258" customFormat="1" ht="13.5" customHeight="1">
      <c r="A10" s="951" t="s">
        <v>800</v>
      </c>
      <c r="B10" s="268" t="s">
        <v>2299</v>
      </c>
      <c r="C10" s="269">
        <f ca="1">ROUND(D10*E10/10000,0)</f>
        <v>44</v>
      </c>
      <c r="D10" s="1033">
        <f ca="1">IF(B1="",'数据-汇总表'!E6,IF(INDIRECT("'数据-取费表'!c"&amp;$G$1)="住宅",INDIRECT("'数据-取费表'!s"&amp;$G$1),INDIRECT("'数据-取费表'!k"&amp;$G$1)+INDIRECT("'数据-取费表'!s"&amp;$G$1)))</f>
        <v>2188.58</v>
      </c>
      <c r="E10" s="269">
        <f>'数据-取费表'!B28</f>
        <v>200</v>
      </c>
      <c r="F10" s="265"/>
      <c r="G10" s="270"/>
    </row>
    <row r="11" spans="1:9" s="258" customFormat="1" ht="13.5" hidden="1" customHeight="1">
      <c r="A11" s="271" t="s">
        <v>7</v>
      </c>
      <c r="B11" s="259" t="s">
        <v>2300</v>
      </c>
      <c r="C11" s="255"/>
      <c r="D11" s="1035"/>
      <c r="E11" s="262"/>
      <c r="F11" s="262"/>
      <c r="G11" s="263"/>
    </row>
    <row r="12" spans="1:9" s="258" customFormat="1" ht="13.5" hidden="1" customHeight="1">
      <c r="A12" s="271" t="s">
        <v>8</v>
      </c>
      <c r="B12" s="259" t="s">
        <v>2301</v>
      </c>
      <c r="C12" s="255">
        <v>0</v>
      </c>
      <c r="D12" s="1035"/>
      <c r="E12" s="272"/>
      <c r="F12" s="265">
        <v>3.0499999999999999E-2</v>
      </c>
      <c r="G12" s="263"/>
    </row>
    <row r="13" spans="1:9" s="258" customFormat="1" ht="13.5" hidden="1" customHeight="1">
      <c r="A13" s="271" t="s">
        <v>9</v>
      </c>
      <c r="B13" s="259" t="s">
        <v>2302</v>
      </c>
      <c r="C13" s="255"/>
      <c r="D13" s="1035"/>
      <c r="E13" s="262"/>
      <c r="F13" s="262"/>
      <c r="G13" s="263"/>
    </row>
    <row r="14" spans="1:9" s="258" customFormat="1" ht="13.5" hidden="1" customHeight="1">
      <c r="A14" s="271" t="s">
        <v>10</v>
      </c>
      <c r="B14" s="259" t="s">
        <v>2303</v>
      </c>
      <c r="C14" s="255"/>
      <c r="D14" s="1035"/>
      <c r="E14" s="262"/>
      <c r="F14" s="262"/>
      <c r="G14" s="263" t="s">
        <v>2304</v>
      </c>
    </row>
    <row r="15" spans="1:9" s="258" customFormat="1" ht="13.5" hidden="1" customHeight="1">
      <c r="A15" s="271" t="s">
        <v>11</v>
      </c>
      <c r="B15" s="259" t="s">
        <v>2305</v>
      </c>
      <c r="C15" s="264"/>
      <c r="D15" s="1035"/>
      <c r="E15" s="262"/>
      <c r="F15" s="262"/>
      <c r="G15" s="263" t="s">
        <v>2306</v>
      </c>
    </row>
    <row r="16" spans="1:9" s="258" customFormat="1" ht="13.5" hidden="1" customHeight="1">
      <c r="A16" s="271" t="s">
        <v>12</v>
      </c>
      <c r="B16" s="259" t="s">
        <v>2303</v>
      </c>
      <c r="C16" s="264"/>
      <c r="D16" s="1035"/>
      <c r="E16" s="262"/>
      <c r="F16" s="262"/>
      <c r="G16" s="263"/>
    </row>
    <row r="17" spans="1:7" s="258" customFormat="1" ht="13.5" hidden="1" customHeight="1">
      <c r="A17" s="271" t="s">
        <v>13</v>
      </c>
      <c r="B17" s="259" t="s">
        <v>2307</v>
      </c>
      <c r="C17" s="273"/>
      <c r="D17" s="1036"/>
      <c r="E17" s="273"/>
      <c r="F17" s="273"/>
      <c r="G17" s="263" t="s">
        <v>2306</v>
      </c>
    </row>
    <row r="18" spans="1:7" s="258" customFormat="1" ht="13.5" hidden="1" customHeight="1">
      <c r="A18" s="271" t="s">
        <v>14</v>
      </c>
      <c r="B18" s="259" t="s">
        <v>2308</v>
      </c>
      <c r="C18" s="264">
        <v>0</v>
      </c>
      <c r="D18" s="1035"/>
      <c r="E18" s="262"/>
      <c r="F18" s="265">
        <v>3.0499999999999999E-2</v>
      </c>
      <c r="G18" s="263" t="s">
        <v>2309</v>
      </c>
    </row>
    <row r="19" spans="1:7" s="267" customFormat="1" ht="13.5" customHeight="1">
      <c r="A19" s="299" t="s">
        <v>2310</v>
      </c>
      <c r="B19" s="254" t="s">
        <v>2311</v>
      </c>
      <c r="C19" s="255" t="str">
        <f>IF(G19="已包含在土地取得成本中","0",ROUND(D19*E19/10000,0))</f>
        <v>0</v>
      </c>
      <c r="D19" s="1037">
        <f ca="1">D9+D10</f>
        <v>2188.58</v>
      </c>
      <c r="E19" s="255">
        <f>'数据-取费表'!B31</f>
        <v>200</v>
      </c>
      <c r="F19" s="275"/>
      <c r="G19" s="2549" t="s">
        <v>3032</v>
      </c>
    </row>
    <row r="20" spans="1:7" s="258" customFormat="1" ht="13.5" customHeight="1">
      <c r="A20" s="299" t="s">
        <v>2312</v>
      </c>
      <c r="B20" s="254" t="s">
        <v>2313</v>
      </c>
      <c r="C20" s="276">
        <f ca="1">ROUND((C5+C19)*F20,0)</f>
        <v>156</v>
      </c>
      <c r="D20" s="276"/>
      <c r="E20" s="276"/>
      <c r="F20" s="277">
        <f>'数据-取费表'!B37</f>
        <v>0.03</v>
      </c>
      <c r="G20" s="278" t="s">
        <v>2314</v>
      </c>
    </row>
    <row r="21" spans="1:7" s="258" customFormat="1" ht="13.5" customHeight="1">
      <c r="A21" s="299" t="s">
        <v>2315</v>
      </c>
      <c r="B21" s="254" t="s">
        <v>2316</v>
      </c>
      <c r="C21" s="279">
        <f>F21</f>
        <v>0.03</v>
      </c>
      <c r="D21" s="280" t="s">
        <v>2317</v>
      </c>
      <c r="E21" s="276"/>
      <c r="F21" s="277">
        <f>'数据-取费表'!B38</f>
        <v>0.03</v>
      </c>
      <c r="G21" s="278" t="s">
        <v>2318</v>
      </c>
    </row>
    <row r="22" spans="1:7" s="258" customFormat="1" ht="13.5" customHeight="1">
      <c r="A22" s="299" t="s">
        <v>2319</v>
      </c>
      <c r="B22" s="254" t="s">
        <v>2320</v>
      </c>
      <c r="C22" s="1355">
        <f ca="1">ROUND(SUM(C23:C25),0)</f>
        <v>514</v>
      </c>
      <c r="D22" s="279">
        <f ca="1">C26</f>
        <v>1.4E-3</v>
      </c>
      <c r="E22" s="280" t="s">
        <v>2317</v>
      </c>
      <c r="F22" s="281">
        <f ca="1">'数据-取费表'!B40</f>
        <v>4.7500000000000001E-2</v>
      </c>
      <c r="G22" s="278" t="str">
        <f>IF('数据-取费表'!B22&lt;=1,"单利计息","复利计息")</f>
        <v>复利计息</v>
      </c>
    </row>
    <row r="23" spans="1:7" s="258" customFormat="1" ht="13.5" customHeight="1">
      <c r="A23" s="952" t="s">
        <v>2321</v>
      </c>
      <c r="B23" s="259" t="s">
        <v>2322</v>
      </c>
      <c r="C23" s="1356">
        <f ca="1">ROUND(IF('数据-取费表'!B22&lt;=1,C5*F22*'数据-取费表'!B23,C5*(POWER((1+F22),'数据-取费表'!B23)-1)),0)</f>
        <v>507</v>
      </c>
      <c r="D23" s="282"/>
      <c r="E23" s="282"/>
      <c r="F23" s="283"/>
      <c r="G23" s="284" t="s">
        <v>2323</v>
      </c>
    </row>
    <row r="24" spans="1:7" s="258" customFormat="1" ht="13.5" customHeight="1">
      <c r="A24" s="952" t="s">
        <v>2324</v>
      </c>
      <c r="B24" s="259" t="s">
        <v>2325</v>
      </c>
      <c r="C24" s="1356">
        <f ca="1">ROUND(IF('数据-取费表'!B22&lt;=1,C19*F22*('数据-取费表'!B19/2+'数据-取费表'!B21),C19*(POWER((1+F22),('数据-取费表'!B19/2+'数据-取费表'!B21))-1)),0)</f>
        <v>0</v>
      </c>
      <c r="D24" s="282"/>
      <c r="E24" s="282"/>
      <c r="F24" s="283"/>
      <c r="G24" s="284" t="s">
        <v>2326</v>
      </c>
    </row>
    <row r="25" spans="1:7" s="258" customFormat="1" ht="24">
      <c r="A25" s="952" t="s">
        <v>2327</v>
      </c>
      <c r="B25" s="259" t="s">
        <v>2328</v>
      </c>
      <c r="C25" s="1356">
        <f ca="1">ROUND(IF('数据-取费表'!B22&lt;=1,C20*F22*'数据-取费表'!B23/2,C20*(POWER((1+F22),'数据-取费表'!B23/2)-1)),0)</f>
        <v>7</v>
      </c>
      <c r="D25" s="282"/>
      <c r="E25" s="285"/>
      <c r="F25" s="283"/>
      <c r="G25" s="286" t="s">
        <v>2329</v>
      </c>
    </row>
    <row r="26" spans="1:7" s="258" customFormat="1">
      <c r="A26" s="952" t="s">
        <v>794</v>
      </c>
      <c r="B26" s="259" t="s">
        <v>2330</v>
      </c>
      <c r="C26" s="282">
        <f ca="1">ROUND(IF('数据-取费表'!B22&lt;=1,F21*F22*'数据-取费表'!B23/2,F21*(POWER((1+F22),'数据-取费表'!B23/2)-1)),4)</f>
        <v>1.4E-3</v>
      </c>
      <c r="D26" s="282"/>
      <c r="E26" s="285"/>
      <c r="F26" s="283"/>
      <c r="G26" s="287"/>
    </row>
    <row r="27" spans="1:7" s="258" customFormat="1" ht="24.75">
      <c r="A27" s="299" t="s">
        <v>2331</v>
      </c>
      <c r="B27" s="288" t="s">
        <v>2332</v>
      </c>
      <c r="C27" s="289">
        <f ca="1">C28</f>
        <v>1611</v>
      </c>
      <c r="D27" s="279">
        <f ca="1">C29</f>
        <v>8.9999999999999993E-3</v>
      </c>
      <c r="E27" s="280" t="s">
        <v>2333</v>
      </c>
      <c r="F27" s="290">
        <f ca="1">IF(B1="",'数据-取费表'!Q16,INDIRECT("'数据-取费表'!q"&amp;$G$1))</f>
        <v>0.3</v>
      </c>
      <c r="G27" s="291" t="s">
        <v>2334</v>
      </c>
    </row>
    <row r="28" spans="1:7" s="258" customFormat="1" ht="13.5" customHeight="1">
      <c r="A28" s="952" t="s">
        <v>790</v>
      </c>
      <c r="B28" s="292" t="s">
        <v>2335</v>
      </c>
      <c r="C28" s="293">
        <f ca="1">ROUND((C5+C19+C20)*F27*'数据-取费表'!B21/'数据-取费表'!B20,0)</f>
        <v>1611</v>
      </c>
      <c r="D28" s="279"/>
      <c r="E28" s="280"/>
      <c r="F28" s="290"/>
      <c r="G28" s="291"/>
    </row>
    <row r="29" spans="1:7" s="258" customFormat="1" ht="13.5" customHeight="1">
      <c r="A29" s="952" t="s">
        <v>791</v>
      </c>
      <c r="B29" s="292" t="s">
        <v>2336</v>
      </c>
      <c r="C29" s="282">
        <f ca="1">ROUND(C21*F27*'数据-取费表'!B21/'数据-取费表'!B20,4)</f>
        <v>8.9999999999999993E-3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f ca="1">ROUND((C5+C19+C20+C22+C27)/(1-C21-D22-D27-C30),0)</f>
        <v>8269</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781</v>
      </c>
      <c r="B33" s="254" t="s">
        <v>2343</v>
      </c>
      <c r="C33" s="300">
        <f ca="1">SUM(C34:C38)</f>
        <v>697</v>
      </c>
      <c r="D33" s="276"/>
      <c r="E33" s="256"/>
      <c r="F33" s="285"/>
      <c r="G33" s="278"/>
    </row>
    <row r="34" spans="1:7" s="302" customFormat="1" ht="13.5" customHeight="1">
      <c r="A34" s="952" t="s">
        <v>790</v>
      </c>
      <c r="B34" s="259" t="s">
        <v>2344</v>
      </c>
      <c r="C34" s="264">
        <f ca="1">IF(B1="",IF(F34=100%,'数据-取费表'!M16,'数据-取费表'!O16),IF(F34=100%,INDIRECT("'数据-取费表'!m"&amp;$G$1)+INDIRECT("'数据-取费表'!t"&amp;$G$1),INDIRECT("'数据-取费表'!o"&amp;$G$1)+INDIRECT("'数据-取费表'!aq"&amp;$G$1)))</f>
        <v>613</v>
      </c>
      <c r="D34" s="261"/>
      <c r="E34" s="264"/>
      <c r="F34" s="301">
        <f ca="1">IF('数据-取费表'!B24=0,1,IF(B1="",'数据-取费表'!N16,INDIRECT("'数据-取费表'!n"&amp;$G$1)))</f>
        <v>1</v>
      </c>
      <c r="G34" s="263" t="s">
        <v>2345</v>
      </c>
    </row>
    <row r="35" spans="1:7" ht="13.5" customHeight="1">
      <c r="A35" s="952" t="s">
        <v>795</v>
      </c>
      <c r="B35" s="259" t="s">
        <v>2346</v>
      </c>
      <c r="C35" s="264">
        <f ca="1">ROUND(C34*F35,0)</f>
        <v>31</v>
      </c>
      <c r="D35" s="264"/>
      <c r="E35" s="264"/>
      <c r="F35" s="303">
        <f>'数据-取费表'!B33</f>
        <v>0.05</v>
      </c>
      <c r="G35" s="263" t="s">
        <v>2347</v>
      </c>
    </row>
    <row r="36" spans="1:7" ht="24">
      <c r="A36" s="952" t="s">
        <v>796</v>
      </c>
      <c r="B36" s="259" t="s">
        <v>2348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2349</v>
      </c>
    </row>
    <row r="37" spans="1:7" s="302" customFormat="1" ht="13.5" customHeight="1">
      <c r="A37" s="952" t="s">
        <v>797</v>
      </c>
      <c r="B37" s="259" t="s">
        <v>2350</v>
      </c>
      <c r="C37" s="293">
        <f ca="1">ROUND(E37*D37*F34/10000,0)</f>
        <v>44</v>
      </c>
      <c r="D37" s="261">
        <f ca="1">D19</f>
        <v>2188.58</v>
      </c>
      <c r="E37" s="293">
        <f>'数据-取费表'!B35</f>
        <v>200</v>
      </c>
      <c r="F37" s="303"/>
      <c r="G37" s="305" t="s">
        <v>2351</v>
      </c>
    </row>
    <row r="38" spans="1:7" ht="13.5" customHeight="1">
      <c r="A38" s="952" t="s">
        <v>798</v>
      </c>
      <c r="B38" s="259" t="s">
        <v>2352</v>
      </c>
      <c r="C38" s="264">
        <f ca="1">ROUND(C34*F38,0)</f>
        <v>9</v>
      </c>
      <c r="D38" s="264"/>
      <c r="E38" s="264"/>
      <c r="F38" s="303">
        <f>'数据-取费表'!B36</f>
        <v>1.4999999999999999E-2</v>
      </c>
      <c r="G38" s="263" t="s">
        <v>2347</v>
      </c>
    </row>
    <row r="39" spans="1:7" s="258" customFormat="1" ht="13.5" customHeight="1">
      <c r="A39" s="299" t="s">
        <v>2353</v>
      </c>
      <c r="B39" s="254" t="s">
        <v>2354</v>
      </c>
      <c r="C39" s="276">
        <f ca="1">ROUND(C33*F20,0)</f>
        <v>21</v>
      </c>
      <c r="D39" s="276"/>
      <c r="E39" s="276"/>
      <c r="F39" s="277"/>
      <c r="G39" s="278" t="s">
        <v>2355</v>
      </c>
    </row>
    <row r="40" spans="1:7" s="258" customFormat="1" ht="13.5" customHeight="1">
      <c r="A40" s="299" t="s">
        <v>2356</v>
      </c>
      <c r="B40" s="254" t="s">
        <v>2357</v>
      </c>
      <c r="C40" s="1728">
        <f>F21</f>
        <v>0.03</v>
      </c>
      <c r="D40" s="280" t="s">
        <v>2358</v>
      </c>
      <c r="E40" s="276"/>
      <c r="F40" s="277"/>
      <c r="G40" s="278" t="s">
        <v>2359</v>
      </c>
    </row>
    <row r="41" spans="1:7" s="258" customFormat="1" ht="13.5" customHeight="1">
      <c r="A41" s="299" t="s">
        <v>2360</v>
      </c>
      <c r="B41" s="254" t="s">
        <v>2361</v>
      </c>
      <c r="C41" s="276">
        <f ca="1">ROUND(SUM(C42:C43),0)</f>
        <v>34</v>
      </c>
      <c r="D41" s="279">
        <f ca="1">C44</f>
        <v>1.4E-3</v>
      </c>
      <c r="E41" s="280" t="s">
        <v>2358</v>
      </c>
      <c r="F41" s="281"/>
      <c r="G41" s="278" t="str">
        <f>IF('数据-取费表'!B22&lt;=1,"单利计息","复利计息")</f>
        <v>复利计息</v>
      </c>
    </row>
    <row r="42" spans="1:7" ht="13.5" customHeight="1">
      <c r="A42" s="952" t="s">
        <v>790</v>
      </c>
      <c r="B42" s="259" t="s">
        <v>2362</v>
      </c>
      <c r="C42" s="282">
        <f ca="1">ROUND(IF('数据-取费表'!B22&lt;=1,C33*F22*'数据-取费表'!B21/2,C33*(POWER((1+F22),'数据-取费表'!B21/2)-1)),0)</f>
        <v>33</v>
      </c>
      <c r="D42" s="282"/>
      <c r="E42" s="282"/>
      <c r="F42" s="283"/>
      <c r="G42" s="3227" t="s">
        <v>2363</v>
      </c>
    </row>
    <row r="43" spans="1:7" ht="13.5" customHeight="1">
      <c r="A43" s="952" t="s">
        <v>791</v>
      </c>
      <c r="B43" s="259" t="s">
        <v>2364</v>
      </c>
      <c r="C43" s="282">
        <f ca="1">ROUND(IF('数据-取费表'!B22&lt;=1,C39*F22*'数据-取费表'!B21/2,C39*(POWER((1+F22),'数据-取费表'!B21/2)-1)),0)</f>
        <v>1</v>
      </c>
      <c r="D43" s="282"/>
      <c r="E43" s="282"/>
      <c r="F43" s="283"/>
      <c r="G43" s="3228"/>
    </row>
    <row r="44" spans="1:7" ht="13.5" customHeight="1">
      <c r="A44" s="952" t="s">
        <v>792</v>
      </c>
      <c r="B44" s="259" t="s">
        <v>2365</v>
      </c>
      <c r="C44" s="282">
        <f ca="1">ROUND(IF('数据-取费表'!B22&lt;=1,C40*F22*'数据-取费表'!B21/2,C40*(POWER((1+F22),'数据-取费表'!B21/2)-1)),4)</f>
        <v>1.4E-3</v>
      </c>
      <c r="D44" s="282"/>
      <c r="E44" s="282"/>
      <c r="F44" s="283"/>
      <c r="G44" s="3229"/>
    </row>
    <row r="45" spans="1:7" s="258" customFormat="1" ht="13.5" customHeight="1">
      <c r="A45" s="299" t="s">
        <v>2366</v>
      </c>
      <c r="B45" s="288" t="s">
        <v>2332</v>
      </c>
      <c r="C45" s="289">
        <f ca="1">C46</f>
        <v>215</v>
      </c>
      <c r="D45" s="279">
        <f ca="1">C47</f>
        <v>8.9999999999999993E-3</v>
      </c>
      <c r="E45" s="280" t="s">
        <v>2358</v>
      </c>
      <c r="F45" s="290"/>
      <c r="G45" s="291" t="s">
        <v>2367</v>
      </c>
    </row>
    <row r="46" spans="1:7" s="258" customFormat="1" ht="13.5" customHeight="1">
      <c r="A46" s="952" t="s">
        <v>790</v>
      </c>
      <c r="B46" s="292" t="s">
        <v>2368</v>
      </c>
      <c r="C46" s="293">
        <f ca="1">ROUND((C33+C39)*F27,0)</f>
        <v>215</v>
      </c>
      <c r="D46" s="307"/>
      <c r="E46" s="280"/>
      <c r="F46" s="290"/>
      <c r="G46" s="291"/>
    </row>
    <row r="47" spans="1:7" s="258" customFormat="1" ht="13.5" customHeight="1">
      <c r="A47" s="952" t="s">
        <v>791</v>
      </c>
      <c r="B47" s="292" t="s">
        <v>2369</v>
      </c>
      <c r="C47" s="282">
        <f ca="1">ROUND(C40*F27,4)</f>
        <v>8.9999999999999993E-3</v>
      </c>
      <c r="D47" s="307"/>
      <c r="E47" s="280"/>
      <c r="F47" s="290"/>
      <c r="G47" s="291"/>
    </row>
    <row r="48" spans="1:7" s="258" customFormat="1" ht="13.5" customHeight="1">
      <c r="A48" s="299" t="s">
        <v>2331</v>
      </c>
      <c r="B48" s="254" t="s">
        <v>2370</v>
      </c>
      <c r="C48" s="1728">
        <f>ROUND(F30/(1+'数据-取费表'!C42),4)</f>
        <v>5.33E-2</v>
      </c>
      <c r="D48" s="280" t="s">
        <v>2358</v>
      </c>
      <c r="E48" s="276"/>
      <c r="F48" s="281"/>
      <c r="G48" s="278" t="s">
        <v>2371</v>
      </c>
    </row>
    <row r="49" spans="1:7" ht="16.5" customHeight="1">
      <c r="A49" s="299" t="s">
        <v>2337</v>
      </c>
      <c r="B49" s="254" t="s">
        <v>2372</v>
      </c>
      <c r="C49" s="276">
        <f ca="1">ROUND((C33+C39+C41+C45)/(1-C40-D41-D45-C48),0)</f>
        <v>1067</v>
      </c>
      <c r="D49" s="276"/>
      <c r="E49" s="276"/>
      <c r="F49" s="308"/>
      <c r="G49" s="278" t="s">
        <v>2373</v>
      </c>
    </row>
    <row r="50" spans="1:7" s="302" customFormat="1" ht="24">
      <c r="A50" s="299" t="s">
        <v>2374</v>
      </c>
      <c r="B50" s="254" t="s">
        <v>2375</v>
      </c>
      <c r="C50" s="276"/>
      <c r="D50" s="276"/>
      <c r="E50" s="276"/>
      <c r="F50" s="308">
        <f>IF('数据-取费表'!B24=0,'数据-取费表'!N16,1)</f>
        <v>0.7</v>
      </c>
      <c r="G50" s="291" t="s">
        <v>2376</v>
      </c>
    </row>
    <row r="51" spans="1:7" ht="16.5" customHeight="1">
      <c r="A51" s="299" t="s">
        <v>2377</v>
      </c>
      <c r="B51" s="254" t="s">
        <v>2378</v>
      </c>
      <c r="C51" s="276">
        <f ca="1">ROUND(C49*F50,0)</f>
        <v>747</v>
      </c>
      <c r="D51" s="276"/>
      <c r="E51" s="276"/>
      <c r="F51" s="308"/>
      <c r="G51" s="278" t="s">
        <v>2379</v>
      </c>
    </row>
    <row r="52" spans="1:7" s="252" customFormat="1" ht="16.5" thickBot="1">
      <c r="A52" s="309" t="s">
        <v>2380</v>
      </c>
      <c r="B52" s="310"/>
      <c r="C52" s="311">
        <f ca="1">C31+C51</f>
        <v>9016</v>
      </c>
      <c r="D52" s="310"/>
      <c r="E52" s="310"/>
      <c r="F52" s="310"/>
      <c r="G52" s="312"/>
    </row>
    <row r="55" spans="1:7" ht="15">
      <c r="B55" s="314" t="s">
        <v>2381</v>
      </c>
      <c r="C55" s="315"/>
    </row>
    <row r="56" spans="1:7">
      <c r="B56" s="317" t="s">
        <v>1509</v>
      </c>
      <c r="C56" s="319">
        <f ca="1">1-C57</f>
        <v>0.91700000000000004</v>
      </c>
    </row>
    <row r="57" spans="1:7">
      <c r="B57" s="317" t="s">
        <v>1510</v>
      </c>
      <c r="C57" s="318">
        <f ca="1">ROUND(C51/C52,3)</f>
        <v>8.3000000000000004E-2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7"/>
      <c r="C1" s="2552" t="s">
        <v>2382</v>
      </c>
      <c r="D1" s="242"/>
      <c r="E1" s="242"/>
      <c r="F1" s="242"/>
      <c r="G1" s="1380">
        <f>MATCH(B1,'数据-取费表'!A6:A16,0)+5</f>
        <v>7</v>
      </c>
      <c r="H1" s="1283" t="str">
        <f>IF(ISERROR(FIND("住宅",B1)),"非住宅","住宅")</f>
        <v>非住宅</v>
      </c>
    </row>
    <row r="2" spans="1:8" s="244" customFormat="1" ht="18" customHeight="1">
      <c r="A2" s="245" t="s">
        <v>2281</v>
      </c>
      <c r="B2" s="246">
        <f ca="1">ROUND(IF(D2="——",C52/10000,C52/10000-E2),0)</f>
        <v>885</v>
      </c>
      <c r="C2" s="243" t="s">
        <v>2282</v>
      </c>
      <c r="D2" s="2546" t="s">
        <v>70</v>
      </c>
      <c r="E2" s="1441" t="e">
        <f ca="1">SUMIF(INDIRECT("'"&amp;G2&amp;"'"&amp;"!A:A"),"承租人权益价值",INDIRECT("'"&amp;G2&amp;"'"&amp;"!c:c"))</f>
        <v>#REF!</v>
      </c>
      <c r="F2" s="2547" t="s">
        <v>2282</v>
      </c>
      <c r="G2" s="2548"/>
    </row>
    <row r="3" spans="1:8" s="244" customFormat="1" ht="18" customHeight="1" thickBot="1">
      <c r="A3" s="247" t="s">
        <v>2283</v>
      </c>
      <c r="B3" s="248">
        <f ca="1">ROUND(B2*10000/(IF(B1="",'数据-汇总表'!E3,INDIRECT("'数据-取费表'!k"&amp;$G$1))),0)</f>
        <v>4044</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437716</v>
      </c>
      <c r="D5" s="255" t="s">
        <v>2288</v>
      </c>
      <c r="E5" s="256" t="s">
        <v>2289</v>
      </c>
      <c r="F5" s="256" t="s">
        <v>2290</v>
      </c>
      <c r="G5" s="257"/>
    </row>
    <row r="6" spans="1:8" s="258" customFormat="1" ht="13.5" customHeight="1">
      <c r="A6" s="950" t="s">
        <v>2291</v>
      </c>
      <c r="B6" s="259" t="s">
        <v>2292</v>
      </c>
      <c r="C6" s="260"/>
      <c r="D6" s="261"/>
      <c r="E6" s="262"/>
      <c r="F6" s="262"/>
      <c r="G6" s="263"/>
    </row>
    <row r="7" spans="1:8" s="258" customFormat="1" ht="13.5" customHeight="1">
      <c r="A7" s="950" t="s">
        <v>2293</v>
      </c>
      <c r="B7" s="259" t="s">
        <v>2294</v>
      </c>
      <c r="C7" s="264">
        <f>ROUND(C6*F7,0)</f>
        <v>0</v>
      </c>
      <c r="D7" s="264"/>
      <c r="E7" s="262"/>
      <c r="F7" s="265">
        <f>'数据-取费表'!B48+'数据-取费表'!B49</f>
        <v>3.0499999999999999E-2</v>
      </c>
      <c r="G7" s="263"/>
    </row>
    <row r="8" spans="1:8" s="267" customFormat="1">
      <c r="A8" s="950" t="s">
        <v>2295</v>
      </c>
      <c r="B8" s="259" t="s">
        <v>2296</v>
      </c>
      <c r="C8" s="264">
        <f ca="1">IF(G8="已包含在土地购买价格中",0,C9+C10)</f>
        <v>437716</v>
      </c>
      <c r="D8" s="266"/>
      <c r="E8" s="264"/>
      <c r="F8" s="265"/>
      <c r="G8" s="2549"/>
    </row>
    <row r="9" spans="1:8" s="258" customFormat="1" ht="13.5" customHeight="1">
      <c r="A9" s="951" t="s">
        <v>799</v>
      </c>
      <c r="B9" s="268" t="s">
        <v>2297</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2299</v>
      </c>
      <c r="C10" s="269">
        <f ca="1">ROUND(D10*E10,0)</f>
        <v>437716</v>
      </c>
      <c r="D10" s="1033">
        <f ca="1">IF(B1="",'数据-汇总表'!E6,IF(INDIRECT("'数据-取费表'!c"&amp;$G$1)="住宅",INDIRECT("'数据-取费表'!s"&amp;$G$1),INDIRECT("'数据-取费表'!k"&amp;$G$1)+INDIRECT("'数据-取费表'!s"&amp;$G$1)))</f>
        <v>2188.58</v>
      </c>
      <c r="E10" s="269">
        <f>'数据-取费表'!B28</f>
        <v>200</v>
      </c>
      <c r="F10" s="265"/>
      <c r="G10" s="270"/>
    </row>
    <row r="11" spans="1:8" s="258" customFormat="1" ht="13.5" hidden="1" customHeight="1">
      <c r="A11" s="271" t="s">
        <v>7</v>
      </c>
      <c r="B11" s="259" t="s">
        <v>2300</v>
      </c>
      <c r="C11" s="255"/>
      <c r="D11" s="1035"/>
      <c r="E11" s="262"/>
      <c r="F11" s="262"/>
      <c r="G11" s="263"/>
    </row>
    <row r="12" spans="1:8" s="258" customFormat="1" ht="13.5" hidden="1" customHeight="1">
      <c r="A12" s="271" t="s">
        <v>8</v>
      </c>
      <c r="B12" s="259" t="s">
        <v>2383</v>
      </c>
      <c r="C12" s="255">
        <v>0</v>
      </c>
      <c r="D12" s="1035"/>
      <c r="E12" s="272"/>
      <c r="F12" s="265">
        <v>3.0499999999999999E-2</v>
      </c>
      <c r="G12" s="263"/>
    </row>
    <row r="13" spans="1:8" s="258" customFormat="1" ht="13.5" hidden="1" customHeight="1">
      <c r="A13" s="271" t="s">
        <v>9</v>
      </c>
      <c r="B13" s="259" t="s">
        <v>2384</v>
      </c>
      <c r="C13" s="255"/>
      <c r="D13" s="1035"/>
      <c r="E13" s="262"/>
      <c r="F13" s="262"/>
      <c r="G13" s="263"/>
    </row>
    <row r="14" spans="1:8" s="258" customFormat="1" ht="13.5" hidden="1" customHeight="1">
      <c r="A14" s="271" t="s">
        <v>10</v>
      </c>
      <c r="B14" s="259" t="s">
        <v>2296</v>
      </c>
      <c r="C14" s="255"/>
      <c r="D14" s="1035"/>
      <c r="E14" s="262"/>
      <c r="F14" s="262"/>
      <c r="G14" s="263" t="s">
        <v>2385</v>
      </c>
    </row>
    <row r="15" spans="1:8" s="258" customFormat="1" ht="13.5" hidden="1" customHeight="1">
      <c r="A15" s="271" t="s">
        <v>11</v>
      </c>
      <c r="B15" s="259" t="s">
        <v>2386</v>
      </c>
      <c r="C15" s="264"/>
      <c r="D15" s="1035"/>
      <c r="E15" s="262"/>
      <c r="F15" s="262"/>
      <c r="G15" s="263" t="s">
        <v>2387</v>
      </c>
    </row>
    <row r="16" spans="1:8" s="258" customFormat="1" ht="13.5" hidden="1" customHeight="1">
      <c r="A16" s="271" t="s">
        <v>12</v>
      </c>
      <c r="B16" s="259" t="s">
        <v>2296</v>
      </c>
      <c r="C16" s="264"/>
      <c r="D16" s="1035"/>
      <c r="E16" s="262"/>
      <c r="F16" s="262"/>
      <c r="G16" s="263"/>
    </row>
    <row r="17" spans="1:7" s="258" customFormat="1" ht="13.5" hidden="1" customHeight="1">
      <c r="A17" s="271" t="s">
        <v>13</v>
      </c>
      <c r="B17" s="259" t="s">
        <v>2388</v>
      </c>
      <c r="C17" s="273"/>
      <c r="D17" s="1036"/>
      <c r="E17" s="273"/>
      <c r="F17" s="273"/>
      <c r="G17" s="263" t="s">
        <v>2387</v>
      </c>
    </row>
    <row r="18" spans="1:7" s="258" customFormat="1" ht="13.5" hidden="1" customHeight="1">
      <c r="A18" s="271" t="s">
        <v>14</v>
      </c>
      <c r="B18" s="259" t="s">
        <v>2389</v>
      </c>
      <c r="C18" s="264">
        <v>0</v>
      </c>
      <c r="D18" s="1035"/>
      <c r="E18" s="262"/>
      <c r="F18" s="265">
        <v>3.0499999999999999E-2</v>
      </c>
      <c r="G18" s="263" t="s">
        <v>2390</v>
      </c>
    </row>
    <row r="19" spans="1:7" s="267" customFormat="1" ht="13.5" customHeight="1">
      <c r="A19" s="299" t="s">
        <v>2391</v>
      </c>
      <c r="B19" s="254" t="s">
        <v>2392</v>
      </c>
      <c r="C19" s="255">
        <f ca="1">IF(G19="已包含在土地取得成本中","0",ROUND(D19*E19,0))</f>
        <v>437716</v>
      </c>
      <c r="D19" s="1037">
        <f ca="1">D9+D10</f>
        <v>2188.58</v>
      </c>
      <c r="E19" s="255">
        <f>'数据-取费表'!B31</f>
        <v>200</v>
      </c>
      <c r="F19" s="275"/>
      <c r="G19" s="2549"/>
    </row>
    <row r="20" spans="1:7" s="258" customFormat="1" ht="13.5" customHeight="1">
      <c r="A20" s="299" t="s">
        <v>2393</v>
      </c>
      <c r="B20" s="254" t="s">
        <v>2394</v>
      </c>
      <c r="C20" s="276">
        <f ca="1">ROUND((C5+C19)*F20,0)</f>
        <v>26263</v>
      </c>
      <c r="D20" s="276"/>
      <c r="E20" s="276"/>
      <c r="F20" s="277">
        <f>'数据-取费表'!B37</f>
        <v>0.03</v>
      </c>
      <c r="G20" s="278" t="s">
        <v>2395</v>
      </c>
    </row>
    <row r="21" spans="1:7" s="258" customFormat="1" ht="13.5" customHeight="1">
      <c r="A21" s="299" t="s">
        <v>2396</v>
      </c>
      <c r="B21" s="254" t="s">
        <v>2397</v>
      </c>
      <c r="C21" s="279">
        <f>F21</f>
        <v>0.03</v>
      </c>
      <c r="D21" s="280" t="s">
        <v>2398</v>
      </c>
      <c r="E21" s="276"/>
      <c r="F21" s="277">
        <f>'数据-取费表'!B38</f>
        <v>0.03</v>
      </c>
      <c r="G21" s="278" t="s">
        <v>2399</v>
      </c>
    </row>
    <row r="22" spans="1:7" s="258" customFormat="1" ht="13.5" customHeight="1">
      <c r="A22" s="299" t="s">
        <v>2400</v>
      </c>
      <c r="B22" s="254" t="s">
        <v>2401</v>
      </c>
      <c r="C22" s="1381">
        <f ca="1">ROUND(SUM(C23:C25),0)</f>
        <v>86389</v>
      </c>
      <c r="D22" s="279">
        <f ca="1">C26</f>
        <v>1.4E-3</v>
      </c>
      <c r="E22" s="280" t="s">
        <v>2398</v>
      </c>
      <c r="F22" s="281">
        <f ca="1">'数据-取费表'!B40</f>
        <v>4.7500000000000001E-2</v>
      </c>
      <c r="G22" s="278" t="str">
        <f>IF('数据-取费表'!B22&lt;=1,"单利计息","复利计息")</f>
        <v>复利计息</v>
      </c>
    </row>
    <row r="23" spans="1:7" s="258" customFormat="1" ht="13.5" customHeight="1">
      <c r="A23" s="952" t="s">
        <v>2291</v>
      </c>
      <c r="B23" s="259" t="s">
        <v>2402</v>
      </c>
      <c r="C23" s="1382">
        <f ca="1">ROUND(IF('数据-取费表'!B22&lt;=1,C5*F22*'数据-取费表'!B22,C5*(POWER((1+F22),'数据-取费表'!B22)-1)),0)</f>
        <v>42571</v>
      </c>
      <c r="D23" s="282"/>
      <c r="E23" s="282"/>
      <c r="F23" s="283"/>
      <c r="G23" s="284" t="s">
        <v>2403</v>
      </c>
    </row>
    <row r="24" spans="1:7" s="258" customFormat="1" ht="13.5" customHeight="1">
      <c r="A24" s="952" t="s">
        <v>2293</v>
      </c>
      <c r="B24" s="259" t="s">
        <v>2404</v>
      </c>
      <c r="C24" s="1382">
        <f ca="1">ROUND(IF('数据-取费表'!B22&lt;=1,C19*F22*('数据-取费表'!B19/2+'数据-取费表'!B20),C19*(POWER((1+F22),('数据-取费表'!B19/2+'数据-取费表'!B20))-1)),0)</f>
        <v>42571</v>
      </c>
      <c r="D24" s="282"/>
      <c r="E24" s="282"/>
      <c r="F24" s="283"/>
      <c r="G24" s="284" t="s">
        <v>2405</v>
      </c>
    </row>
    <row r="25" spans="1:7" s="258" customFormat="1" ht="24">
      <c r="A25" s="952" t="s">
        <v>2295</v>
      </c>
      <c r="B25" s="259" t="s">
        <v>2406</v>
      </c>
      <c r="C25" s="1382">
        <f ca="1">ROUND(IF('数据-取费表'!B22&lt;=1,C20*F22*'数据-取费表'!B22/2,C20*(POWER((1+F22),'数据-取费表'!B22/2)-1)),0)</f>
        <v>1247</v>
      </c>
      <c r="D25" s="282"/>
      <c r="E25" s="285"/>
      <c r="F25" s="283"/>
      <c r="G25" s="286" t="s">
        <v>2407</v>
      </c>
    </row>
    <row r="26" spans="1:7" s="258" customFormat="1">
      <c r="A26" s="952" t="s">
        <v>794</v>
      </c>
      <c r="B26" s="259" t="s">
        <v>2330</v>
      </c>
      <c r="C26" s="282">
        <f ca="1">ROUND(IF('数据-取费表'!B22&lt;=1,F21*F22*'数据-取费表'!B22/2,F21*(POWER((1+F22),'数据-取费表'!B22/2)-1)),4)</f>
        <v>1.4E-3</v>
      </c>
      <c r="D26" s="282"/>
      <c r="E26" s="285"/>
      <c r="F26" s="283"/>
      <c r="G26" s="287"/>
    </row>
    <row r="27" spans="1:7" s="258" customFormat="1" ht="24.75">
      <c r="A27" s="299" t="s">
        <v>2331</v>
      </c>
      <c r="B27" s="288" t="s">
        <v>2332</v>
      </c>
      <c r="C27" s="289">
        <f ca="1">C28</f>
        <v>270509</v>
      </c>
      <c r="D27" s="279">
        <f ca="1">C29</f>
        <v>8.9999999999999993E-3</v>
      </c>
      <c r="E27" s="280" t="s">
        <v>2333</v>
      </c>
      <c r="F27" s="290">
        <f ca="1">IF(B1="",'数据-取费表'!Q16,INDIRECT("'数据-取费表'!q"&amp;$G$1))</f>
        <v>0.3</v>
      </c>
      <c r="G27" s="291" t="s">
        <v>2334</v>
      </c>
    </row>
    <row r="28" spans="1:7" s="258" customFormat="1" ht="13.5" customHeight="1">
      <c r="A28" s="952" t="s">
        <v>790</v>
      </c>
      <c r="B28" s="292" t="s">
        <v>2335</v>
      </c>
      <c r="C28" s="293">
        <f ca="1">ROUND((C5+C19+C20)*F27,0)</f>
        <v>270509</v>
      </c>
      <c r="D28" s="279"/>
      <c r="E28" s="280"/>
      <c r="F28" s="290"/>
      <c r="G28" s="291"/>
    </row>
    <row r="29" spans="1:7" s="258" customFormat="1" ht="13.5" customHeight="1">
      <c r="A29" s="952" t="s">
        <v>791</v>
      </c>
      <c r="B29" s="292" t="s">
        <v>2336</v>
      </c>
      <c r="C29" s="282">
        <f ca="1">ROUND(C21*F27,4)</f>
        <v>8.9999999999999993E-3</v>
      </c>
      <c r="D29" s="279"/>
      <c r="E29" s="280"/>
      <c r="F29" s="290"/>
      <c r="G29" s="291"/>
    </row>
    <row r="30" spans="1:7" s="258" customFormat="1" ht="13.5" customHeight="1">
      <c r="A30" s="299" t="s">
        <v>2337</v>
      </c>
      <c r="B30" s="254" t="s">
        <v>2338</v>
      </c>
      <c r="C30" s="279">
        <f>ROUND(F30/(1+'数据-取费表'!C42),4)</f>
        <v>5.33E-2</v>
      </c>
      <c r="D30" s="280" t="s">
        <v>2333</v>
      </c>
      <c r="E30" s="285"/>
      <c r="F30" s="281">
        <f>'数据-取费表'!B41</f>
        <v>5.6000000000000001E-2</v>
      </c>
      <c r="G30" s="278" t="s">
        <v>2339</v>
      </c>
    </row>
    <row r="31" spans="1:7" ht="16.5" customHeight="1">
      <c r="A31" s="253">
        <v>1</v>
      </c>
      <c r="B31" s="254" t="s">
        <v>2340</v>
      </c>
      <c r="C31" s="255">
        <f ca="1">ROUND((C5+C19+C20+C22+C27)/(1-C21-D22-D27-C30),0)</f>
        <v>1388716</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781</v>
      </c>
      <c r="B33" s="254" t="s">
        <v>2409</v>
      </c>
      <c r="C33" s="300">
        <f ca="1">SUM(C34:C38)</f>
        <v>6964061</v>
      </c>
      <c r="D33" s="276"/>
      <c r="E33" s="256"/>
      <c r="F33" s="285"/>
      <c r="G33" s="278"/>
    </row>
    <row r="34" spans="1:7" s="302" customFormat="1" ht="13.5" customHeight="1">
      <c r="A34" s="952" t="s">
        <v>790</v>
      </c>
      <c r="B34" s="259" t="s">
        <v>2344</v>
      </c>
      <c r="C34" s="264">
        <f ca="1">ROUND(IF(B1="",SUMPRODUCT('数据-取费表'!K6:K14,'数据-取费表'!L6:L14),INDIRECT("'数据-取费表'!l"&amp;$G$1)*INDIRECT("'数据-取费表'!k"&amp;$G$1)+'数据-取费表'!L14*INDIRECT("'数据-取费表'!S"&amp;$G$1)),0)</f>
        <v>6128024</v>
      </c>
      <c r="D34" s="261"/>
      <c r="E34" s="264"/>
      <c r="F34" s="301"/>
      <c r="G34" s="263"/>
    </row>
    <row r="35" spans="1:7" ht="13.5" customHeight="1">
      <c r="A35" s="952" t="s">
        <v>795</v>
      </c>
      <c r="B35" s="259" t="s">
        <v>2346</v>
      </c>
      <c r="C35" s="264">
        <f ca="1">ROUND(C34*F35,0)</f>
        <v>306401</v>
      </c>
      <c r="D35" s="264"/>
      <c r="E35" s="264"/>
      <c r="F35" s="303">
        <f>'数据-取费表'!B33</f>
        <v>0.05</v>
      </c>
      <c r="G35" s="263" t="s">
        <v>2347</v>
      </c>
    </row>
    <row r="36" spans="1:7" ht="24">
      <c r="A36" s="952" t="s">
        <v>796</v>
      </c>
      <c r="B36" s="259" t="s">
        <v>2348</v>
      </c>
      <c r="C36" s="264">
        <f ca="1">ROUND(IF(B1="",SUM('数据-取费表'!AP6:AP13)*F36,IF(INDIRECT("'数据-取费表'!c"&amp;$G$1)="住宅",INDIRECT("'数据-取费表'!k"&amp;$G$1)*INDIRECT("'数据-取费表'!l"&amp;$G$1)*F36,0)),0)</f>
        <v>0</v>
      </c>
      <c r="D36" s="264"/>
      <c r="E36" s="264"/>
      <c r="F36" s="303">
        <f>'数据-取费表'!B34</f>
        <v>0.1</v>
      </c>
      <c r="G36" s="304" t="s">
        <v>2349</v>
      </c>
    </row>
    <row r="37" spans="1:7" s="302" customFormat="1" ht="13.5" customHeight="1">
      <c r="A37" s="952" t="s">
        <v>797</v>
      </c>
      <c r="B37" s="259" t="s">
        <v>2350</v>
      </c>
      <c r="C37" s="293">
        <f ca="1">ROUND(E37*D37,0)</f>
        <v>437716</v>
      </c>
      <c r="D37" s="261">
        <f ca="1">D19</f>
        <v>2188.58</v>
      </c>
      <c r="E37" s="293">
        <f>'数据-取费表'!B35</f>
        <v>200</v>
      </c>
      <c r="F37" s="303"/>
      <c r="G37" s="305"/>
    </row>
    <row r="38" spans="1:7" ht="13.5" customHeight="1">
      <c r="A38" s="952" t="s">
        <v>798</v>
      </c>
      <c r="B38" s="259" t="s">
        <v>2352</v>
      </c>
      <c r="C38" s="264">
        <f ca="1">ROUND(C34*F38,0)</f>
        <v>91920</v>
      </c>
      <c r="D38" s="264"/>
      <c r="E38" s="264"/>
      <c r="F38" s="303">
        <f>'数据-取费表'!B36</f>
        <v>1.4999999999999999E-2</v>
      </c>
      <c r="G38" s="263" t="s">
        <v>2347</v>
      </c>
    </row>
    <row r="39" spans="1:7" s="258" customFormat="1" ht="13.5" customHeight="1">
      <c r="A39" s="299" t="s">
        <v>2353</v>
      </c>
      <c r="B39" s="254" t="s">
        <v>2354</v>
      </c>
      <c r="C39" s="276">
        <f ca="1">ROUND(C33*F20,0)</f>
        <v>208922</v>
      </c>
      <c r="D39" s="276"/>
      <c r="E39" s="276"/>
      <c r="F39" s="277"/>
      <c r="G39" s="278" t="s">
        <v>2355</v>
      </c>
    </row>
    <row r="40" spans="1:7" s="258" customFormat="1" ht="13.5" customHeight="1">
      <c r="A40" s="299" t="s">
        <v>2356</v>
      </c>
      <c r="B40" s="254" t="s">
        <v>2357</v>
      </c>
      <c r="C40" s="1728">
        <f>F21</f>
        <v>0.03</v>
      </c>
      <c r="D40" s="280" t="s">
        <v>2358</v>
      </c>
      <c r="E40" s="276"/>
      <c r="F40" s="277"/>
      <c r="G40" s="278" t="s">
        <v>2359</v>
      </c>
    </row>
    <row r="41" spans="1:7" s="258" customFormat="1" ht="13.5" customHeight="1">
      <c r="A41" s="299" t="s">
        <v>2360</v>
      </c>
      <c r="B41" s="254" t="s">
        <v>2361</v>
      </c>
      <c r="C41" s="276">
        <f ca="1">ROUND(SUM(C42:C43),0)</f>
        <v>340717</v>
      </c>
      <c r="D41" s="279">
        <f ca="1">C44</f>
        <v>1.4E-3</v>
      </c>
      <c r="E41" s="280" t="s">
        <v>2358</v>
      </c>
      <c r="F41" s="281"/>
      <c r="G41" s="278" t="str">
        <f>IF('数据-取费表'!B22&lt;=1,"单利计息","复利计息")</f>
        <v>复利计息</v>
      </c>
    </row>
    <row r="42" spans="1:7" ht="13.5" customHeight="1">
      <c r="A42" s="952" t="s">
        <v>790</v>
      </c>
      <c r="B42" s="259" t="s">
        <v>2362</v>
      </c>
      <c r="C42" s="282">
        <f ca="1">ROUND(IF('数据-取费表'!B22&lt;=1,C33*F22*'数据-取费表'!B20/2,C33*(POWER((1+F22),'数据-取费表'!B20/2)-1)),0)</f>
        <v>330793</v>
      </c>
      <c r="D42" s="282"/>
      <c r="E42" s="282"/>
      <c r="F42" s="283"/>
      <c r="G42" s="3227" t="s">
        <v>2410</v>
      </c>
    </row>
    <row r="43" spans="1:7" ht="13.5" customHeight="1">
      <c r="A43" s="952" t="s">
        <v>791</v>
      </c>
      <c r="B43" s="259" t="s">
        <v>2364</v>
      </c>
      <c r="C43" s="282">
        <f ca="1">ROUND(IF('数据-取费表'!B22&lt;=1,C39*F22*'数据-取费表'!B20/2,C39*(POWER((1+F22),'数据-取费表'!B20/2)-1)),0)</f>
        <v>9924</v>
      </c>
      <c r="D43" s="282"/>
      <c r="E43" s="282"/>
      <c r="F43" s="283"/>
      <c r="G43" s="3228"/>
    </row>
    <row r="44" spans="1:7" ht="13.5" customHeight="1">
      <c r="A44" s="952" t="s">
        <v>792</v>
      </c>
      <c r="B44" s="259" t="s">
        <v>2365</v>
      </c>
      <c r="C44" s="282">
        <f ca="1">ROUND(IF('数据-取费表'!B22&lt;=1,C40*F22*'数据-取费表'!B20/2,C40*(POWER((1+F22),'数据-取费表'!B20/2)-1)),4)</f>
        <v>1.4E-3</v>
      </c>
      <c r="D44" s="282"/>
      <c r="E44" s="282"/>
      <c r="F44" s="283"/>
      <c r="G44" s="3229"/>
    </row>
    <row r="45" spans="1:7" s="258" customFormat="1" ht="13.5" customHeight="1">
      <c r="A45" s="299" t="s">
        <v>2366</v>
      </c>
      <c r="B45" s="288" t="s">
        <v>2332</v>
      </c>
      <c r="C45" s="289">
        <f ca="1">C46</f>
        <v>2151895</v>
      </c>
      <c r="D45" s="279">
        <f ca="1">C47</f>
        <v>8.9999999999999993E-3</v>
      </c>
      <c r="E45" s="280" t="s">
        <v>2358</v>
      </c>
      <c r="F45" s="290"/>
      <c r="G45" s="291" t="s">
        <v>2367</v>
      </c>
    </row>
    <row r="46" spans="1:7" s="258" customFormat="1" ht="13.5" customHeight="1">
      <c r="A46" s="952" t="s">
        <v>790</v>
      </c>
      <c r="B46" s="292" t="s">
        <v>2368</v>
      </c>
      <c r="C46" s="293">
        <f ca="1">ROUND((C33+C39)*F27,0)</f>
        <v>2151895</v>
      </c>
      <c r="D46" s="307"/>
      <c r="E46" s="280"/>
      <c r="F46" s="290"/>
      <c r="G46" s="291"/>
    </row>
    <row r="47" spans="1:7" s="258" customFormat="1" ht="13.5" customHeight="1">
      <c r="A47" s="952" t="s">
        <v>791</v>
      </c>
      <c r="B47" s="292" t="s">
        <v>2369</v>
      </c>
      <c r="C47" s="282">
        <f ca="1">ROUND(C40*F27,4)</f>
        <v>8.9999999999999993E-3</v>
      </c>
      <c r="D47" s="307"/>
      <c r="E47" s="280"/>
      <c r="F47" s="290"/>
      <c r="G47" s="291"/>
    </row>
    <row r="48" spans="1:7" s="258" customFormat="1" ht="13.5" customHeight="1">
      <c r="A48" s="299" t="s">
        <v>2331</v>
      </c>
      <c r="B48" s="254" t="s">
        <v>2370</v>
      </c>
      <c r="C48" s="306">
        <f>ROUND(F30/(1+'数据-取费表'!C42),4)</f>
        <v>5.33E-2</v>
      </c>
      <c r="D48" s="280" t="s">
        <v>2358</v>
      </c>
      <c r="E48" s="276"/>
      <c r="F48" s="281"/>
      <c r="G48" s="278" t="s">
        <v>2371</v>
      </c>
    </row>
    <row r="49" spans="1:7" ht="16.5" customHeight="1">
      <c r="A49" s="299" t="s">
        <v>2337</v>
      </c>
      <c r="B49" s="254" t="s">
        <v>2411</v>
      </c>
      <c r="C49" s="276">
        <f ca="1">ROUND((C33+C39+C41+C45)/(1-C40-D41-D45-C48),0)</f>
        <v>10664896</v>
      </c>
      <c r="D49" s="276"/>
      <c r="E49" s="276"/>
      <c r="F49" s="308"/>
      <c r="G49" s="278" t="s">
        <v>2373</v>
      </c>
    </row>
    <row r="50" spans="1:7" s="302" customFormat="1">
      <c r="A50" s="299" t="s">
        <v>2374</v>
      </c>
      <c r="B50" s="254" t="s">
        <v>2375</v>
      </c>
      <c r="C50" s="276"/>
      <c r="D50" s="276"/>
      <c r="E50" s="276"/>
      <c r="F50" s="308">
        <f>IF('数据-取费表'!B24=0,'数据-取费表'!N16,1)</f>
        <v>0.7</v>
      </c>
      <c r="G50" s="291"/>
    </row>
    <row r="51" spans="1:7" ht="16.5" customHeight="1">
      <c r="A51" s="299" t="s">
        <v>2377</v>
      </c>
      <c r="B51" s="254" t="s">
        <v>2412</v>
      </c>
      <c r="C51" s="276">
        <f ca="1">ROUND(C49*F50,0)</f>
        <v>7465427</v>
      </c>
      <c r="D51" s="276"/>
      <c r="E51" s="276"/>
      <c r="F51" s="308"/>
      <c r="G51" s="278" t="s">
        <v>2379</v>
      </c>
    </row>
    <row r="52" spans="1:7" s="252" customFormat="1" ht="16.5" thickBot="1">
      <c r="A52" s="309" t="s">
        <v>2380</v>
      </c>
      <c r="B52" s="310"/>
      <c r="C52" s="311">
        <f ca="1">C31+C51</f>
        <v>8854143</v>
      </c>
      <c r="D52" s="310"/>
      <c r="E52" s="310"/>
      <c r="F52" s="310"/>
      <c r="G52" s="312"/>
    </row>
    <row r="55" spans="1:7" ht="15">
      <c r="B55" s="314" t="s">
        <v>2381</v>
      </c>
      <c r="C55" s="315"/>
    </row>
    <row r="56" spans="1:7">
      <c r="B56" s="317" t="s">
        <v>1509</v>
      </c>
      <c r="C56" s="319">
        <f ca="1">1-C57</f>
        <v>0.15700000000000003</v>
      </c>
    </row>
    <row r="57" spans="1:7">
      <c r="B57" s="317" t="s">
        <v>1510</v>
      </c>
      <c r="C57" s="318">
        <f ca="1">ROUND(C51/C52,3)</f>
        <v>0.84299999999999997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2413</v>
      </c>
      <c r="B1" s="1581"/>
      <c r="C1" s="1582"/>
      <c r="D1" s="1580"/>
      <c r="E1" s="320"/>
      <c r="F1" s="320"/>
      <c r="G1" s="1581"/>
      <c r="H1" s="320"/>
      <c r="I1" s="320"/>
      <c r="J1" s="320"/>
      <c r="K1" s="320">
        <f>MATCH(C1,'数据-取费表'!A6:A16,0)+5</f>
        <v>7</v>
      </c>
    </row>
    <row r="2" spans="1:33" ht="18" customHeight="1">
      <c r="A2" s="245" t="s">
        <v>2281</v>
      </c>
      <c r="B2" s="248">
        <f ca="1">C32</f>
        <v>0</v>
      </c>
      <c r="C2" s="320" t="s">
        <v>2414</v>
      </c>
      <c r="D2" s="320"/>
      <c r="E2" s="320"/>
      <c r="F2" s="320"/>
      <c r="G2" s="320"/>
      <c r="H2" s="320"/>
      <c r="I2" s="320"/>
      <c r="J2" s="320"/>
      <c r="K2" s="320"/>
    </row>
    <row r="3" spans="1:33" ht="18" customHeight="1" thickBot="1">
      <c r="A3" s="247" t="s">
        <v>2283</v>
      </c>
      <c r="B3" s="248">
        <f ca="1">ROUND(B2*10000/IF(C1="",'数据-汇总表'!E3,INDIRECT("'数据-取费表'!K"&amp;$K$1)),0)</f>
        <v>0</v>
      </c>
      <c r="C3" s="320" t="s">
        <v>2415</v>
      </c>
      <c r="D3" s="320"/>
      <c r="E3" s="320"/>
      <c r="F3" s="320"/>
      <c r="G3" s="320"/>
      <c r="H3" s="320"/>
      <c r="I3" s="320"/>
      <c r="J3" s="320"/>
      <c r="K3" s="320"/>
    </row>
    <row r="4" spans="1:33" s="957" customFormat="1" ht="16.5" customHeight="1">
      <c r="A4" s="954" t="s">
        <v>2416</v>
      </c>
      <c r="B4" s="955"/>
      <c r="C4" s="997">
        <f>SUM(C8:K8)</f>
        <v>0</v>
      </c>
      <c r="D4" s="955"/>
      <c r="E4" s="955"/>
      <c r="F4" s="955"/>
      <c r="G4" s="955"/>
      <c r="H4" s="955"/>
      <c r="I4" s="955"/>
      <c r="J4" s="955"/>
      <c r="K4" s="956"/>
    </row>
    <row r="5" spans="1:33" s="961" customFormat="1" ht="24.75">
      <c r="A5" s="958" t="s">
        <v>2417</v>
      </c>
      <c r="B5" s="959" t="s">
        <v>2418</v>
      </c>
      <c r="C5" s="2553" t="s">
        <v>2419</v>
      </c>
      <c r="D5" s="2553" t="s">
        <v>2420</v>
      </c>
      <c r="E5" s="2553" t="s">
        <v>2421</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2422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2425</v>
      </c>
      <c r="B8" s="177" t="s">
        <v>2426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2427</v>
      </c>
      <c r="B9" s="955"/>
      <c r="C9" s="955"/>
      <c r="D9" s="955"/>
      <c r="E9" s="955"/>
      <c r="F9" s="955"/>
      <c r="G9" s="955"/>
      <c r="H9" s="955"/>
      <c r="I9" s="955"/>
      <c r="J9" s="955"/>
      <c r="K9" s="956"/>
    </row>
    <row r="10" spans="1:33" s="971" customFormat="1" ht="13.5" customHeight="1">
      <c r="A10" s="958" t="s">
        <v>2428</v>
      </c>
      <c r="B10" s="8" t="s">
        <v>2429</v>
      </c>
      <c r="C10" s="967" t="s">
        <v>2430</v>
      </c>
      <c r="D10" s="968" t="s">
        <v>2431</v>
      </c>
      <c r="E10" s="968" t="s">
        <v>2432</v>
      </c>
      <c r="F10" s="968" t="s">
        <v>2433</v>
      </c>
      <c r="G10" s="8"/>
      <c r="H10" s="969"/>
      <c r="I10" s="969"/>
      <c r="J10" s="969"/>
      <c r="K10" s="970"/>
    </row>
    <row r="11" spans="1:33" s="976" customFormat="1" ht="13.5" customHeight="1">
      <c r="A11" s="972" t="s">
        <v>1330</v>
      </c>
      <c r="B11" s="973" t="s">
        <v>2434</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2435</v>
      </c>
      <c r="C12" s="24">
        <f ca="1">ROUND(C11*F12,0)</f>
        <v>0</v>
      </c>
      <c r="D12" s="974"/>
      <c r="E12" s="375"/>
      <c r="F12" s="977">
        <f>'数据-取费表'!B33</f>
        <v>0.05</v>
      </c>
      <c r="G12" s="8" t="s">
        <v>2436</v>
      </c>
      <c r="H12" s="969"/>
      <c r="I12" s="969"/>
      <c r="J12" s="969"/>
      <c r="K12" s="970"/>
    </row>
    <row r="13" spans="1:33" s="976" customFormat="1" ht="13.5" customHeight="1">
      <c r="A13" s="972" t="s">
        <v>1332</v>
      </c>
      <c r="B13" s="973" t="s">
        <v>2437</v>
      </c>
      <c r="C13" s="24">
        <f ca="1">ROUND(IF(C1="",SUMIF('数据-取费表'!C:C,"住宅",'数据-取费表'!P:P)*F13,IF(INDIRECT("'数据-取费表'!c"&amp;$K$1)="住宅",INDIRECT("'数据-取费表'!P"&amp;$K$1)*F13,0)),0)</f>
        <v>0</v>
      </c>
      <c r="D13" s="1034"/>
      <c r="E13" s="375"/>
      <c r="F13" s="977">
        <f>'数据-取费表'!B34</f>
        <v>0.1</v>
      </c>
      <c r="G13" s="8" t="s">
        <v>2438</v>
      </c>
      <c r="H13" s="969"/>
      <c r="I13" s="969"/>
      <c r="J13" s="969"/>
      <c r="K13" s="970"/>
    </row>
    <row r="14" spans="1:33" s="978" customFormat="1" ht="13.5" customHeight="1">
      <c r="A14" s="972" t="s">
        <v>1333</v>
      </c>
      <c r="B14" s="973" t="s">
        <v>2439</v>
      </c>
      <c r="C14" s="24">
        <f ca="1">ROUND(D14*E14*F11/10000,0)</f>
        <v>0</v>
      </c>
      <c r="D14" s="1034">
        <f ca="1">IF(C1="",'数据-汇总表'!E3,INDIRECT("'数据-取费表'!K"&amp;$K$1)+INDIRECT("'数据-取费表'!S"&amp;$K$1))</f>
        <v>2188.58</v>
      </c>
      <c r="E14" s="24">
        <f>'数据-取费表'!B35</f>
        <v>200</v>
      </c>
      <c r="F14" s="977"/>
      <c r="G14" s="8" t="s">
        <v>2440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2441</v>
      </c>
      <c r="C15" s="984">
        <f ca="1">ROUND(C11*F15,0)</f>
        <v>0</v>
      </c>
      <c r="D15" s="979"/>
      <c r="E15" s="984"/>
      <c r="F15" s="985">
        <f>'数据-取费表'!B36</f>
        <v>1.4999999999999999E-2</v>
      </c>
      <c r="G15" s="140" t="s">
        <v>2442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2443</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2444</v>
      </c>
      <c r="C17" s="24">
        <f ca="1">ROUND(D17*E17/10000,0)</f>
        <v>0</v>
      </c>
      <c r="D17" s="1034">
        <f ca="1">D14</f>
        <v>2188.58</v>
      </c>
      <c r="E17" s="24">
        <f>'数据-取费表'!B32</f>
        <v>0</v>
      </c>
      <c r="F17" s="979"/>
      <c r="G17" s="140" t="s">
        <v>2445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2446</v>
      </c>
      <c r="C18" s="24">
        <f ca="1">C19+C20-IF(C1="",'数据-取费表'!B29,IF(G18="已全部缴纳",C19+C20,H18))</f>
        <v>0</v>
      </c>
      <c r="D18" s="1034"/>
      <c r="E18" s="24"/>
      <c r="F18" s="977"/>
      <c r="G18" s="2555"/>
      <c r="H18" s="1577"/>
      <c r="I18" s="2556" t="s">
        <v>2447</v>
      </c>
      <c r="J18" s="980"/>
      <c r="K18" s="981"/>
    </row>
    <row r="19" spans="1:33" s="976" customFormat="1" ht="13.5" customHeight="1">
      <c r="A19" s="972" t="s">
        <v>804</v>
      </c>
      <c r="B19" s="973" t="s">
        <v>2448</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805</v>
      </c>
      <c r="B20" s="973" t="s">
        <v>2449</v>
      </c>
      <c r="C20" s="24">
        <f ca="1">ROUND(D20*E20/10000,0)</f>
        <v>44</v>
      </c>
      <c r="D20" s="1034">
        <f ca="1">IF(C1="",'数据-汇总表'!E6,IF(INDIRECT("'数据-取费表'!c"&amp;$K$1)="住宅",INDIRECT("'数据-取费表'!s"&amp;$K$1),INDIRECT("'数据-取费表'!k"&amp;$K$1)+INDIRECT("'数据-取费表'!s"&amp;$K$1)))</f>
        <v>2188.58</v>
      </c>
      <c r="E20" s="24">
        <f>'数据-取费表'!B28</f>
        <v>200</v>
      </c>
      <c r="F20" s="977"/>
      <c r="G20" s="15"/>
      <c r="H20" s="982"/>
      <c r="I20" s="982"/>
      <c r="J20" s="982"/>
      <c r="K20" s="983"/>
    </row>
    <row r="21" spans="1:33" s="976" customFormat="1" ht="13.5" customHeight="1">
      <c r="A21" s="962" t="s">
        <v>801</v>
      </c>
      <c r="B21" s="986" t="s">
        <v>2450</v>
      </c>
      <c r="C21" s="987">
        <f ca="1">C16+C17+C18</f>
        <v>0</v>
      </c>
      <c r="D21" s="988"/>
      <c r="E21" s="325"/>
      <c r="F21" s="325"/>
      <c r="G21" s="140" t="s">
        <v>2451</v>
      </c>
      <c r="H21" s="980"/>
      <c r="I21" s="980"/>
      <c r="J21" s="980"/>
      <c r="K21" s="981"/>
    </row>
    <row r="22" spans="1:33" s="976" customFormat="1" ht="13.5" customHeight="1">
      <c r="A22" s="962" t="s">
        <v>2423</v>
      </c>
      <c r="B22" s="986" t="s">
        <v>2452</v>
      </c>
      <c r="C22" s="987">
        <f ca="1">ROUND(C21*F22,0)</f>
        <v>0</v>
      </c>
      <c r="D22" s="325"/>
      <c r="E22" s="325"/>
      <c r="F22" s="989">
        <f>'数据-取费表'!B37</f>
        <v>0.03</v>
      </c>
      <c r="G22" s="8" t="s">
        <v>2453</v>
      </c>
      <c r="H22" s="969"/>
      <c r="I22" s="969"/>
      <c r="J22" s="969"/>
      <c r="K22" s="970"/>
    </row>
    <row r="23" spans="1:33" s="976" customFormat="1" ht="13.5" customHeight="1">
      <c r="A23" s="962" t="s">
        <v>2425</v>
      </c>
      <c r="B23" s="986" t="s">
        <v>2454</v>
      </c>
      <c r="C23" s="987">
        <f ca="1">ROUND(C4*F23*F11,0)</f>
        <v>0</v>
      </c>
      <c r="D23" s="325"/>
      <c r="E23" s="325"/>
      <c r="F23" s="989">
        <f>'数据-取费表'!B38</f>
        <v>0.03</v>
      </c>
      <c r="G23" s="8" t="s">
        <v>2455</v>
      </c>
      <c r="H23" s="969"/>
      <c r="I23" s="969"/>
      <c r="J23" s="969"/>
      <c r="K23" s="970"/>
    </row>
    <row r="24" spans="1:33" s="976" customFormat="1" ht="13.5" customHeight="1">
      <c r="A24" s="962" t="s">
        <v>2456</v>
      </c>
      <c r="B24" s="986" t="s">
        <v>2457</v>
      </c>
      <c r="C24" s="324">
        <f>ROUND(F24/(1+'数据-取费表'!C42),4)</f>
        <v>2.9000000000000001E-2</v>
      </c>
      <c r="D24" s="325" t="s">
        <v>15</v>
      </c>
      <c r="E24" s="325"/>
      <c r="F24" s="989">
        <f>'数据-取费表'!B48+'数据-取费表'!B49</f>
        <v>3.0499999999999999E-2</v>
      </c>
      <c r="G24" s="8" t="s">
        <v>2458</v>
      </c>
      <c r="H24" s="991"/>
      <c r="I24" s="991"/>
      <c r="J24" s="991"/>
      <c r="K24" s="992"/>
    </row>
    <row r="25" spans="1:33" s="976" customFormat="1" ht="13.5" customHeight="1">
      <c r="A25" s="962" t="s">
        <v>2459</v>
      </c>
      <c r="B25" s="988" t="s">
        <v>2460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802</v>
      </c>
      <c r="B26" s="993" t="s">
        <v>2461</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803</v>
      </c>
      <c r="B27" s="993" t="s">
        <v>2462</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2463</v>
      </c>
      <c r="B28" s="2558" t="s">
        <v>2464</v>
      </c>
      <c r="C28" s="331">
        <f ca="1">C30</f>
        <v>0</v>
      </c>
      <c r="D28" s="324">
        <f ca="1">C29</f>
        <v>0</v>
      </c>
      <c r="E28" s="326" t="s">
        <v>15</v>
      </c>
      <c r="F28" s="332">
        <f ca="1">IF(C1="",'数据-取费表'!Q16,INDIRECT("'数据-取费表'!q"&amp;$K$1))</f>
        <v>0.3</v>
      </c>
      <c r="G28" s="990"/>
      <c r="H28" s="991"/>
      <c r="I28" s="991"/>
      <c r="J28" s="991"/>
      <c r="K28" s="992"/>
    </row>
    <row r="29" spans="1:33" s="335" customFormat="1" ht="13.5" customHeight="1">
      <c r="A29" s="972" t="s">
        <v>802</v>
      </c>
      <c r="B29" s="995" t="s">
        <v>2465</v>
      </c>
      <c r="C29" s="328">
        <f ca="1">ROUND((1+C24)*F28*'数据-取费表'!B24/'数据-取费表'!B20,4)</f>
        <v>0</v>
      </c>
      <c r="D29" s="328"/>
      <c r="E29" s="329"/>
      <c r="F29" s="334"/>
      <c r="G29" s="140" t="s">
        <v>2466</v>
      </c>
      <c r="H29" s="980"/>
      <c r="I29" s="980"/>
      <c r="J29" s="980"/>
      <c r="K29" s="981"/>
    </row>
    <row r="30" spans="1:33" s="335" customFormat="1" ht="13.5" customHeight="1">
      <c r="A30" s="972" t="s">
        <v>803</v>
      </c>
      <c r="B30" s="995" t="s">
        <v>2467</v>
      </c>
      <c r="C30" s="336">
        <f ca="1">ROUND((C21+C22+C23)*F28,0)</f>
        <v>0</v>
      </c>
      <c r="D30" s="328"/>
      <c r="E30" s="329"/>
      <c r="F30" s="334"/>
      <c r="G30" s="140"/>
      <c r="H30" s="980"/>
      <c r="I30" s="980"/>
      <c r="J30" s="980"/>
      <c r="K30" s="981"/>
    </row>
    <row r="31" spans="1:33" s="976" customFormat="1" ht="13.5" customHeight="1" thickBot="1">
      <c r="A31" s="2559" t="s">
        <v>2468</v>
      </c>
      <c r="B31" s="1006" t="s">
        <v>2469</v>
      </c>
      <c r="C31" s="1007">
        <f>ROUND(C4*F31/(1+'数据-取费表'!C42),0)</f>
        <v>0</v>
      </c>
      <c r="D31" s="1008"/>
      <c r="E31" s="1009"/>
      <c r="F31" s="1010">
        <f>'数据-取费表'!B41</f>
        <v>5.6000000000000001E-2</v>
      </c>
      <c r="G31" s="1011" t="s">
        <v>2470</v>
      </c>
      <c r="H31" s="1012"/>
      <c r="I31" s="1012"/>
      <c r="J31" s="1012"/>
      <c r="K31" s="1013"/>
    </row>
    <row r="32" spans="1:33" s="971" customFormat="1" ht="13.5" customHeight="1" thickBot="1">
      <c r="A32" s="1001" t="s">
        <v>2471</v>
      </c>
      <c r="B32" s="1002"/>
      <c r="C32" s="1003">
        <f ca="1">ROUND((C4-C21-C22-C23-C25-C28-C31)/(1+C24+D25+D28),0)</f>
        <v>0</v>
      </c>
      <c r="D32" s="1002"/>
      <c r="E32" s="1002"/>
      <c r="F32" s="1002"/>
      <c r="G32" s="1004" t="s">
        <v>2472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 zoomScale="90" zoomScaleNormal="90" workbookViewId="0">
      <selection activeCell="F2" sqref="F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668" t="s">
        <v>2640</v>
      </c>
      <c r="C1" s="1620" t="s">
        <v>2484</v>
      </c>
      <c r="D1" s="1621" t="s">
        <v>3033</v>
      </c>
      <c r="E1" s="1630"/>
      <c r="F1" s="2583" t="s">
        <v>3037</v>
      </c>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IF(C2="——",ROUND(C50*D3/10000,0),ROUND(C50*D3/10000,0)-D2)</f>
        <v>#DIV/0!</v>
      </c>
      <c r="C2" s="2585" t="s">
        <v>70</v>
      </c>
      <c r="D2" s="1366" t="e">
        <f ca="1">SUMIF(INDIRECT("'"&amp;F2&amp;"'"&amp;"!A:A"),"承租人权益价值",INDIRECT("'"&amp;F2&amp;"'"&amp;"!c:c"))</f>
        <v>#REF!</v>
      </c>
      <c r="E2" s="2586" t="s">
        <v>2282</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IF(C2="——",C50,ROUND(B2*10000/D3,0))</f>
        <v>#DIV/0!</v>
      </c>
      <c r="C3" s="400" t="s">
        <v>2598</v>
      </c>
      <c r="D3" s="399">
        <f>IF(D1="",'数据-汇总表'!E3,SUMIF('数据-汇总表'!$C19:$C33,D1,'数据-汇总表'!$E19:$E33))</f>
        <v>0</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2599</v>
      </c>
      <c r="B4" s="402"/>
      <c r="C4" s="3182" t="s">
        <v>2600</v>
      </c>
      <c r="D4" s="3183"/>
      <c r="E4" s="3184" t="s">
        <v>2601</v>
      </c>
      <c r="F4" s="3185"/>
      <c r="G4" s="3182" t="s">
        <v>2602</v>
      </c>
      <c r="H4" s="3183"/>
      <c r="I4" s="3182" t="s">
        <v>2603</v>
      </c>
      <c r="J4" s="3183"/>
      <c r="K4" s="610" t="s">
        <v>2604</v>
      </c>
      <c r="L4" s="1131"/>
      <c r="M4" s="1132"/>
      <c r="N4" s="1132"/>
      <c r="O4" s="1132"/>
      <c r="P4" s="3236" t="s">
        <v>2605</v>
      </c>
      <c r="Q4" s="3237"/>
      <c r="R4" s="3231" t="s">
        <v>2601</v>
      </c>
      <c r="S4" s="3232"/>
      <c r="T4" s="3231" t="s">
        <v>2602</v>
      </c>
      <c r="U4" s="3232"/>
      <c r="V4" s="3240" t="s">
        <v>2603</v>
      </c>
      <c r="W4" s="3240"/>
      <c r="X4" s="2669"/>
      <c r="Y4" s="3231" t="s">
        <v>2605</v>
      </c>
      <c r="Z4" s="3232"/>
      <c r="AA4" s="3230" t="s">
        <v>2601</v>
      </c>
      <c r="AB4" s="3230" t="s">
        <v>2602</v>
      </c>
      <c r="AC4" s="3233" t="s">
        <v>2603</v>
      </c>
    </row>
    <row r="5" spans="1:29" ht="15">
      <c r="A5" s="404"/>
      <c r="B5" s="405"/>
      <c r="C5" s="3178" t="s">
        <v>2496</v>
      </c>
      <c r="D5" s="3175"/>
      <c r="E5" s="3172" t="s">
        <v>2497</v>
      </c>
      <c r="F5" s="3173"/>
      <c r="G5" s="3178" t="s">
        <v>2498</v>
      </c>
      <c r="H5" s="3175"/>
      <c r="I5" s="3178" t="s">
        <v>2499</v>
      </c>
      <c r="J5" s="3175"/>
      <c r="K5" s="610"/>
      <c r="L5" s="1131"/>
      <c r="M5" s="1132"/>
      <c r="N5" s="1132"/>
      <c r="O5" s="1132"/>
      <c r="P5" s="3238"/>
      <c r="Q5" s="3189"/>
      <c r="R5" s="3170"/>
      <c r="S5" s="3171"/>
      <c r="T5" s="3170"/>
      <c r="U5" s="3171"/>
      <c r="V5" s="3194"/>
      <c r="W5" s="3194"/>
      <c r="X5" s="1813"/>
      <c r="Y5" s="3170"/>
      <c r="Z5" s="3171"/>
      <c r="AA5" s="3164"/>
      <c r="AB5" s="3164"/>
      <c r="AC5" s="3234"/>
    </row>
    <row r="6" spans="1:29" ht="15.75" thickBot="1">
      <c r="A6" s="406"/>
      <c r="B6" s="407"/>
      <c r="C6" s="3176" t="s">
        <v>2500</v>
      </c>
      <c r="D6" s="3177"/>
      <c r="E6" s="3179" t="s">
        <v>2500</v>
      </c>
      <c r="F6" s="3180"/>
      <c r="G6" s="3176" t="s">
        <v>2500</v>
      </c>
      <c r="H6" s="3177"/>
      <c r="I6" s="3176" t="s">
        <v>2500</v>
      </c>
      <c r="J6" s="3177"/>
      <c r="K6" s="610" t="s">
        <v>2501</v>
      </c>
      <c r="L6" s="1131"/>
      <c r="M6" s="1132"/>
      <c r="N6" s="1132"/>
      <c r="O6" s="1132"/>
      <c r="P6" s="3239"/>
      <c r="Q6" s="3191"/>
      <c r="R6" s="3170"/>
      <c r="S6" s="3171"/>
      <c r="T6" s="3192"/>
      <c r="U6" s="3193"/>
      <c r="V6" s="3194"/>
      <c r="W6" s="3194"/>
      <c r="X6" s="1813"/>
      <c r="Y6" s="3192"/>
      <c r="Z6" s="3193"/>
      <c r="AA6" s="3165"/>
      <c r="AB6" s="3165"/>
      <c r="AC6" s="3235"/>
    </row>
    <row r="7" spans="1:29" s="117" customFormat="1" ht="15.75" thickBot="1">
      <c r="A7" s="408" t="s">
        <v>2502</v>
      </c>
      <c r="B7" s="409"/>
      <c r="C7" s="410">
        <f>'数据-取费表'!B2</f>
        <v>43382</v>
      </c>
      <c r="D7" s="411">
        <v>100</v>
      </c>
      <c r="E7" s="412">
        <v>43344</v>
      </c>
      <c r="F7" s="413">
        <f>SUMIF(59:59,YEAR(E7)&amp;"-"&amp;MONTH(E7),60:60)</f>
        <v>0</v>
      </c>
      <c r="G7" s="412">
        <v>43344</v>
      </c>
      <c r="H7" s="411">
        <f>SUMIF(59:59,YEAR(G7)&amp;"-"&amp;MONTH(G7),60:60)</f>
        <v>0</v>
      </c>
      <c r="I7" s="412">
        <v>43344</v>
      </c>
      <c r="J7" s="411">
        <f>SUMIF(59:59,YEAR(I7)&amp;"-"&amp;MONTH(I7),60:60)</f>
        <v>0</v>
      </c>
      <c r="K7" s="611"/>
      <c r="L7" s="1133"/>
      <c r="M7" s="1134"/>
      <c r="N7" s="1134"/>
      <c r="O7" s="1134"/>
      <c r="P7" s="3241" t="s">
        <v>2503</v>
      </c>
      <c r="Q7" s="3195"/>
      <c r="R7" s="768" t="s">
        <v>17</v>
      </c>
      <c r="S7" s="769">
        <f t="shared" ref="S7:S15" si="0">F7</f>
        <v>0</v>
      </c>
      <c r="T7" s="768" t="s">
        <v>17</v>
      </c>
      <c r="U7" s="769">
        <f t="shared" ref="U7:U15" si="1">H7</f>
        <v>0</v>
      </c>
      <c r="V7" s="768" t="s">
        <v>17</v>
      </c>
      <c r="W7" s="769">
        <f t="shared" ref="W7:W15" si="2">J7</f>
        <v>0</v>
      </c>
      <c r="X7" s="770"/>
      <c r="Y7" s="3166" t="s">
        <v>2503</v>
      </c>
      <c r="Z7" s="3167"/>
      <c r="AA7" s="771" t="e">
        <f>D7/F7</f>
        <v>#DIV/0!</v>
      </c>
      <c r="AB7" s="771" t="e">
        <f>D7/H7</f>
        <v>#DIV/0!</v>
      </c>
      <c r="AC7" s="2670" t="e">
        <f>D7/J7</f>
        <v>#DIV/0!</v>
      </c>
    </row>
    <row r="8" spans="1:29" s="117" customFormat="1" ht="15.75" thickBot="1">
      <c r="A8" s="408" t="s">
        <v>2504</v>
      </c>
      <c r="B8" s="409"/>
      <c r="C8" s="414" t="s">
        <v>2606</v>
      </c>
      <c r="D8" s="411">
        <v>100</v>
      </c>
      <c r="E8" s="414" t="s">
        <v>2541</v>
      </c>
      <c r="F8" s="413">
        <f>SUMIF(62:62,E8,63:63)-SUMIF(62:62,C8,63:63)+100</f>
        <v>100</v>
      </c>
      <c r="G8" s="414" t="s">
        <v>2541</v>
      </c>
      <c r="H8" s="411">
        <f>SUMIF(62:62,G8,63:63)-SUMIF(62:62,C8,63:63)+100</f>
        <v>100</v>
      </c>
      <c r="I8" s="414" t="s">
        <v>2541</v>
      </c>
      <c r="J8" s="411">
        <f>SUMIF(62:62,I8,63:63)-SUMIF(62:62,C8,63:63)+100</f>
        <v>100</v>
      </c>
      <c r="K8" s="611"/>
      <c r="L8" s="1133"/>
      <c r="M8" s="1134"/>
      <c r="N8" s="1134"/>
      <c r="O8" s="1134"/>
      <c r="P8" s="3241" t="s">
        <v>2506</v>
      </c>
      <c r="Q8" s="3167"/>
      <c r="R8" s="768" t="s">
        <v>17</v>
      </c>
      <c r="S8" s="769">
        <f t="shared" si="0"/>
        <v>100</v>
      </c>
      <c r="T8" s="768" t="s">
        <v>17</v>
      </c>
      <c r="U8" s="769">
        <f t="shared" si="1"/>
        <v>100</v>
      </c>
      <c r="V8" s="768" t="s">
        <v>17</v>
      </c>
      <c r="W8" s="769">
        <f t="shared" si="2"/>
        <v>100</v>
      </c>
      <c r="X8" s="770"/>
      <c r="Y8" s="3166" t="s">
        <v>2506</v>
      </c>
      <c r="Z8" s="3167"/>
      <c r="AA8" s="771">
        <f t="shared" ref="AA8:AA47" si="3">D8/F8</f>
        <v>1</v>
      </c>
      <c r="AB8" s="771">
        <f t="shared" ref="AB8:AB47" si="4">D8/H8</f>
        <v>1</v>
      </c>
      <c r="AC8" s="2670">
        <f t="shared" ref="AC8:AC47" si="5">D8/J8</f>
        <v>1</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05" t="s">
        <v>2509</v>
      </c>
      <c r="Q9" s="1795" t="str">
        <f t="shared" ref="Q9:Q15" si="6">B9</f>
        <v>用途</v>
      </c>
      <c r="R9" s="768" t="s">
        <v>17</v>
      </c>
      <c r="S9" s="769">
        <f t="shared" si="0"/>
        <v>100</v>
      </c>
      <c r="T9" s="768" t="s">
        <v>17</v>
      </c>
      <c r="U9" s="769">
        <f t="shared" si="1"/>
        <v>100</v>
      </c>
      <c r="V9" s="768" t="s">
        <v>17</v>
      </c>
      <c r="W9" s="769">
        <f t="shared" si="2"/>
        <v>100</v>
      </c>
      <c r="X9" s="770"/>
      <c r="Y9" s="3043" t="s">
        <v>2510</v>
      </c>
      <c r="Z9" s="55" t="str">
        <f t="shared" ref="Z9:Z15" si="7">Q9</f>
        <v>用途</v>
      </c>
      <c r="AA9" s="771">
        <f t="shared" si="3"/>
        <v>1</v>
      </c>
      <c r="AB9" s="771">
        <f t="shared" si="4"/>
        <v>1</v>
      </c>
      <c r="AC9" s="2670">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05"/>
      <c r="Q10" s="1795"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2670">
        <f t="shared" si="5"/>
        <v>1</v>
      </c>
    </row>
    <row r="11" spans="1:29" ht="15">
      <c r="A11" s="428"/>
      <c r="B11" s="422" t="s">
        <v>2512</v>
      </c>
      <c r="C11" s="429" t="s">
        <v>3036</v>
      </c>
      <c r="D11" s="136">
        <v>100</v>
      </c>
      <c r="E11" s="429" t="s">
        <v>3036</v>
      </c>
      <c r="F11" s="136">
        <f>LOOKUP(E11,69:69,70:70)-LOOKUP(C11,69:69,70:70)+100</f>
        <v>100</v>
      </c>
      <c r="G11" s="430" t="s">
        <v>3036</v>
      </c>
      <c r="H11" s="136">
        <f>LOOKUP(G11,69:69,70:70)-LOOKUP(C11,69:69,70:70)+100</f>
        <v>100</v>
      </c>
      <c r="I11" s="429" t="s">
        <v>3036</v>
      </c>
      <c r="J11" s="136">
        <f>LOOKUP(I11,69:69,70:70)-LOOKUP(C11,69:69,70:70)+100</f>
        <v>100</v>
      </c>
      <c r="K11" s="612"/>
      <c r="L11" s="1139"/>
      <c r="M11" s="1132"/>
      <c r="N11" s="1132"/>
      <c r="O11" s="1132"/>
      <c r="P11" s="3205"/>
      <c r="Q11" s="1795" t="str">
        <f t="shared" si="6"/>
        <v>容积率</v>
      </c>
      <c r="R11" s="768" t="s">
        <v>17</v>
      </c>
      <c r="S11" s="769">
        <f t="shared" si="0"/>
        <v>100</v>
      </c>
      <c r="T11" s="768" t="s">
        <v>17</v>
      </c>
      <c r="U11" s="769">
        <f t="shared" si="1"/>
        <v>100</v>
      </c>
      <c r="V11" s="768" t="s">
        <v>17</v>
      </c>
      <c r="W11" s="769">
        <f t="shared" si="2"/>
        <v>100</v>
      </c>
      <c r="X11" s="770"/>
      <c r="Y11" s="3043"/>
      <c r="Z11" s="55" t="str">
        <f t="shared" si="7"/>
        <v>容积率</v>
      </c>
      <c r="AA11" s="771">
        <f t="shared" si="3"/>
        <v>1</v>
      </c>
      <c r="AB11" s="771">
        <f t="shared" si="4"/>
        <v>1</v>
      </c>
      <c r="AC11" s="2670">
        <f t="shared" si="5"/>
        <v>1</v>
      </c>
    </row>
    <row r="12" spans="1:29" s="117" customFormat="1" ht="15">
      <c r="A12" s="431"/>
      <c r="B12" s="2599"/>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205"/>
      <c r="Q12" s="1795">
        <f t="shared" si="6"/>
        <v>0</v>
      </c>
      <c r="R12" s="768" t="s">
        <v>17</v>
      </c>
      <c r="S12" s="769">
        <f t="shared" si="0"/>
        <v>100</v>
      </c>
      <c r="T12" s="768" t="s">
        <v>17</v>
      </c>
      <c r="U12" s="769">
        <f t="shared" si="1"/>
        <v>100</v>
      </c>
      <c r="V12" s="768" t="s">
        <v>17</v>
      </c>
      <c r="W12" s="769">
        <f t="shared" si="2"/>
        <v>100</v>
      </c>
      <c r="X12" s="770"/>
      <c r="Y12" s="3043"/>
      <c r="Z12" s="55">
        <f t="shared" si="7"/>
        <v>0</v>
      </c>
      <c r="AA12" s="771">
        <f>D12/F12</f>
        <v>1</v>
      </c>
      <c r="AB12" s="771">
        <f>D12/H12</f>
        <v>1</v>
      </c>
      <c r="AC12" s="2670">
        <f>D12/J12</f>
        <v>1</v>
      </c>
    </row>
    <row r="13" spans="1:29" ht="15">
      <c r="A13" s="428"/>
      <c r="B13" s="2599"/>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205"/>
      <c r="Q13" s="1795">
        <f t="shared" si="6"/>
        <v>0</v>
      </c>
      <c r="R13" s="768" t="s">
        <v>17</v>
      </c>
      <c r="S13" s="769">
        <f t="shared" si="0"/>
        <v>100</v>
      </c>
      <c r="T13" s="768" t="s">
        <v>17</v>
      </c>
      <c r="U13" s="769">
        <f t="shared" si="1"/>
        <v>100</v>
      </c>
      <c r="V13" s="768" t="s">
        <v>17</v>
      </c>
      <c r="W13" s="769">
        <f t="shared" si="2"/>
        <v>100</v>
      </c>
      <c r="X13" s="770"/>
      <c r="Y13" s="3043"/>
      <c r="Z13" s="55">
        <f t="shared" si="7"/>
        <v>0</v>
      </c>
      <c r="AA13" s="771">
        <f t="shared" si="3"/>
        <v>1</v>
      </c>
      <c r="AB13" s="771">
        <f t="shared" si="4"/>
        <v>1</v>
      </c>
      <c r="AC13" s="2670">
        <f t="shared" si="5"/>
        <v>1</v>
      </c>
    </row>
    <row r="14" spans="1:29" ht="15.75" thickBot="1">
      <c r="A14" s="436"/>
      <c r="B14" s="2601"/>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205"/>
      <c r="Q14" s="1795">
        <f t="shared" si="6"/>
        <v>0</v>
      </c>
      <c r="R14" s="768" t="s">
        <v>17</v>
      </c>
      <c r="S14" s="769">
        <f t="shared" si="0"/>
        <v>100</v>
      </c>
      <c r="T14" s="768" t="s">
        <v>17</v>
      </c>
      <c r="U14" s="769">
        <f t="shared" si="1"/>
        <v>100</v>
      </c>
      <c r="V14" s="768" t="s">
        <v>17</v>
      </c>
      <c r="W14" s="769">
        <f t="shared" si="2"/>
        <v>100</v>
      </c>
      <c r="X14" s="770"/>
      <c r="Y14" s="3043"/>
      <c r="Z14" s="55">
        <f t="shared" si="7"/>
        <v>0</v>
      </c>
      <c r="AA14" s="771">
        <f t="shared" si="3"/>
        <v>1</v>
      </c>
      <c r="AB14" s="771">
        <f t="shared" si="4"/>
        <v>1</v>
      </c>
      <c r="AC14" s="2670">
        <f t="shared" si="5"/>
        <v>1</v>
      </c>
    </row>
    <row r="15" spans="1:29" ht="15">
      <c r="A15" s="440" t="s">
        <v>2513</v>
      </c>
      <c r="B15" s="629" t="s">
        <v>2641</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42" t="s">
        <v>2514</v>
      </c>
      <c r="Q15" s="1810" t="str">
        <f t="shared" si="6"/>
        <v>办公集聚程度</v>
      </c>
      <c r="R15" s="772" t="s">
        <v>17</v>
      </c>
      <c r="S15" s="773">
        <f t="shared" si="0"/>
        <v>100</v>
      </c>
      <c r="T15" s="772" t="s">
        <v>17</v>
      </c>
      <c r="U15" s="773">
        <f t="shared" si="1"/>
        <v>100</v>
      </c>
      <c r="V15" s="772" t="s">
        <v>17</v>
      </c>
      <c r="W15" s="773">
        <f t="shared" si="2"/>
        <v>100</v>
      </c>
      <c r="X15" s="1813"/>
      <c r="Y15" s="3196" t="s">
        <v>2514</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1"/>
      <c r="M16" s="1132"/>
      <c r="N16" s="1132"/>
      <c r="O16" s="1132"/>
      <c r="P16" s="3243"/>
      <c r="Q16" s="1810"/>
      <c r="R16" s="772"/>
      <c r="S16" s="773"/>
      <c r="T16" s="772"/>
      <c r="U16" s="773"/>
      <c r="V16" s="772"/>
      <c r="W16" s="773"/>
      <c r="X16" s="1813"/>
      <c r="Y16" s="3197"/>
      <c r="Z16" s="1814"/>
      <c r="AA16" s="1811">
        <v>1</v>
      </c>
      <c r="AB16" s="1811">
        <v>1</v>
      </c>
      <c r="AC16" s="2673">
        <v>1</v>
      </c>
    </row>
    <row r="17" spans="1:29" ht="85.5">
      <c r="A17" s="428"/>
      <c r="B17" s="631" t="s">
        <v>2054</v>
      </c>
      <c r="C17" s="2674"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43"/>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1"/>
      <c r="M18" s="1132"/>
      <c r="N18" s="1132"/>
      <c r="O18" s="1132"/>
      <c r="P18" s="3243"/>
      <c r="Q18" s="1810"/>
      <c r="R18" s="772"/>
      <c r="S18" s="773"/>
      <c r="T18" s="772"/>
      <c r="U18" s="773"/>
      <c r="V18" s="772"/>
      <c r="W18" s="773"/>
      <c r="X18" s="1813"/>
      <c r="Y18" s="3197"/>
      <c r="Z18" s="1814"/>
      <c r="AA18" s="1811">
        <v>1</v>
      </c>
      <c r="AB18" s="1811">
        <v>1</v>
      </c>
      <c r="AC18" s="2673">
        <v>1</v>
      </c>
    </row>
    <row r="19" spans="1:29" ht="42.75">
      <c r="A19" s="428"/>
      <c r="B19" s="631" t="s">
        <v>2642</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43"/>
      <c r="Q19" s="1810" t="str">
        <f>B19</f>
        <v>公共配套设施</v>
      </c>
      <c r="R19" s="772" t="s">
        <v>17</v>
      </c>
      <c r="S19" s="773">
        <f>F19</f>
        <v>100</v>
      </c>
      <c r="T19" s="772" t="s">
        <v>17</v>
      </c>
      <c r="U19" s="773">
        <f>H19</f>
        <v>100</v>
      </c>
      <c r="V19" s="772" t="s">
        <v>17</v>
      </c>
      <c r="W19" s="773">
        <f>J19</f>
        <v>100</v>
      </c>
      <c r="X19" s="1813"/>
      <c r="Y19" s="319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1"/>
      <c r="M20" s="1132"/>
      <c r="N20" s="1132"/>
      <c r="O20" s="1132"/>
      <c r="P20" s="3243"/>
      <c r="Q20" s="1810"/>
      <c r="R20" s="772"/>
      <c r="S20" s="773"/>
      <c r="T20" s="772"/>
      <c r="U20" s="773"/>
      <c r="V20" s="772"/>
      <c r="W20" s="773"/>
      <c r="X20" s="1813"/>
      <c r="Y20" s="3197"/>
      <c r="Z20" s="1814"/>
      <c r="AA20" s="1811">
        <v>1</v>
      </c>
      <c r="AB20" s="1811">
        <v>1</v>
      </c>
      <c r="AC20" s="2673">
        <v>1</v>
      </c>
    </row>
    <row r="21" spans="1:29" ht="28.5">
      <c r="A21" s="428"/>
      <c r="B21" s="633" t="s">
        <v>2643</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43"/>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243"/>
      <c r="Q22" s="1810"/>
      <c r="R22" s="772"/>
      <c r="S22" s="773"/>
      <c r="T22" s="772"/>
      <c r="U22" s="773"/>
      <c r="V22" s="772"/>
      <c r="W22" s="773"/>
      <c r="X22" s="1813"/>
      <c r="Y22" s="3197"/>
      <c r="Z22" s="1814"/>
      <c r="AA22" s="1811">
        <v>1</v>
      </c>
      <c r="AB22" s="1811">
        <v>1</v>
      </c>
      <c r="AC22" s="2673">
        <v>1</v>
      </c>
    </row>
    <row r="23" spans="1:29" ht="42.75">
      <c r="A23" s="428"/>
      <c r="B23" s="631" t="s">
        <v>2644</v>
      </c>
      <c r="C23" s="2674" t="str">
        <f>估价对象房地状况!C9</f>
        <v>区域自然环境及人文环境较好；综合评价环境状况较好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43"/>
      <c r="Q23" s="1810" t="str">
        <f>B23</f>
        <v>环境质量</v>
      </c>
      <c r="R23" s="772" t="s">
        <v>17</v>
      </c>
      <c r="S23" s="773">
        <f>F23</f>
        <v>100</v>
      </c>
      <c r="T23" s="772" t="s">
        <v>17</v>
      </c>
      <c r="U23" s="773">
        <f>H23</f>
        <v>100</v>
      </c>
      <c r="V23" s="772" t="s">
        <v>17</v>
      </c>
      <c r="W23" s="773">
        <f>J23</f>
        <v>100</v>
      </c>
      <c r="X23" s="1813"/>
      <c r="Y23" s="319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1"/>
      <c r="M24" s="1132"/>
      <c r="N24" s="1132"/>
      <c r="O24" s="1132"/>
      <c r="P24" s="3243"/>
      <c r="Q24" s="1810"/>
      <c r="R24" s="772"/>
      <c r="S24" s="773"/>
      <c r="T24" s="772"/>
      <c r="U24" s="773"/>
      <c r="V24" s="772"/>
      <c r="W24" s="773"/>
      <c r="X24" s="1813"/>
      <c r="Y24" s="3197"/>
      <c r="Z24" s="1814"/>
      <c r="AA24" s="1811">
        <v>1</v>
      </c>
      <c r="AB24" s="1811">
        <v>1</v>
      </c>
      <c r="AC24" s="2673">
        <v>1</v>
      </c>
    </row>
    <row r="25" spans="1:29" ht="27">
      <c r="A25" s="404"/>
      <c r="B25" s="631" t="s">
        <v>2645</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243"/>
      <c r="Q25" s="1810" t="str">
        <f>B25</f>
        <v>毗邻道路的类型与等级</v>
      </c>
      <c r="R25" s="772" t="s">
        <v>17</v>
      </c>
      <c r="S25" s="773">
        <f>F25</f>
        <v>100</v>
      </c>
      <c r="T25" s="772" t="s">
        <v>17</v>
      </c>
      <c r="U25" s="773">
        <f>H25</f>
        <v>100</v>
      </c>
      <c r="V25" s="772" t="s">
        <v>17</v>
      </c>
      <c r="W25" s="773">
        <f>J25</f>
        <v>100</v>
      </c>
      <c r="X25" s="1813"/>
      <c r="Y25" s="319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1"/>
      <c r="M26" s="1132"/>
      <c r="N26" s="1132"/>
      <c r="O26" s="1132"/>
      <c r="P26" s="3243"/>
      <c r="Q26" s="1810"/>
      <c r="R26" s="772"/>
      <c r="S26" s="773"/>
      <c r="T26" s="772"/>
      <c r="U26" s="773"/>
      <c r="V26" s="772"/>
      <c r="W26" s="773"/>
      <c r="X26" s="1813"/>
      <c r="Y26" s="3197"/>
      <c r="Z26" s="1814"/>
      <c r="AA26" s="1811">
        <v>1</v>
      </c>
      <c r="AB26" s="1811">
        <v>1</v>
      </c>
      <c r="AC26" s="2673">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43"/>
      <c r="Q27" s="1810" t="str">
        <f t="shared" ref="Q27:Q47" si="11">B27</f>
        <v>楼层</v>
      </c>
      <c r="R27" s="772" t="s">
        <v>17</v>
      </c>
      <c r="S27" s="773">
        <f>F27</f>
        <v>100</v>
      </c>
      <c r="T27" s="772" t="s">
        <v>17</v>
      </c>
      <c r="U27" s="773">
        <f>H27</f>
        <v>100</v>
      </c>
      <c r="V27" s="772" t="s">
        <v>17</v>
      </c>
      <c r="W27" s="773">
        <f>J27</f>
        <v>100</v>
      </c>
      <c r="X27" s="1813"/>
      <c r="Y27" s="3197"/>
      <c r="Z27" s="1814" t="str">
        <f>Q27</f>
        <v>楼层</v>
      </c>
      <c r="AA27" s="1811">
        <f t="shared" si="3"/>
        <v>1</v>
      </c>
      <c r="AB27" s="1811">
        <f t="shared" si="4"/>
        <v>1</v>
      </c>
      <c r="AC27" s="2673">
        <f t="shared" si="5"/>
        <v>1</v>
      </c>
    </row>
    <row r="28" spans="1:29" s="117" customFormat="1" ht="15">
      <c r="A28" s="431"/>
      <c r="B28" s="631" t="s">
        <v>2646</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243"/>
      <c r="Q28" s="1795" t="str">
        <f t="shared" si="11"/>
        <v>朝向</v>
      </c>
      <c r="R28" s="768" t="s">
        <v>17</v>
      </c>
      <c r="S28" s="769">
        <f>F28</f>
        <v>100</v>
      </c>
      <c r="T28" s="768" t="s">
        <v>17</v>
      </c>
      <c r="U28" s="769">
        <f>H28</f>
        <v>100</v>
      </c>
      <c r="V28" s="768" t="s">
        <v>17</v>
      </c>
      <c r="W28" s="769">
        <f>J28</f>
        <v>100</v>
      </c>
      <c r="X28" s="770"/>
      <c r="Y28" s="3197"/>
      <c r="Z28" s="55" t="str">
        <f>Q28</f>
        <v>朝向</v>
      </c>
      <c r="AA28" s="1811">
        <f>D28/F28</f>
        <v>1</v>
      </c>
      <c r="AB28" s="1811">
        <f>D28/H28</f>
        <v>1</v>
      </c>
      <c r="AC28" s="2673">
        <f>D28/J28</f>
        <v>1</v>
      </c>
    </row>
    <row r="29" spans="1:29" ht="15">
      <c r="A29" s="428"/>
      <c r="B29" s="2677"/>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243"/>
      <c r="Q29" s="1810">
        <f t="shared" si="11"/>
        <v>0</v>
      </c>
      <c r="R29" s="772" t="s">
        <v>17</v>
      </c>
      <c r="S29" s="773">
        <f t="shared" ref="S29:S47" si="12">F29</f>
        <v>100</v>
      </c>
      <c r="T29" s="772" t="s">
        <v>17</v>
      </c>
      <c r="U29" s="773">
        <f t="shared" ref="U29:U47" si="13">H29</f>
        <v>100</v>
      </c>
      <c r="V29" s="772" t="s">
        <v>17</v>
      </c>
      <c r="W29" s="773">
        <f t="shared" ref="W29:W47" si="14">J29</f>
        <v>100</v>
      </c>
      <c r="X29" s="1813"/>
      <c r="Y29" s="3197"/>
      <c r="Z29" s="1814">
        <f t="shared" ref="Z29:Z47" si="15">Q29</f>
        <v>0</v>
      </c>
      <c r="AA29" s="1811">
        <f t="shared" si="3"/>
        <v>1</v>
      </c>
      <c r="AB29" s="1811">
        <f t="shared" si="4"/>
        <v>1</v>
      </c>
      <c r="AC29" s="2673">
        <f t="shared" si="5"/>
        <v>1</v>
      </c>
    </row>
    <row r="30" spans="1:29" ht="15">
      <c r="A30" s="428"/>
      <c r="B30" s="2677"/>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243"/>
      <c r="Q30" s="1810">
        <f t="shared" si="11"/>
        <v>0</v>
      </c>
      <c r="R30" s="772" t="s">
        <v>17</v>
      </c>
      <c r="S30" s="773">
        <f t="shared" si="12"/>
        <v>100</v>
      </c>
      <c r="T30" s="772" t="s">
        <v>17</v>
      </c>
      <c r="U30" s="773">
        <f t="shared" si="13"/>
        <v>100</v>
      </c>
      <c r="V30" s="772" t="s">
        <v>17</v>
      </c>
      <c r="W30" s="773">
        <f t="shared" si="14"/>
        <v>100</v>
      </c>
      <c r="X30" s="1813"/>
      <c r="Y30" s="3197"/>
      <c r="Z30" s="1814">
        <f t="shared" si="15"/>
        <v>0</v>
      </c>
      <c r="AA30" s="1811">
        <f t="shared" si="3"/>
        <v>1</v>
      </c>
      <c r="AB30" s="1811">
        <f t="shared" si="4"/>
        <v>1</v>
      </c>
      <c r="AC30" s="2673">
        <f t="shared" si="5"/>
        <v>1</v>
      </c>
    </row>
    <row r="31" spans="1:29" ht="15">
      <c r="A31" s="428"/>
      <c r="B31" s="2677"/>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243"/>
      <c r="Q31" s="1810">
        <f t="shared" si="11"/>
        <v>0</v>
      </c>
      <c r="R31" s="772" t="s">
        <v>17</v>
      </c>
      <c r="S31" s="773">
        <f t="shared" si="12"/>
        <v>100</v>
      </c>
      <c r="T31" s="772" t="s">
        <v>17</v>
      </c>
      <c r="U31" s="773">
        <f t="shared" si="13"/>
        <v>100</v>
      </c>
      <c r="V31" s="772" t="s">
        <v>17</v>
      </c>
      <c r="W31" s="773">
        <f t="shared" si="14"/>
        <v>100</v>
      </c>
      <c r="X31" s="1813"/>
      <c r="Y31" s="3197"/>
      <c r="Z31" s="1814">
        <f t="shared" si="15"/>
        <v>0</v>
      </c>
      <c r="AA31" s="1811">
        <f t="shared" si="3"/>
        <v>1</v>
      </c>
      <c r="AB31" s="1811">
        <f t="shared" si="4"/>
        <v>1</v>
      </c>
      <c r="AC31" s="2673">
        <f t="shared" si="5"/>
        <v>1</v>
      </c>
    </row>
    <row r="32" spans="1:29" ht="15.75" thickBot="1">
      <c r="A32" s="436"/>
      <c r="B32" s="635"/>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243"/>
      <c r="Q32" s="1810">
        <f t="shared" si="11"/>
        <v>0</v>
      </c>
      <c r="R32" s="772" t="s">
        <v>17</v>
      </c>
      <c r="S32" s="773">
        <f t="shared" si="12"/>
        <v>100</v>
      </c>
      <c r="T32" s="772" t="s">
        <v>17</v>
      </c>
      <c r="U32" s="773">
        <f t="shared" si="13"/>
        <v>100</v>
      </c>
      <c r="V32" s="772" t="s">
        <v>17</v>
      </c>
      <c r="W32" s="773">
        <f t="shared" si="14"/>
        <v>100</v>
      </c>
      <c r="X32" s="1813"/>
      <c r="Y32" s="3197"/>
      <c r="Z32" s="1814">
        <f t="shared" si="15"/>
        <v>0</v>
      </c>
      <c r="AA32" s="1811">
        <f t="shared" si="3"/>
        <v>1</v>
      </c>
      <c r="AB32" s="1811">
        <f t="shared" si="4"/>
        <v>1</v>
      </c>
      <c r="AC32" s="2673">
        <f t="shared" si="5"/>
        <v>1</v>
      </c>
    </row>
    <row r="33" spans="1:29" ht="15">
      <c r="A33" s="440" t="s">
        <v>2517</v>
      </c>
      <c r="B33" s="71" t="s">
        <v>2647</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244" t="s">
        <v>2519</v>
      </c>
      <c r="Q33" s="1810" t="str">
        <f t="shared" si="11"/>
        <v>建筑类型</v>
      </c>
      <c r="R33" s="772" t="s">
        <v>17</v>
      </c>
      <c r="S33" s="773">
        <f t="shared" si="12"/>
        <v>100</v>
      </c>
      <c r="T33" s="772" t="s">
        <v>17</v>
      </c>
      <c r="U33" s="773">
        <f t="shared" si="13"/>
        <v>100</v>
      </c>
      <c r="V33" s="772" t="s">
        <v>17</v>
      </c>
      <c r="W33" s="773">
        <f t="shared" si="14"/>
        <v>100</v>
      </c>
      <c r="X33" s="1813"/>
      <c r="Y33" s="3199" t="s">
        <v>2519</v>
      </c>
      <c r="Z33" s="1814" t="str">
        <f t="shared" si="15"/>
        <v>建筑类型</v>
      </c>
      <c r="AA33" s="1811">
        <f t="shared" si="3"/>
        <v>1</v>
      </c>
      <c r="AB33" s="1811">
        <f t="shared" si="4"/>
        <v>1</v>
      </c>
      <c r="AC33" s="2673">
        <f t="shared" si="5"/>
        <v>1</v>
      </c>
    </row>
    <row r="34" spans="1:29" s="471" customFormat="1" ht="15">
      <c r="A34" s="468"/>
      <c r="B34" s="422" t="s">
        <v>2520</v>
      </c>
      <c r="C34" s="469" t="s">
        <v>3036</v>
      </c>
      <c r="D34" s="136">
        <v>100</v>
      </c>
      <c r="E34" s="430" t="s">
        <v>3036</v>
      </c>
      <c r="F34" s="425">
        <f>LOOKUP(E34,104:104,105:105)-LOOKUP(C34,104:104,105:105)+100</f>
        <v>100</v>
      </c>
      <c r="G34" s="429" t="s">
        <v>3036</v>
      </c>
      <c r="H34" s="136">
        <f>LOOKUP(G34,104:104,105:105)-LOOKUP(C34,104:104,105:105)+100</f>
        <v>100</v>
      </c>
      <c r="I34" s="429" t="s">
        <v>3036</v>
      </c>
      <c r="J34" s="136">
        <f>LOOKUP(I34,104:104,105:105)-LOOKUP(C34,104:104,105:105)+100</f>
        <v>100</v>
      </c>
      <c r="K34" s="613"/>
      <c r="L34" s="1139"/>
      <c r="M34" s="1142"/>
      <c r="N34" s="1142"/>
      <c r="O34" s="1142"/>
      <c r="P34" s="3245"/>
      <c r="Q34" s="774" t="str">
        <f t="shared" si="11"/>
        <v>项目建筑规模</v>
      </c>
      <c r="R34" s="775" t="s">
        <v>17</v>
      </c>
      <c r="S34" s="776">
        <f t="shared" si="12"/>
        <v>100</v>
      </c>
      <c r="T34" s="775" t="s">
        <v>17</v>
      </c>
      <c r="U34" s="776">
        <f t="shared" si="13"/>
        <v>100</v>
      </c>
      <c r="V34" s="775" t="s">
        <v>17</v>
      </c>
      <c r="W34" s="776">
        <f t="shared" si="14"/>
        <v>100</v>
      </c>
      <c r="X34" s="777"/>
      <c r="Y34" s="3199"/>
      <c r="Z34" s="778" t="str">
        <f t="shared" si="15"/>
        <v>项目建筑规模</v>
      </c>
      <c r="AA34" s="1811">
        <f t="shared" si="3"/>
        <v>1</v>
      </c>
      <c r="AB34" s="1811">
        <f t="shared" si="4"/>
        <v>1</v>
      </c>
      <c r="AC34" s="2673">
        <f t="shared" si="5"/>
        <v>1</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45"/>
      <c r="Q35" s="1810" t="str">
        <f t="shared" si="11"/>
        <v>建筑结构</v>
      </c>
      <c r="R35" s="772" t="s">
        <v>17</v>
      </c>
      <c r="S35" s="773">
        <f t="shared" si="12"/>
        <v>100</v>
      </c>
      <c r="T35" s="772" t="s">
        <v>17</v>
      </c>
      <c r="U35" s="773">
        <f t="shared" si="13"/>
        <v>100</v>
      </c>
      <c r="V35" s="772" t="s">
        <v>17</v>
      </c>
      <c r="W35" s="773">
        <f t="shared" si="14"/>
        <v>100</v>
      </c>
      <c r="X35" s="1813"/>
      <c r="Y35" s="3199"/>
      <c r="Z35" s="1814" t="str">
        <f t="shared" si="15"/>
        <v>建筑结构</v>
      </c>
      <c r="AA35" s="1811">
        <f t="shared" si="3"/>
        <v>1</v>
      </c>
      <c r="AB35" s="1811">
        <f t="shared" si="4"/>
        <v>1</v>
      </c>
      <c r="AC35" s="2673">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45"/>
      <c r="Q36" s="1810" t="str">
        <f t="shared" si="11"/>
        <v>公共部分装修</v>
      </c>
      <c r="R36" s="772" t="s">
        <v>17</v>
      </c>
      <c r="S36" s="773">
        <f t="shared" si="12"/>
        <v>100</v>
      </c>
      <c r="T36" s="772" t="s">
        <v>17</v>
      </c>
      <c r="U36" s="773">
        <f t="shared" si="13"/>
        <v>100</v>
      </c>
      <c r="V36" s="772" t="s">
        <v>17</v>
      </c>
      <c r="W36" s="773">
        <f t="shared" si="14"/>
        <v>100</v>
      </c>
      <c r="X36" s="1813"/>
      <c r="Y36" s="3199"/>
      <c r="Z36" s="1814" t="str">
        <f t="shared" si="15"/>
        <v>公共部分装修</v>
      </c>
      <c r="AA36" s="1811">
        <f t="shared" si="3"/>
        <v>1</v>
      </c>
      <c r="AB36" s="1811">
        <f t="shared" si="4"/>
        <v>1</v>
      </c>
      <c r="AC36" s="2673">
        <f t="shared" si="5"/>
        <v>1</v>
      </c>
    </row>
    <row r="37" spans="1:29" ht="15">
      <c r="A37" s="472"/>
      <c r="B37" s="422" t="s">
        <v>2616</v>
      </c>
      <c r="C37" s="474">
        <f>'数据-取费表'!N6</f>
        <v>0.7</v>
      </c>
      <c r="D37" s="435">
        <v>100</v>
      </c>
      <c r="E37" s="474">
        <f>C37</f>
        <v>0.7</v>
      </c>
      <c r="F37" s="461">
        <f>LOOKUP(E37,111:111,112:112)-LOOKUP(C37,111:111,112:112)+100</f>
        <v>100</v>
      </c>
      <c r="G37" s="474">
        <f>C37</f>
        <v>0.7</v>
      </c>
      <c r="H37" s="461">
        <f>LOOKUP(G37,111:111,112:112)-LOOKUP(C37,111:111,112:112)+100</f>
        <v>100</v>
      </c>
      <c r="I37" s="474">
        <f>C37</f>
        <v>0.7</v>
      </c>
      <c r="J37" s="435">
        <f>LOOKUP(I37,111:111,112:112)-LOOKUP(C37,111:111,112:112)+100</f>
        <v>100</v>
      </c>
      <c r="K37" s="612"/>
      <c r="L37" s="1141"/>
      <c r="M37" s="1132"/>
      <c r="N37" s="1132"/>
      <c r="O37" s="1132"/>
      <c r="P37" s="3245"/>
      <c r="Q37" s="1810" t="str">
        <f t="shared" si="11"/>
        <v>成新度</v>
      </c>
      <c r="R37" s="772" t="s">
        <v>17</v>
      </c>
      <c r="S37" s="773">
        <f t="shared" si="12"/>
        <v>100</v>
      </c>
      <c r="T37" s="772" t="s">
        <v>17</v>
      </c>
      <c r="U37" s="773">
        <f t="shared" si="13"/>
        <v>100</v>
      </c>
      <c r="V37" s="772" t="s">
        <v>17</v>
      </c>
      <c r="W37" s="773">
        <f t="shared" si="14"/>
        <v>100</v>
      </c>
      <c r="X37" s="1813"/>
      <c r="Y37" s="3199"/>
      <c r="Z37" s="1814" t="str">
        <f t="shared" si="15"/>
        <v>成新度</v>
      </c>
      <c r="AA37" s="1811">
        <f t="shared" si="3"/>
        <v>1</v>
      </c>
      <c r="AB37" s="1811">
        <f t="shared" si="4"/>
        <v>1</v>
      </c>
      <c r="AC37" s="2673">
        <f t="shared" si="5"/>
        <v>1</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45"/>
      <c r="Q38" s="1795" t="str">
        <f t="shared" si="11"/>
        <v>写字楼等级</v>
      </c>
      <c r="R38" s="768" t="s">
        <v>17</v>
      </c>
      <c r="S38" s="769">
        <f t="shared" si="12"/>
        <v>100</v>
      </c>
      <c r="T38" s="768" t="s">
        <v>17</v>
      </c>
      <c r="U38" s="769">
        <f t="shared" si="13"/>
        <v>100</v>
      </c>
      <c r="V38" s="768" t="s">
        <v>17</v>
      </c>
      <c r="W38" s="769">
        <f t="shared" si="14"/>
        <v>100</v>
      </c>
      <c r="X38" s="770"/>
      <c r="Y38" s="3199"/>
      <c r="Z38" s="55" t="str">
        <f t="shared" si="15"/>
        <v>写字楼等级</v>
      </c>
      <c r="AA38" s="771">
        <f t="shared" si="3"/>
        <v>1</v>
      </c>
      <c r="AB38" s="771">
        <f t="shared" si="4"/>
        <v>1</v>
      </c>
      <c r="AC38" s="2670">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45" t="s">
        <v>2519</v>
      </c>
      <c r="Q39" s="1810" t="str">
        <f t="shared" si="11"/>
        <v>物业管理</v>
      </c>
      <c r="R39" s="772" t="s">
        <v>17</v>
      </c>
      <c r="S39" s="773">
        <f t="shared" si="12"/>
        <v>100</v>
      </c>
      <c r="T39" s="772" t="s">
        <v>17</v>
      </c>
      <c r="U39" s="773">
        <f t="shared" si="13"/>
        <v>100</v>
      </c>
      <c r="V39" s="772" t="s">
        <v>17</v>
      </c>
      <c r="W39" s="773">
        <f t="shared" si="14"/>
        <v>100</v>
      </c>
      <c r="X39" s="1813"/>
      <c r="Y39" s="3199" t="s">
        <v>2519</v>
      </c>
      <c r="Z39" s="1814" t="str">
        <f t="shared" si="15"/>
        <v>物业管理</v>
      </c>
      <c r="AA39" s="1811">
        <f t="shared" si="3"/>
        <v>1</v>
      </c>
      <c r="AB39" s="1811">
        <f t="shared" si="4"/>
        <v>1</v>
      </c>
      <c r="AC39" s="2673">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45"/>
      <c r="Q40" s="1810" t="str">
        <f t="shared" si="11"/>
        <v>市政基础设施</v>
      </c>
      <c r="R40" s="772" t="s">
        <v>17</v>
      </c>
      <c r="S40" s="773">
        <f t="shared" si="12"/>
        <v>100</v>
      </c>
      <c r="T40" s="772" t="s">
        <v>17</v>
      </c>
      <c r="U40" s="773">
        <f t="shared" si="13"/>
        <v>100</v>
      </c>
      <c r="V40" s="772" t="s">
        <v>17</v>
      </c>
      <c r="W40" s="773">
        <f t="shared" si="14"/>
        <v>100</v>
      </c>
      <c r="X40" s="1813"/>
      <c r="Y40" s="3199"/>
      <c r="Z40" s="1814" t="str">
        <f t="shared" si="15"/>
        <v>市政基础设施</v>
      </c>
      <c r="AA40" s="1811">
        <f t="shared" si="3"/>
        <v>1</v>
      </c>
      <c r="AB40" s="1811">
        <f t="shared" si="4"/>
        <v>1</v>
      </c>
      <c r="AC40" s="2673">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45"/>
      <c r="Q41" s="1810" t="str">
        <f t="shared" si="11"/>
        <v>层高</v>
      </c>
      <c r="R41" s="772" t="s">
        <v>17</v>
      </c>
      <c r="S41" s="773">
        <f t="shared" si="12"/>
        <v>100</v>
      </c>
      <c r="T41" s="772" t="s">
        <v>17</v>
      </c>
      <c r="U41" s="773">
        <f t="shared" si="13"/>
        <v>100</v>
      </c>
      <c r="V41" s="772" t="s">
        <v>17</v>
      </c>
      <c r="W41" s="773">
        <f t="shared" si="14"/>
        <v>100</v>
      </c>
      <c r="X41" s="1813"/>
      <c r="Y41" s="3199"/>
      <c r="Z41" s="1814" t="str">
        <f t="shared" si="15"/>
        <v>层高</v>
      </c>
      <c r="AA41" s="1811">
        <f t="shared" si="3"/>
        <v>1</v>
      </c>
      <c r="AB41" s="1811">
        <f t="shared" si="4"/>
        <v>1</v>
      </c>
      <c r="AC41" s="2673">
        <f t="shared" si="5"/>
        <v>1</v>
      </c>
    </row>
    <row r="42" spans="1:29" s="471" customFormat="1" ht="15">
      <c r="A42" s="468"/>
      <c r="B42" s="1812"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45"/>
      <c r="Q42" s="774" t="str">
        <f t="shared" si="11"/>
        <v>单套建筑面积</v>
      </c>
      <c r="R42" s="775" t="s">
        <v>17</v>
      </c>
      <c r="S42" s="776">
        <f t="shared" si="12"/>
        <v>100</v>
      </c>
      <c r="T42" s="775" t="s">
        <v>17</v>
      </c>
      <c r="U42" s="776">
        <f t="shared" si="13"/>
        <v>100</v>
      </c>
      <c r="V42" s="775" t="s">
        <v>17</v>
      </c>
      <c r="W42" s="776">
        <f t="shared" si="14"/>
        <v>100</v>
      </c>
      <c r="X42" s="777"/>
      <c r="Y42" s="3199"/>
      <c r="Z42" s="778" t="str">
        <f t="shared" si="15"/>
        <v>单套建筑面积</v>
      </c>
      <c r="AA42" s="1811">
        <f t="shared" si="3"/>
        <v>1</v>
      </c>
      <c r="AB42" s="1811">
        <f t="shared" si="4"/>
        <v>1</v>
      </c>
      <c r="AC42" s="2673">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45"/>
      <c r="Q43" s="1810" t="str">
        <f t="shared" si="11"/>
        <v>内部装修</v>
      </c>
      <c r="R43" s="772" t="s">
        <v>17</v>
      </c>
      <c r="S43" s="773">
        <f t="shared" si="12"/>
        <v>100</v>
      </c>
      <c r="T43" s="772" t="s">
        <v>17</v>
      </c>
      <c r="U43" s="773">
        <f t="shared" si="13"/>
        <v>100</v>
      </c>
      <c r="V43" s="772" t="s">
        <v>17</v>
      </c>
      <c r="W43" s="773">
        <f t="shared" si="14"/>
        <v>100</v>
      </c>
      <c r="X43" s="1813"/>
      <c r="Y43" s="3199"/>
      <c r="Z43" s="1814" t="str">
        <f t="shared" si="15"/>
        <v>内部装修</v>
      </c>
      <c r="AA43" s="1811">
        <f t="shared" si="3"/>
        <v>1</v>
      </c>
      <c r="AB43" s="1811">
        <f t="shared" si="4"/>
        <v>1</v>
      </c>
      <c r="AC43" s="2673">
        <f t="shared" si="5"/>
        <v>1</v>
      </c>
    </row>
    <row r="44" spans="1:29" ht="15">
      <c r="A44" s="472"/>
      <c r="B44" s="422" t="s">
        <v>2530</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245"/>
      <c r="Q44" s="1810" t="str">
        <f t="shared" si="11"/>
        <v>内部装修维护情况</v>
      </c>
      <c r="R44" s="772" t="s">
        <v>17</v>
      </c>
      <c r="S44" s="773">
        <f t="shared" si="12"/>
        <v>100</v>
      </c>
      <c r="T44" s="772" t="s">
        <v>17</v>
      </c>
      <c r="U44" s="773">
        <f t="shared" si="13"/>
        <v>100</v>
      </c>
      <c r="V44" s="772" t="s">
        <v>17</v>
      </c>
      <c r="W44" s="773">
        <f t="shared" si="14"/>
        <v>100</v>
      </c>
      <c r="X44" s="1813"/>
      <c r="Y44" s="3199"/>
      <c r="Z44" s="1814" t="str">
        <f t="shared" si="15"/>
        <v>内部装修维护情况</v>
      </c>
      <c r="AA44" s="1811">
        <f t="shared" si="3"/>
        <v>1</v>
      </c>
      <c r="AB44" s="1811">
        <f t="shared" si="4"/>
        <v>1</v>
      </c>
      <c r="AC44" s="2673">
        <f t="shared" si="5"/>
        <v>1</v>
      </c>
    </row>
    <row r="45" spans="1:29" s="117" customFormat="1" ht="15">
      <c r="A45" s="473"/>
      <c r="B45" s="1387"/>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45"/>
      <c r="Q45" s="1795">
        <f t="shared" si="11"/>
        <v>0</v>
      </c>
      <c r="R45" s="768" t="s">
        <v>17</v>
      </c>
      <c r="S45" s="769">
        <f t="shared" si="12"/>
        <v>100</v>
      </c>
      <c r="T45" s="768" t="s">
        <v>17</v>
      </c>
      <c r="U45" s="769">
        <f t="shared" si="13"/>
        <v>100</v>
      </c>
      <c r="V45" s="768" t="s">
        <v>17</v>
      </c>
      <c r="W45" s="769">
        <f t="shared" si="14"/>
        <v>100</v>
      </c>
      <c r="X45" s="770"/>
      <c r="Y45" s="3199"/>
      <c r="Z45" s="55">
        <f t="shared" si="15"/>
        <v>0</v>
      </c>
      <c r="AA45" s="771">
        <f t="shared" si="3"/>
        <v>1</v>
      </c>
      <c r="AB45" s="771">
        <f t="shared" si="4"/>
        <v>1</v>
      </c>
      <c r="AC45" s="2670">
        <f t="shared" si="5"/>
        <v>1</v>
      </c>
    </row>
    <row r="46" spans="1:29" ht="15">
      <c r="A46" s="472"/>
      <c r="B46" s="1387"/>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45"/>
      <c r="Q46" s="1810">
        <f t="shared" si="11"/>
        <v>0</v>
      </c>
      <c r="R46" s="772" t="s">
        <v>17</v>
      </c>
      <c r="S46" s="773">
        <f t="shared" si="12"/>
        <v>100</v>
      </c>
      <c r="T46" s="772" t="s">
        <v>17</v>
      </c>
      <c r="U46" s="773">
        <f t="shared" si="13"/>
        <v>100</v>
      </c>
      <c r="V46" s="772" t="s">
        <v>17</v>
      </c>
      <c r="W46" s="773">
        <f t="shared" si="14"/>
        <v>100</v>
      </c>
      <c r="X46" s="1813"/>
      <c r="Y46" s="3199"/>
      <c r="Z46" s="1814">
        <f t="shared" si="15"/>
        <v>0</v>
      </c>
      <c r="AA46" s="1811">
        <f t="shared" si="3"/>
        <v>1</v>
      </c>
      <c r="AB46" s="1811">
        <f t="shared" si="4"/>
        <v>1</v>
      </c>
      <c r="AC46" s="2673">
        <f t="shared" si="5"/>
        <v>1</v>
      </c>
    </row>
    <row r="47" spans="1:29" ht="15.75" thickBot="1">
      <c r="A47" s="478"/>
      <c r="B47" s="2601"/>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46"/>
      <c r="Q47" s="1810">
        <f t="shared" si="11"/>
        <v>0</v>
      </c>
      <c r="R47" s="772" t="s">
        <v>17</v>
      </c>
      <c r="S47" s="773">
        <f t="shared" si="12"/>
        <v>100</v>
      </c>
      <c r="T47" s="772" t="s">
        <v>17</v>
      </c>
      <c r="U47" s="773">
        <f t="shared" si="13"/>
        <v>100</v>
      </c>
      <c r="V47" s="772" t="s">
        <v>17</v>
      </c>
      <c r="W47" s="773">
        <f t="shared" si="14"/>
        <v>100</v>
      </c>
      <c r="X47" s="1813"/>
      <c r="Y47" s="3247"/>
      <c r="Z47" s="1814">
        <f t="shared" si="15"/>
        <v>0</v>
      </c>
      <c r="AA47" s="1811">
        <f t="shared" si="3"/>
        <v>1</v>
      </c>
      <c r="AB47" s="1811">
        <f t="shared" si="4"/>
        <v>1</v>
      </c>
      <c r="AC47" s="2673">
        <f t="shared" si="5"/>
        <v>1</v>
      </c>
    </row>
    <row r="48" spans="1:29" ht="15">
      <c r="A48" s="479" t="s">
        <v>2531</v>
      </c>
      <c r="B48" s="480"/>
      <c r="C48" s="1408" t="s">
        <v>1</v>
      </c>
      <c r="D48" s="1409"/>
      <c r="E48" s="1410">
        <v>23000</v>
      </c>
      <c r="F48" s="1411"/>
      <c r="G48" s="1412">
        <v>23000</v>
      </c>
      <c r="H48" s="1413"/>
      <c r="I48" s="1410">
        <v>22000</v>
      </c>
      <c r="J48" s="485"/>
      <c r="K48" s="781"/>
      <c r="L48" s="1144"/>
      <c r="M48" s="1132"/>
      <c r="N48" s="1132"/>
      <c r="O48" s="1132"/>
      <c r="P48" s="3205" t="str">
        <f>A48</f>
        <v>成交单价（元/平方米）</v>
      </c>
      <c r="Q48" s="3181"/>
      <c r="R48" s="3248">
        <f>E48</f>
        <v>23000</v>
      </c>
      <c r="S48" s="3248"/>
      <c r="T48" s="3248">
        <f>G48</f>
        <v>23000</v>
      </c>
      <c r="U48" s="3248"/>
      <c r="V48" s="3248">
        <f>I48</f>
        <v>22000</v>
      </c>
      <c r="W48" s="3248"/>
      <c r="X48" s="446"/>
      <c r="Y48" s="779"/>
      <c r="Z48" s="446"/>
      <c r="AA48" s="446"/>
      <c r="AB48" s="446"/>
      <c r="AC48" s="630"/>
    </row>
    <row r="49" spans="1:29" ht="15.75" thickBot="1">
      <c r="A49" s="486" t="s">
        <v>2623</v>
      </c>
      <c r="B49" s="487"/>
      <c r="C49" s="1414" t="e">
        <f>R50</f>
        <v>#DIV/0!</v>
      </c>
      <c r="D49" s="1415"/>
      <c r="E49" s="1416" t="e">
        <f>R49</f>
        <v>#DIV/0!</v>
      </c>
      <c r="F49" s="1416"/>
      <c r="G49" s="1414" t="e">
        <f>T49</f>
        <v>#DIV/0!</v>
      </c>
      <c r="H49" s="1415"/>
      <c r="I49" s="1416" t="e">
        <f>V49</f>
        <v>#DIV/0!</v>
      </c>
      <c r="J49" s="489"/>
      <c r="K49" s="782"/>
      <c r="L49" s="1144"/>
      <c r="M49" s="1132"/>
      <c r="N49" s="1132"/>
      <c r="O49" s="1132"/>
      <c r="P49" s="3205" t="str">
        <f>A49</f>
        <v>比较价值（元/平方米）</v>
      </c>
      <c r="Q49" s="3181"/>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2624</v>
      </c>
      <c r="B50" s="493"/>
      <c r="C50" s="1418" t="e">
        <f>R50</f>
        <v>#DIV/0!</v>
      </c>
      <c r="D50" s="1418"/>
      <c r="E50" s="1418"/>
      <c r="F50" s="1418"/>
      <c r="G50" s="1418"/>
      <c r="H50" s="1418"/>
      <c r="I50" s="1418"/>
      <c r="J50" s="494"/>
      <c r="K50" s="783"/>
      <c r="L50" s="1144"/>
      <c r="M50" s="1132"/>
      <c r="N50" s="1132"/>
      <c r="O50" s="1132"/>
      <c r="P50" s="3249" t="str">
        <f>A50</f>
        <v>估价对象XX用房的比较价值（楼面单价，元/平方米）</v>
      </c>
      <c r="Q50" s="3250"/>
      <c r="R50" s="3251" t="e">
        <f>IF(F1="售价",ROUND(AVERAGE(R49:V49),0),ROUND(AVERAGE(R49:V49),1))</f>
        <v>#DIV/0!</v>
      </c>
      <c r="S50" s="3251"/>
      <c r="T50" s="3251"/>
      <c r="U50" s="3251"/>
      <c r="V50" s="3251"/>
      <c r="W50" s="3251"/>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2627</v>
      </c>
      <c r="D55" s="501"/>
      <c r="E55" s="499">
        <f>IF(E48&lt;G48,G48/E48-1,E48/G48-1)</f>
        <v>0</v>
      </c>
      <c r="F55" s="500" t="str">
        <f>IF(OR(E55&gt;=0.3,E55&lt;=-0.3),"超过30%","")</f>
        <v/>
      </c>
      <c r="G55" s="499">
        <f>IF(G48&lt;I48,I48/G48-1,G48/I48-1)</f>
        <v>4.5454545454545414E-2</v>
      </c>
      <c r="H55" s="500" t="str">
        <f>IF(OR(G55&gt;=0.3,G55&lt;=-0.3),"超过30%","")</f>
        <v/>
      </c>
      <c r="I55" s="499">
        <f>IF(I48&lt;E48,E48/I48-1,I48/E48-1)</f>
        <v>4.5454545454545414E-2</v>
      </c>
      <c r="J55" s="500" t="str">
        <f>IF(OR(I55&gt;=0.3,I55&lt;=-0.3),"超过30%","")</f>
        <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2628</v>
      </c>
      <c r="B58" s="757"/>
      <c r="C58" s="762"/>
      <c r="D58" s="762"/>
      <c r="E58" s="762"/>
      <c r="F58" s="763"/>
      <c r="G58" s="763"/>
      <c r="H58" s="762"/>
      <c r="I58" s="762"/>
      <c r="J58" s="762"/>
      <c r="K58" s="764"/>
      <c r="L58" s="1162"/>
      <c r="M58" s="1160"/>
      <c r="N58" s="1160"/>
      <c r="O58" s="1160"/>
      <c r="P58" s="2680"/>
      <c r="Q58" s="504"/>
    </row>
    <row r="59" spans="1:29" s="508" customFormat="1" ht="15">
      <c r="A59" s="505" t="s">
        <v>2502</v>
      </c>
      <c r="B59" s="506"/>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2539</v>
      </c>
      <c r="B61" s="516"/>
      <c r="C61" s="517"/>
      <c r="D61" s="518"/>
      <c r="E61" s="518"/>
      <c r="F61" s="518"/>
      <c r="G61" s="518"/>
      <c r="H61" s="518"/>
      <c r="I61" s="518"/>
      <c r="J61" s="518"/>
      <c r="K61" s="518"/>
      <c r="L61" s="518"/>
      <c r="M61" s="519"/>
      <c r="N61" s="518"/>
      <c r="O61" s="519"/>
      <c r="P61" s="2681"/>
      <c r="Q61" s="504"/>
    </row>
    <row r="62" spans="1:29" s="117" customFormat="1" ht="15">
      <c r="A62" s="521" t="s">
        <v>2504</v>
      </c>
      <c r="B62" s="510"/>
      <c r="C62" s="522" t="s">
        <v>2606</v>
      </c>
      <c r="D62" s="523"/>
      <c r="E62" s="523"/>
      <c r="F62" s="523"/>
      <c r="G62" s="523"/>
      <c r="H62" s="523"/>
      <c r="I62" s="523"/>
      <c r="J62" s="523"/>
      <c r="K62" s="523"/>
      <c r="L62" s="524"/>
      <c r="M62" s="525"/>
      <c r="N62" s="1152"/>
      <c r="O62" s="1152"/>
      <c r="P62" s="2682"/>
      <c r="Q62" s="504"/>
    </row>
    <row r="63" spans="1:29" s="117" customFormat="1" ht="15.75" thickBot="1">
      <c r="A63" s="521"/>
      <c r="B63" s="510"/>
      <c r="C63" s="511">
        <v>100</v>
      </c>
      <c r="D63" s="512"/>
      <c r="E63" s="512"/>
      <c r="F63" s="512"/>
      <c r="G63" s="512"/>
      <c r="H63" s="512"/>
      <c r="I63" s="512"/>
      <c r="J63" s="512"/>
      <c r="K63" s="512"/>
      <c r="L63" s="512"/>
      <c r="M63" s="514"/>
      <c r="N63" s="1152"/>
      <c r="O63" s="1152"/>
      <c r="P63" s="2681"/>
      <c r="Q63" s="504"/>
    </row>
    <row r="64" spans="1:29">
      <c r="A64" s="527" t="s">
        <v>2542</v>
      </c>
      <c r="B64" s="528" t="s">
        <v>2508</v>
      </c>
      <c r="C64" s="529">
        <f>C9</f>
        <v>0</v>
      </c>
      <c r="D64" s="530"/>
      <c r="E64" s="530"/>
      <c r="F64" s="530"/>
      <c r="G64" s="530"/>
      <c r="H64" s="530"/>
      <c r="I64" s="530"/>
      <c r="J64" s="530"/>
      <c r="K64" s="531"/>
      <c r="L64" s="532"/>
      <c r="M64" s="533"/>
      <c r="N64" s="1153"/>
      <c r="O64" s="1153"/>
      <c r="P64" s="2683"/>
      <c r="Q64" s="504"/>
    </row>
    <row r="65" spans="1:17" ht="15.75" thickBot="1">
      <c r="A65" s="534"/>
      <c r="B65" s="535"/>
      <c r="C65" s="536">
        <v>100</v>
      </c>
      <c r="D65" s="536"/>
      <c r="E65" s="536"/>
      <c r="F65" s="536"/>
      <c r="G65" s="536"/>
      <c r="H65" s="536"/>
      <c r="I65" s="536"/>
      <c r="J65" s="536"/>
      <c r="K65" s="536"/>
      <c r="L65" s="536"/>
      <c r="M65" s="537"/>
      <c r="N65" s="1154"/>
      <c r="O65" s="1154"/>
      <c r="P65" s="2683"/>
      <c r="Q65" s="504"/>
    </row>
    <row r="66" spans="1:17" ht="27.75" thickTop="1">
      <c r="A66" s="534"/>
      <c r="B66" s="538" t="s">
        <v>2511</v>
      </c>
      <c r="C66" s="539" t="s">
        <v>2543</v>
      </c>
      <c r="D66" s="539" t="s">
        <v>2544</v>
      </c>
      <c r="E66" s="539" t="s">
        <v>2545</v>
      </c>
      <c r="F66" s="539" t="s">
        <v>2546</v>
      </c>
      <c r="G66" s="539" t="s">
        <v>2547</v>
      </c>
      <c r="H66" s="539" t="s">
        <v>2548</v>
      </c>
      <c r="I66" s="539" t="s">
        <v>2549</v>
      </c>
      <c r="J66" s="539"/>
      <c r="K66" s="540"/>
      <c r="L66" s="541"/>
      <c r="M66" s="542"/>
      <c r="N66" s="1153"/>
      <c r="O66" s="1153"/>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ht="15">
      <c r="A69" s="534"/>
      <c r="B69" s="548"/>
      <c r="C69" s="549" t="s">
        <v>3036</v>
      </c>
      <c r="D69" s="549"/>
      <c r="E69" s="549"/>
      <c r="F69" s="549"/>
      <c r="G69" s="549"/>
      <c r="H69" s="549"/>
      <c r="I69" s="549"/>
      <c r="J69" s="549"/>
      <c r="K69" s="550"/>
      <c r="L69" s="551"/>
      <c r="M69" s="552"/>
      <c r="N69" s="1153"/>
      <c r="O69" s="1153"/>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5.75" thickTop="1">
      <c r="A71" s="553"/>
      <c r="B71" s="538">
        <f>B12</f>
        <v>0</v>
      </c>
      <c r="C71" s="554"/>
      <c r="D71" s="554"/>
      <c r="E71" s="554"/>
      <c r="F71" s="554"/>
      <c r="G71" s="554"/>
      <c r="H71" s="555"/>
      <c r="I71" s="555"/>
      <c r="J71" s="555"/>
      <c r="K71" s="555"/>
      <c r="L71" s="556"/>
      <c r="M71" s="557"/>
      <c r="N71" s="1155"/>
      <c r="O71" s="1155"/>
      <c r="P71" s="2684"/>
      <c r="Q71" s="559"/>
    </row>
    <row r="72" spans="1:17" s="471" customFormat="1" ht="15.75" thickBot="1">
      <c r="A72" s="553"/>
      <c r="B72" s="543"/>
      <c r="C72" s="560"/>
      <c r="D72" s="536"/>
      <c r="E72" s="536"/>
      <c r="F72" s="536"/>
      <c r="G72" s="536"/>
      <c r="H72" s="536"/>
      <c r="I72" s="536"/>
      <c r="J72" s="536"/>
      <c r="K72" s="536"/>
      <c r="L72" s="536"/>
      <c r="M72" s="537"/>
      <c r="N72" s="1154"/>
      <c r="O72" s="1154"/>
      <c r="P72" s="2684"/>
      <c r="Q72" s="559"/>
    </row>
    <row r="73" spans="1:17" s="471" customFormat="1" ht="15.75" thickTop="1">
      <c r="A73" s="553"/>
      <c r="B73" s="538">
        <f>B13</f>
        <v>0</v>
      </c>
      <c r="C73" s="554"/>
      <c r="D73" s="554"/>
      <c r="E73" s="554"/>
      <c r="F73" s="554"/>
      <c r="G73" s="554"/>
      <c r="H73" s="555"/>
      <c r="I73" s="555"/>
      <c r="J73" s="555"/>
      <c r="K73" s="555"/>
      <c r="L73" s="556"/>
      <c r="M73" s="557"/>
      <c r="N73" s="1155"/>
      <c r="O73" s="1155"/>
      <c r="P73" s="2685"/>
      <c r="Q73" s="561"/>
    </row>
    <row r="74" spans="1:17" s="471" customFormat="1" ht="15.75" thickBot="1">
      <c r="A74" s="553"/>
      <c r="B74" s="543"/>
      <c r="C74" s="560"/>
      <c r="D74" s="560"/>
      <c r="E74" s="560"/>
      <c r="F74" s="560"/>
      <c r="G74" s="560"/>
      <c r="H74" s="562"/>
      <c r="I74" s="562"/>
      <c r="J74" s="562"/>
      <c r="K74" s="562"/>
      <c r="L74" s="562"/>
      <c r="M74" s="563"/>
      <c r="N74" s="1155"/>
      <c r="O74" s="1155"/>
      <c r="P74" s="2684"/>
      <c r="Q74" s="559"/>
    </row>
    <row r="75" spans="1:17" s="471" customFormat="1" ht="15.75" thickTop="1">
      <c r="A75" s="553"/>
      <c r="B75" s="546">
        <f>B14</f>
        <v>0</v>
      </c>
      <c r="C75" s="523"/>
      <c r="D75" s="523"/>
      <c r="E75" s="523"/>
      <c r="F75" s="523"/>
      <c r="G75" s="523"/>
      <c r="H75" s="564"/>
      <c r="I75" s="564"/>
      <c r="J75" s="564"/>
      <c r="K75" s="564"/>
      <c r="L75" s="565"/>
      <c r="M75" s="566"/>
      <c r="N75" s="1155"/>
      <c r="O75" s="1155"/>
      <c r="P75" s="2686"/>
      <c r="Q75" s="559"/>
    </row>
    <row r="76" spans="1:17" s="471" customFormat="1" ht="15.75" thickBot="1">
      <c r="A76" s="568"/>
      <c r="B76" s="569"/>
      <c r="C76" s="570"/>
      <c r="D76" s="570"/>
      <c r="E76" s="570"/>
      <c r="F76" s="570"/>
      <c r="G76" s="570"/>
      <c r="H76" s="571"/>
      <c r="I76" s="571"/>
      <c r="J76" s="571"/>
      <c r="K76" s="571"/>
      <c r="L76" s="571"/>
      <c r="M76" s="572"/>
      <c r="N76" s="1155"/>
      <c r="O76" s="1155"/>
      <c r="P76" s="2684"/>
      <c r="Q76" s="559"/>
    </row>
    <row r="77" spans="1:17">
      <c r="A77" s="527" t="s">
        <v>2513</v>
      </c>
      <c r="B77" s="528" t="s">
        <v>2651</v>
      </c>
      <c r="C77" s="573" t="s">
        <v>2551</v>
      </c>
      <c r="D77" s="573" t="s">
        <v>2552</v>
      </c>
      <c r="E77" s="573" t="s">
        <v>2553</v>
      </c>
      <c r="F77" s="573" t="s">
        <v>2554</v>
      </c>
      <c r="G77" s="573" t="s">
        <v>2555</v>
      </c>
      <c r="H77" s="529"/>
      <c r="I77" s="529"/>
      <c r="J77" s="529"/>
      <c r="K77" s="574"/>
      <c r="L77" s="575"/>
      <c r="M77" s="576"/>
      <c r="N77" s="1153"/>
      <c r="O77" s="1153"/>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3"/>
      <c r="O79" s="1153"/>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3"/>
      <c r="O81" s="1153"/>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75" thickTop="1">
      <c r="A83" s="534"/>
      <c r="B83" s="546" t="s">
        <v>2643</v>
      </c>
      <c r="C83" s="660" t="s">
        <v>2629</v>
      </c>
      <c r="D83" s="660" t="s">
        <v>2630</v>
      </c>
      <c r="E83" s="660" t="s">
        <v>2631</v>
      </c>
      <c r="F83" s="660" t="s">
        <v>2632</v>
      </c>
      <c r="G83" s="660" t="s">
        <v>2633</v>
      </c>
      <c r="H83" s="539"/>
      <c r="I83" s="539"/>
      <c r="J83" s="539"/>
      <c r="K83" s="539"/>
      <c r="L83" s="539"/>
      <c r="M83" s="1383"/>
      <c r="N83" s="1154"/>
      <c r="O83" s="1154"/>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3"/>
      <c r="O85" s="1153"/>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7.75" thickTop="1">
      <c r="A87" s="579"/>
      <c r="B87" s="538" t="s">
        <v>2653</v>
      </c>
      <c r="C87" s="554"/>
      <c r="D87" s="554"/>
      <c r="E87" s="554"/>
      <c r="F87" s="554"/>
      <c r="G87" s="554"/>
      <c r="H87" s="554"/>
      <c r="I87" s="554"/>
      <c r="J87" s="554"/>
      <c r="K87" s="554"/>
      <c r="L87" s="580"/>
      <c r="M87" s="581"/>
      <c r="N87" s="1152"/>
      <c r="O87" s="1152"/>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5.75" thickTop="1">
      <c r="A89" s="579"/>
      <c r="B89" s="538" t="str">
        <f>B27</f>
        <v>楼层</v>
      </c>
      <c r="C89" s="554" t="s">
        <v>3036</v>
      </c>
      <c r="D89" s="554"/>
      <c r="E89" s="554"/>
      <c r="F89" s="2634"/>
      <c r="G89" s="554"/>
      <c r="H89" s="554"/>
      <c r="I89" s="554"/>
      <c r="J89" s="554"/>
      <c r="K89" s="554"/>
      <c r="L89" s="554"/>
      <c r="M89" s="581"/>
      <c r="N89" s="1152"/>
      <c r="O89" s="1152"/>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5.75" thickTop="1">
      <c r="A91" s="553"/>
      <c r="B91" s="538" t="str">
        <f>B28</f>
        <v>朝向</v>
      </c>
      <c r="C91" s="554" t="s">
        <v>3036</v>
      </c>
      <c r="D91" s="554"/>
      <c r="E91" s="554"/>
      <c r="F91" s="554"/>
      <c r="G91" s="554"/>
      <c r="H91" s="555"/>
      <c r="I91" s="555"/>
      <c r="J91" s="555"/>
      <c r="K91" s="555"/>
      <c r="L91" s="556"/>
      <c r="M91" s="557"/>
      <c r="N91" s="1155"/>
      <c r="O91" s="1155"/>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5.75" thickTop="1">
      <c r="A93" s="534"/>
      <c r="B93" s="538">
        <f>B29</f>
        <v>0</v>
      </c>
      <c r="C93" s="554"/>
      <c r="D93" s="554"/>
      <c r="E93" s="554"/>
      <c r="F93" s="554"/>
      <c r="G93" s="554"/>
      <c r="H93" s="554"/>
      <c r="I93" s="554"/>
      <c r="J93" s="554"/>
      <c r="K93" s="554"/>
      <c r="L93" s="580"/>
      <c r="M93" s="581"/>
      <c r="N93" s="1153"/>
      <c r="O93" s="1153"/>
      <c r="P93" s="2683"/>
      <c r="Q93" s="504"/>
    </row>
    <row r="94" spans="1:17" ht="15.75" thickBot="1">
      <c r="A94" s="534"/>
      <c r="B94" s="543"/>
      <c r="C94" s="560"/>
      <c r="D94" s="536"/>
      <c r="E94" s="536"/>
      <c r="F94" s="536"/>
      <c r="G94" s="536"/>
      <c r="H94" s="536"/>
      <c r="I94" s="536"/>
      <c r="J94" s="536"/>
      <c r="K94" s="536"/>
      <c r="L94" s="536"/>
      <c r="M94" s="537"/>
      <c r="N94" s="1154"/>
      <c r="O94" s="1154"/>
      <c r="P94" s="2683"/>
      <c r="Q94" s="504"/>
    </row>
    <row r="95" spans="1:17" ht="15.75" thickTop="1">
      <c r="A95" s="534"/>
      <c r="B95" s="538">
        <f>B30</f>
        <v>0</v>
      </c>
      <c r="C95" s="554"/>
      <c r="D95" s="554"/>
      <c r="E95" s="554"/>
      <c r="F95" s="554"/>
      <c r="G95" s="583"/>
      <c r="H95" s="583"/>
      <c r="I95" s="583"/>
      <c r="J95" s="583"/>
      <c r="K95" s="584"/>
      <c r="L95" s="585"/>
      <c r="M95" s="586"/>
      <c r="N95" s="1153"/>
      <c r="O95" s="1153"/>
      <c r="P95" s="2683"/>
      <c r="Q95" s="504"/>
    </row>
    <row r="96" spans="1:17" ht="15.75" thickBot="1">
      <c r="A96" s="534"/>
      <c r="B96" s="543"/>
      <c r="C96" s="560"/>
      <c r="D96" s="560"/>
      <c r="E96" s="560"/>
      <c r="F96" s="560"/>
      <c r="G96" s="536"/>
      <c r="H96" s="536"/>
      <c r="I96" s="536"/>
      <c r="J96" s="536"/>
      <c r="K96" s="536"/>
      <c r="L96" s="536"/>
      <c r="M96" s="537"/>
      <c r="N96" s="1154"/>
      <c r="O96" s="1154"/>
      <c r="P96" s="2683"/>
      <c r="Q96" s="504"/>
    </row>
    <row r="97" spans="1:17" ht="15.75" thickTop="1">
      <c r="A97" s="534"/>
      <c r="B97" s="538">
        <f>B31</f>
        <v>0</v>
      </c>
      <c r="C97" s="554"/>
      <c r="D97" s="554"/>
      <c r="E97" s="554"/>
      <c r="F97" s="554"/>
      <c r="G97" s="583"/>
      <c r="H97" s="583"/>
      <c r="I97" s="583"/>
      <c r="J97" s="583"/>
      <c r="K97" s="584"/>
      <c r="L97" s="585"/>
      <c r="M97" s="586"/>
      <c r="N97" s="1153"/>
      <c r="O97" s="1153"/>
      <c r="P97" s="2683"/>
      <c r="Q97" s="504"/>
    </row>
    <row r="98" spans="1:17" ht="15.75" thickBot="1">
      <c r="A98" s="534"/>
      <c r="B98" s="543"/>
      <c r="C98" s="560"/>
      <c r="D98" s="536"/>
      <c r="E98" s="536"/>
      <c r="F98" s="536"/>
      <c r="G98" s="536"/>
      <c r="H98" s="536"/>
      <c r="I98" s="536"/>
      <c r="J98" s="536"/>
      <c r="K98" s="536"/>
      <c r="L98" s="536"/>
      <c r="M98" s="537"/>
      <c r="N98" s="1154"/>
      <c r="O98" s="1154"/>
      <c r="P98" s="2683"/>
      <c r="Q98" s="504"/>
    </row>
    <row r="99" spans="1:17" ht="15.75" thickTop="1">
      <c r="A99" s="534"/>
      <c r="B99" s="546">
        <f>B32</f>
        <v>0</v>
      </c>
      <c r="C99" s="523"/>
      <c r="D99" s="523"/>
      <c r="E99" s="523"/>
      <c r="F99" s="523"/>
      <c r="G99" s="587"/>
      <c r="H99" s="587"/>
      <c r="I99" s="587"/>
      <c r="J99" s="587"/>
      <c r="K99" s="588"/>
      <c r="L99" s="589"/>
      <c r="M99" s="590"/>
      <c r="N99" s="1153"/>
      <c r="O99" s="1153"/>
      <c r="P99" s="2683"/>
      <c r="Q99" s="504"/>
    </row>
    <row r="100" spans="1:17" ht="15.75" thickBot="1">
      <c r="A100" s="2635"/>
      <c r="B100" s="569"/>
      <c r="C100" s="570"/>
      <c r="D100" s="570"/>
      <c r="E100" s="570"/>
      <c r="F100" s="570"/>
      <c r="G100" s="591"/>
      <c r="H100" s="591"/>
      <c r="I100" s="591"/>
      <c r="J100" s="591"/>
      <c r="K100" s="591"/>
      <c r="L100" s="591"/>
      <c r="M100" s="592"/>
      <c r="N100" s="1154"/>
      <c r="O100" s="1154"/>
      <c r="P100" s="2683"/>
      <c r="Q100" s="504"/>
    </row>
    <row r="101" spans="1:17">
      <c r="A101" s="527" t="s">
        <v>2517</v>
      </c>
      <c r="B101" s="528" t="s">
        <v>2566</v>
      </c>
      <c r="C101" s="530"/>
      <c r="D101" s="530"/>
      <c r="E101" s="530"/>
      <c r="F101" s="530"/>
      <c r="G101" s="530"/>
      <c r="H101" s="530"/>
      <c r="I101" s="530"/>
      <c r="J101" s="530"/>
      <c r="K101" s="531"/>
      <c r="L101" s="532"/>
      <c r="M101" s="533"/>
      <c r="N101" s="1153"/>
      <c r="O101" s="1153"/>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t="s">
        <v>3036</v>
      </c>
      <c r="D104" s="595"/>
      <c r="E104" s="595"/>
      <c r="F104" s="595"/>
      <c r="G104" s="595"/>
      <c r="H104" s="595"/>
      <c r="I104" s="595"/>
      <c r="J104" s="596"/>
      <c r="K104" s="596"/>
      <c r="L104" s="597"/>
      <c r="M104" s="598"/>
      <c r="N104" s="1155"/>
      <c r="O104" s="1155"/>
      <c r="P104" s="2684"/>
      <c r="Q104" s="559"/>
    </row>
    <row r="105" spans="1:17" s="471" customFormat="1" ht="15.75" thickBot="1">
      <c r="A105" s="553"/>
      <c r="B105" s="543"/>
      <c r="C105" s="560">
        <v>100</v>
      </c>
      <c r="D105" s="536"/>
      <c r="E105" s="536"/>
      <c r="F105" s="536"/>
      <c r="G105" s="536"/>
      <c r="H105" s="536"/>
      <c r="I105" s="536"/>
      <c r="J105" s="536"/>
      <c r="K105" s="536"/>
      <c r="L105" s="536"/>
      <c r="M105" s="537"/>
      <c r="N105" s="1154"/>
      <c r="O105" s="1154"/>
      <c r="P105" s="2684"/>
      <c r="Q105" s="559"/>
    </row>
    <row r="106" spans="1:17" ht="15" thickTop="1">
      <c r="A106" s="599"/>
      <c r="B106" s="538" t="s">
        <v>2568</v>
      </c>
      <c r="C106" s="554"/>
      <c r="D106" s="554"/>
      <c r="E106" s="583"/>
      <c r="F106" s="583"/>
      <c r="G106" s="583"/>
      <c r="H106" s="583"/>
      <c r="I106" s="583"/>
      <c r="J106" s="583"/>
      <c r="K106" s="584"/>
      <c r="L106" s="585"/>
      <c r="M106" s="586"/>
      <c r="N106" s="1153"/>
      <c r="O106" s="1153"/>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2570</v>
      </c>
      <c r="C108" s="554"/>
      <c r="D108" s="554"/>
      <c r="E108" s="554"/>
      <c r="F108" s="583"/>
      <c r="G108" s="583"/>
      <c r="H108" s="583"/>
      <c r="I108" s="583"/>
      <c r="J108" s="583"/>
      <c r="K108" s="584"/>
      <c r="L108" s="585"/>
      <c r="M108" s="586"/>
      <c r="N108" s="1153"/>
      <c r="O108" s="1153"/>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2654</v>
      </c>
      <c r="C113" s="554"/>
      <c r="D113" s="554"/>
      <c r="E113" s="554"/>
      <c r="F113" s="554"/>
      <c r="G113" s="554"/>
      <c r="H113" s="583"/>
      <c r="I113" s="583"/>
      <c r="J113" s="583"/>
      <c r="K113" s="584"/>
      <c r="L113" s="585"/>
      <c r="M113" s="586"/>
      <c r="N113" s="1155"/>
      <c r="O113" s="1155"/>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2571</v>
      </c>
      <c r="C115" s="554"/>
      <c r="D115" s="554"/>
      <c r="E115" s="583"/>
      <c r="F115" s="583"/>
      <c r="G115" s="583"/>
      <c r="H115" s="583"/>
      <c r="I115" s="583"/>
      <c r="J115" s="583"/>
      <c r="K115" s="584"/>
      <c r="L115" s="585"/>
      <c r="M115" s="586"/>
      <c r="N115" s="1153"/>
      <c r="O115" s="1153"/>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2572</v>
      </c>
      <c r="C117" s="554"/>
      <c r="D117" s="554"/>
      <c r="E117" s="554"/>
      <c r="F117" s="554"/>
      <c r="G117" s="554"/>
      <c r="H117" s="583"/>
      <c r="I117" s="583"/>
      <c r="J117" s="583"/>
      <c r="K117" s="584"/>
      <c r="L117" s="585"/>
      <c r="M117" s="586"/>
      <c r="N117" s="1153"/>
      <c r="O117" s="1153"/>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2655</v>
      </c>
      <c r="C119" s="583"/>
      <c r="D119" s="583"/>
      <c r="E119" s="583"/>
      <c r="F119" s="583"/>
      <c r="G119" s="583"/>
      <c r="H119" s="583"/>
      <c r="I119" s="583"/>
      <c r="J119" s="583"/>
      <c r="K119" s="583"/>
      <c r="L119" s="2688"/>
      <c r="M119" s="2689"/>
      <c r="N119" s="1154"/>
      <c r="O119" s="1154"/>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2638</v>
      </c>
      <c r="C121" s="554"/>
      <c r="D121" s="554"/>
      <c r="E121" s="554"/>
      <c r="F121" s="583"/>
      <c r="G121" s="555"/>
      <c r="H121" s="555"/>
      <c r="I121" s="555"/>
      <c r="J121" s="555"/>
      <c r="K121" s="555"/>
      <c r="L121" s="556"/>
      <c r="M121" s="557"/>
      <c r="N121" s="1155"/>
      <c r="O121" s="1155"/>
      <c r="P121" s="268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2574</v>
      </c>
      <c r="C123" s="554"/>
      <c r="D123" s="554"/>
      <c r="E123" s="554"/>
      <c r="F123" s="583"/>
      <c r="G123" s="583"/>
      <c r="H123" s="583"/>
      <c r="I123" s="583"/>
      <c r="J123" s="583"/>
      <c r="K123" s="584"/>
      <c r="L123" s="585"/>
      <c r="M123" s="586"/>
      <c r="N123" s="1153"/>
      <c r="O123" s="1153"/>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3"/>
      <c r="O125" s="1153"/>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5" thickTop="1">
      <c r="A127" s="593"/>
      <c r="B127" s="538">
        <f>B45</f>
        <v>0</v>
      </c>
      <c r="C127" s="554"/>
      <c r="D127" s="554"/>
      <c r="E127" s="554"/>
      <c r="F127" s="554"/>
      <c r="G127" s="554"/>
      <c r="H127" s="555"/>
      <c r="I127" s="555"/>
      <c r="J127" s="555"/>
      <c r="K127" s="555"/>
      <c r="L127" s="556"/>
      <c r="M127" s="557"/>
      <c r="N127" s="1155"/>
      <c r="O127" s="1155"/>
      <c r="P127" s="268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4"/>
      <c r="Q128" s="559"/>
    </row>
    <row r="129" spans="1:17" ht="15" thickTop="1">
      <c r="A129" s="599"/>
      <c r="B129" s="538">
        <f>B46</f>
        <v>0</v>
      </c>
      <c r="C129" s="554"/>
      <c r="D129" s="554"/>
      <c r="E129" s="554"/>
      <c r="F129" s="554"/>
      <c r="G129" s="583"/>
      <c r="H129" s="583"/>
      <c r="I129" s="583"/>
      <c r="J129" s="583"/>
      <c r="K129" s="584"/>
      <c r="L129" s="585"/>
      <c r="M129" s="586"/>
      <c r="N129" s="1153"/>
      <c r="O129" s="1153"/>
      <c r="P129" s="2683"/>
      <c r="Q129" s="504"/>
    </row>
    <row r="130" spans="1:17" ht="15.75" thickBot="1">
      <c r="A130" s="534"/>
      <c r="B130" s="543"/>
      <c r="C130" s="560"/>
      <c r="D130" s="560"/>
      <c r="E130" s="560"/>
      <c r="F130" s="560"/>
      <c r="G130" s="536"/>
      <c r="H130" s="536"/>
      <c r="I130" s="536"/>
      <c r="J130" s="536"/>
      <c r="K130" s="536"/>
      <c r="L130" s="536"/>
      <c r="M130" s="537"/>
      <c r="N130" s="1154"/>
      <c r="O130" s="1154"/>
      <c r="P130" s="2683"/>
      <c r="Q130" s="504"/>
    </row>
    <row r="131" spans="1:17" ht="15" thickTop="1">
      <c r="A131" s="599"/>
      <c r="B131" s="546">
        <f>B47</f>
        <v>0</v>
      </c>
      <c r="C131" s="523"/>
      <c r="D131" s="523"/>
      <c r="E131" s="523"/>
      <c r="F131" s="523"/>
      <c r="G131" s="587"/>
      <c r="H131" s="587"/>
      <c r="I131" s="587"/>
      <c r="J131" s="587"/>
      <c r="K131" s="523"/>
      <c r="L131" s="524"/>
      <c r="M131" s="590"/>
      <c r="N131" s="1153"/>
      <c r="O131" s="1153"/>
      <c r="P131" s="2683"/>
      <c r="Q131" s="504"/>
    </row>
    <row r="132" spans="1:17" ht="15.75"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53" sqref="I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7" style="403" customWidth="1"/>
    <col min="6" max="6" width="12.25" style="403" customWidth="1"/>
    <col min="7" max="7" width="16.62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581" t="s">
        <v>2596</v>
      </c>
      <c r="C1" s="1634" t="s">
        <v>2484</v>
      </c>
      <c r="D1" s="1621" t="s">
        <v>3042</v>
      </c>
      <c r="E1" s="2656"/>
      <c r="F1" s="2583" t="s">
        <v>3037</v>
      </c>
      <c r="G1" s="1631" t="s">
        <v>2597</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2281</v>
      </c>
      <c r="B2" s="1419">
        <f>IF(C2="——",ROUND(C49*D3/10000,0),ROUND(C49*D3/10000,0)-D2)</f>
        <v>12732</v>
      </c>
      <c r="C2" s="2585" t="s">
        <v>70</v>
      </c>
      <c r="D2" s="1366" t="e">
        <f ca="1">SUMIF(INDIRECT("'"&amp;F2&amp;"'"&amp;"!A:A"),"承租人权益价值",INDIRECT("'"&amp;F2&amp;"'"&amp;"!c:c"))</f>
        <v>#REF!</v>
      </c>
      <c r="E2" s="2586" t="s">
        <v>2282</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2283</v>
      </c>
      <c r="B3" s="609">
        <f>IF(C2="——",C49,ROUND(B2*10000/D3,0))</f>
        <v>58175</v>
      </c>
      <c r="C3" s="400" t="s">
        <v>2598</v>
      </c>
      <c r="D3" s="399">
        <f>IF(D1="",'数据-汇总表'!E3,SUMIF('数据-汇总表'!$C19:$C33,D1,'数据-汇总表'!$E19:$E33))</f>
        <v>2188.58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1" t="s">
        <v>2599</v>
      </c>
      <c r="B4" s="402"/>
      <c r="C4" s="3182" t="s">
        <v>2600</v>
      </c>
      <c r="D4" s="3183"/>
      <c r="E4" s="3184" t="s">
        <v>2601</v>
      </c>
      <c r="F4" s="3185"/>
      <c r="G4" s="3182" t="s">
        <v>2602</v>
      </c>
      <c r="H4" s="3183"/>
      <c r="I4" s="3182" t="s">
        <v>2603</v>
      </c>
      <c r="J4" s="3183"/>
      <c r="K4" s="610" t="s">
        <v>2604</v>
      </c>
      <c r="L4" s="1131"/>
      <c r="M4" s="1132"/>
      <c r="N4" s="1132"/>
      <c r="O4" s="1132"/>
      <c r="P4" s="3186" t="s">
        <v>2605</v>
      </c>
      <c r="Q4" s="3187"/>
      <c r="R4" s="3168" t="s">
        <v>2601</v>
      </c>
      <c r="S4" s="3169"/>
      <c r="T4" s="3168" t="s">
        <v>2602</v>
      </c>
      <c r="U4" s="3169"/>
      <c r="V4" s="3194" t="s">
        <v>2603</v>
      </c>
      <c r="W4" s="3194"/>
      <c r="X4" s="1813"/>
      <c r="Y4" s="3168" t="s">
        <v>2605</v>
      </c>
      <c r="Z4" s="3169"/>
      <c r="AA4" s="3163" t="s">
        <v>2601</v>
      </c>
      <c r="AB4" s="3194" t="s">
        <v>2602</v>
      </c>
      <c r="AC4" s="3163" t="s">
        <v>2603</v>
      </c>
    </row>
    <row r="5" spans="1:29" ht="15">
      <c r="A5" s="404"/>
      <c r="B5" s="405"/>
      <c r="C5" s="3253" t="str">
        <f>项目基本情况!F10</f>
        <v>朝阳区吉庆里9号、10号楼</v>
      </c>
      <c r="D5" s="3175"/>
      <c r="E5" s="3252" t="s">
        <v>3067</v>
      </c>
      <c r="F5" s="3173"/>
      <c r="G5" s="3174" t="s">
        <v>3093</v>
      </c>
      <c r="H5" s="3175"/>
      <c r="I5" s="3174" t="s">
        <v>3094</v>
      </c>
      <c r="J5" s="3175"/>
      <c r="K5" s="610"/>
      <c r="L5" s="1131"/>
      <c r="M5" s="1132"/>
      <c r="N5" s="1132"/>
      <c r="O5" s="1132"/>
      <c r="P5" s="3188"/>
      <c r="Q5" s="3189"/>
      <c r="R5" s="3170"/>
      <c r="S5" s="3171"/>
      <c r="T5" s="3170"/>
      <c r="U5" s="3171"/>
      <c r="V5" s="3194"/>
      <c r="W5" s="3194"/>
      <c r="X5" s="1813"/>
      <c r="Y5" s="3170"/>
      <c r="Z5" s="3171"/>
      <c r="AA5" s="3164"/>
      <c r="AB5" s="3194"/>
      <c r="AC5" s="3164"/>
    </row>
    <row r="6" spans="1:29" ht="15.75" thickBot="1">
      <c r="A6" s="406"/>
      <c r="B6" s="407"/>
      <c r="C6" s="3176" t="s">
        <v>2500</v>
      </c>
      <c r="D6" s="3177"/>
      <c r="E6" s="3179" t="s">
        <v>2500</v>
      </c>
      <c r="F6" s="3180"/>
      <c r="G6" s="3176" t="s">
        <v>2500</v>
      </c>
      <c r="H6" s="3177"/>
      <c r="I6" s="3176" t="s">
        <v>2500</v>
      </c>
      <c r="J6" s="3177"/>
      <c r="K6" s="610" t="s">
        <v>2501</v>
      </c>
      <c r="L6" s="1131"/>
      <c r="M6" s="1132"/>
      <c r="N6" s="1132"/>
      <c r="O6" s="1132"/>
      <c r="P6" s="3190"/>
      <c r="Q6" s="3191"/>
      <c r="R6" s="3170"/>
      <c r="S6" s="3171"/>
      <c r="T6" s="3192"/>
      <c r="U6" s="3193"/>
      <c r="V6" s="3194"/>
      <c r="W6" s="3194"/>
      <c r="X6" s="1813"/>
      <c r="Y6" s="3192"/>
      <c r="Z6" s="3193"/>
      <c r="AA6" s="3165"/>
      <c r="AB6" s="3194"/>
      <c r="AC6" s="3165"/>
    </row>
    <row r="7" spans="1:29" s="117" customFormat="1" ht="15.75" thickBot="1">
      <c r="A7" s="408" t="s">
        <v>2502</v>
      </c>
      <c r="B7" s="409"/>
      <c r="C7" s="410">
        <f>'数据-取费表'!B2</f>
        <v>43382</v>
      </c>
      <c r="D7" s="411">
        <v>100</v>
      </c>
      <c r="E7" s="412">
        <v>43382</v>
      </c>
      <c r="F7" s="413">
        <f>SUMIF(58:58,YEAR(E7)&amp;"-"&amp;MONTH(E7),59:59)</f>
        <v>100</v>
      </c>
      <c r="G7" s="412">
        <f>E7</f>
        <v>43382</v>
      </c>
      <c r="H7" s="411">
        <f>SUMIF(58:58,YEAR(G7)&amp;"-"&amp;MONTH(G7),59:59)</f>
        <v>100</v>
      </c>
      <c r="I7" s="412">
        <f>E7</f>
        <v>43382</v>
      </c>
      <c r="J7" s="411">
        <f>SUMIF(58:58,YEAR(I7)&amp;"-"&amp;MONTH(I7),59:59)</f>
        <v>100</v>
      </c>
      <c r="K7" s="611"/>
      <c r="L7" s="1133"/>
      <c r="M7" s="1134"/>
      <c r="N7" s="1134"/>
      <c r="O7" s="1134"/>
      <c r="P7" s="3166" t="s">
        <v>2503</v>
      </c>
      <c r="Q7" s="3195"/>
      <c r="R7" s="768" t="s">
        <v>17</v>
      </c>
      <c r="S7" s="769">
        <f t="shared" ref="S7:S15" si="0">F7</f>
        <v>100</v>
      </c>
      <c r="T7" s="768" t="s">
        <v>17</v>
      </c>
      <c r="U7" s="769">
        <f t="shared" ref="U7:U15" si="1">H7</f>
        <v>100</v>
      </c>
      <c r="V7" s="768" t="s">
        <v>17</v>
      </c>
      <c r="W7" s="769">
        <f t="shared" ref="W7:W15" si="2">J7</f>
        <v>100</v>
      </c>
      <c r="X7" s="770"/>
      <c r="Y7" s="3166" t="s">
        <v>2503</v>
      </c>
      <c r="Z7" s="3167"/>
      <c r="AA7" s="771">
        <f>D7/F7</f>
        <v>1</v>
      </c>
      <c r="AB7" s="771">
        <f>D7/H7</f>
        <v>1</v>
      </c>
      <c r="AC7" s="771">
        <f>D7/J7</f>
        <v>1</v>
      </c>
    </row>
    <row r="8" spans="1:29" s="117" customFormat="1" ht="15.75" thickBot="1">
      <c r="A8" s="408" t="s">
        <v>2504</v>
      </c>
      <c r="B8" s="409"/>
      <c r="C8" s="414" t="s">
        <v>2606</v>
      </c>
      <c r="D8" s="411">
        <v>100</v>
      </c>
      <c r="E8" s="414" t="s">
        <v>2541</v>
      </c>
      <c r="F8" s="413">
        <f>SUMIF(61:61,E8,62:62)-SUMIF(61:61,C8,62:62)+100</f>
        <v>100</v>
      </c>
      <c r="G8" s="414" t="s">
        <v>2541</v>
      </c>
      <c r="H8" s="411">
        <f>SUMIF(61:61,G8,62:62)-SUMIF(61:61,C8,62:62)+100</f>
        <v>100</v>
      </c>
      <c r="I8" s="414" t="s">
        <v>2541</v>
      </c>
      <c r="J8" s="411">
        <f>SUMIF(61:61,I8,62:62)-SUMIF(61:61,C8,62:62)+100</f>
        <v>100</v>
      </c>
      <c r="K8" s="611"/>
      <c r="L8" s="1133"/>
      <c r="M8" s="1134"/>
      <c r="N8" s="1134"/>
      <c r="O8" s="1134"/>
      <c r="P8" s="3166" t="s">
        <v>2506</v>
      </c>
      <c r="Q8" s="3167"/>
      <c r="R8" s="768" t="s">
        <v>17</v>
      </c>
      <c r="S8" s="769">
        <f t="shared" si="0"/>
        <v>100</v>
      </c>
      <c r="T8" s="768" t="s">
        <v>17</v>
      </c>
      <c r="U8" s="769">
        <f t="shared" si="1"/>
        <v>100</v>
      </c>
      <c r="V8" s="768" t="s">
        <v>17</v>
      </c>
      <c r="W8" s="769">
        <f t="shared" si="2"/>
        <v>100</v>
      </c>
      <c r="X8" s="770"/>
      <c r="Y8" s="3166" t="s">
        <v>2506</v>
      </c>
      <c r="Z8" s="3167"/>
      <c r="AA8" s="771">
        <f t="shared" ref="AA8:AA46" si="3">D8/F8</f>
        <v>1</v>
      </c>
      <c r="AB8" s="771">
        <f t="shared" ref="AB8:AB46" si="4">D8/H8</f>
        <v>1</v>
      </c>
      <c r="AC8" s="771">
        <f t="shared" ref="AC8:AC46" si="5">D8/J8</f>
        <v>1</v>
      </c>
    </row>
    <row r="9" spans="1:29" s="117" customFormat="1">
      <c r="A9" s="415" t="s">
        <v>2507</v>
      </c>
      <c r="B9" s="71" t="s">
        <v>2508</v>
      </c>
      <c r="C9" s="2963" t="s">
        <v>3068</v>
      </c>
      <c r="D9" s="135">
        <v>100</v>
      </c>
      <c r="E9" s="417" t="s">
        <v>1373</v>
      </c>
      <c r="F9" s="418">
        <f>SUMIF(63:63,E9,64:64)-SUMIF(63:63,C9,64:64)+100</f>
        <v>100</v>
      </c>
      <c r="G9" s="417" t="s">
        <v>1373</v>
      </c>
      <c r="H9" s="135">
        <f>SUMIF(63:63,G9,64:64)-SUMIF(63:63,C9,64:64)+100</f>
        <v>100</v>
      </c>
      <c r="I9" s="417" t="s">
        <v>1373</v>
      </c>
      <c r="J9" s="135">
        <f>SUMIF(63:63,I9,64:64)-SUMIF(63:63,C9,64:64)+100</f>
        <v>100</v>
      </c>
      <c r="K9" s="611"/>
      <c r="L9" s="1133"/>
      <c r="M9" s="1134"/>
      <c r="N9" s="1134"/>
      <c r="O9" s="1134"/>
      <c r="P9" s="3205" t="s">
        <v>2509</v>
      </c>
      <c r="Q9" s="1795" t="str">
        <f t="shared" ref="Q9:Q15" si="6">B9</f>
        <v>用途</v>
      </c>
      <c r="R9" s="768" t="s">
        <v>17</v>
      </c>
      <c r="S9" s="769">
        <f t="shared" si="0"/>
        <v>100</v>
      </c>
      <c r="T9" s="768" t="s">
        <v>17</v>
      </c>
      <c r="U9" s="769">
        <f t="shared" si="1"/>
        <v>100</v>
      </c>
      <c r="V9" s="768" t="s">
        <v>17</v>
      </c>
      <c r="W9" s="769">
        <f t="shared" si="2"/>
        <v>100</v>
      </c>
      <c r="X9" s="770"/>
      <c r="Y9" s="3043" t="s">
        <v>2510</v>
      </c>
      <c r="Z9" s="55" t="str">
        <f t="shared" ref="Z9:Z15" si="7">Q9</f>
        <v>用途</v>
      </c>
      <c r="AA9" s="771">
        <f t="shared" si="3"/>
        <v>1</v>
      </c>
      <c r="AB9" s="771">
        <f t="shared" si="4"/>
        <v>1</v>
      </c>
      <c r="AC9" s="771">
        <f t="shared" si="5"/>
        <v>1</v>
      </c>
    </row>
    <row r="10" spans="1:29" s="427" customFormat="1" ht="27">
      <c r="A10" s="421"/>
      <c r="B10" s="422" t="s">
        <v>2511</v>
      </c>
      <c r="C10" s="423" t="s">
        <v>3065</v>
      </c>
      <c r="D10" s="136">
        <v>100</v>
      </c>
      <c r="E10" s="424" t="s">
        <v>3065</v>
      </c>
      <c r="F10" s="425">
        <f>SUMIF(65:65,E10,66:66)-SUMIF(65:65,C10,66:66)+100</f>
        <v>100</v>
      </c>
      <c r="G10" s="424" t="s">
        <v>3108</v>
      </c>
      <c r="H10" s="136">
        <f>SUMIF(65:65,G10,66:66)-SUMIF(65:65,C10,66:66)+100</f>
        <v>101</v>
      </c>
      <c r="I10" s="424" t="s">
        <v>3065</v>
      </c>
      <c r="J10" s="136">
        <f>SUMIF(65:65,I10,66:66)-SUMIF(65:65,C10,66:66)+100</f>
        <v>100</v>
      </c>
      <c r="K10" s="612">
        <v>1</v>
      </c>
      <c r="L10" s="1136"/>
      <c r="M10" s="1137"/>
      <c r="N10" s="1137"/>
      <c r="O10" s="1137"/>
      <c r="P10" s="3205"/>
      <c r="Q10" s="1795" t="str">
        <f t="shared" si="6"/>
        <v>土地使用年限（年）</v>
      </c>
      <c r="R10" s="768" t="s">
        <v>17</v>
      </c>
      <c r="S10" s="769">
        <f t="shared" si="0"/>
        <v>100</v>
      </c>
      <c r="T10" s="768" t="s">
        <v>17</v>
      </c>
      <c r="U10" s="769">
        <f t="shared" si="1"/>
        <v>101</v>
      </c>
      <c r="V10" s="768" t="s">
        <v>17</v>
      </c>
      <c r="W10" s="769">
        <f t="shared" si="2"/>
        <v>100</v>
      </c>
      <c r="X10" s="770"/>
      <c r="Y10" s="3043"/>
      <c r="Z10" s="55" t="str">
        <f t="shared" si="7"/>
        <v>土地使用年限（年）</v>
      </c>
      <c r="AA10" s="771">
        <f t="shared" si="3"/>
        <v>1</v>
      </c>
      <c r="AB10" s="771">
        <f t="shared" si="4"/>
        <v>0.99009900990099009</v>
      </c>
      <c r="AC10" s="771">
        <f t="shared" si="5"/>
        <v>1</v>
      </c>
    </row>
    <row r="11" spans="1:29" ht="15">
      <c r="A11" s="428"/>
      <c r="B11" s="422" t="s">
        <v>2512</v>
      </c>
      <c r="C11" s="429" t="s">
        <v>3038</v>
      </c>
      <c r="D11" s="136">
        <v>100</v>
      </c>
      <c r="E11" s="430" t="s">
        <v>3038</v>
      </c>
      <c r="F11" s="425">
        <f>LOOKUP(E11,68:68,69:69)-LOOKUP(C11,68:68,69:69)+100</f>
        <v>100</v>
      </c>
      <c r="G11" s="429" t="s">
        <v>3038</v>
      </c>
      <c r="H11" s="136">
        <f>LOOKUP(G11,68:68,69:69)-LOOKUP(C11,68:68,69:69)+100</f>
        <v>100</v>
      </c>
      <c r="I11" s="429" t="s">
        <v>3039</v>
      </c>
      <c r="J11" s="136">
        <f>LOOKUP(I11,68:68,69:69)-LOOKUP(C11,68:68,69:69)+100</f>
        <v>100</v>
      </c>
      <c r="K11" s="612">
        <v>1</v>
      </c>
      <c r="L11" s="1139"/>
      <c r="M11" s="1132"/>
      <c r="N11" s="1132"/>
      <c r="O11" s="1132"/>
      <c r="P11" s="3205"/>
      <c r="Q11" s="1795" t="str">
        <f t="shared" si="6"/>
        <v>容积率</v>
      </c>
      <c r="R11" s="768" t="s">
        <v>17</v>
      </c>
      <c r="S11" s="769">
        <f t="shared" si="0"/>
        <v>100</v>
      </c>
      <c r="T11" s="768" t="s">
        <v>17</v>
      </c>
      <c r="U11" s="769">
        <f t="shared" si="1"/>
        <v>100</v>
      </c>
      <c r="V11" s="768" t="s">
        <v>17</v>
      </c>
      <c r="W11" s="769">
        <f t="shared" si="2"/>
        <v>100</v>
      </c>
      <c r="X11" s="770"/>
      <c r="Y11" s="3043"/>
      <c r="Z11" s="55" t="str">
        <f t="shared" si="7"/>
        <v>容积率</v>
      </c>
      <c r="AA11" s="771">
        <f t="shared" si="3"/>
        <v>1</v>
      </c>
      <c r="AB11" s="771">
        <f t="shared" si="4"/>
        <v>1</v>
      </c>
      <c r="AC11" s="771">
        <f t="shared" si="5"/>
        <v>1</v>
      </c>
    </row>
    <row r="12" spans="1:29" s="117" customFormat="1" ht="15">
      <c r="A12" s="431"/>
      <c r="B12" s="2599"/>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5"/>
      <c r="Q12" s="1795">
        <f t="shared" si="6"/>
        <v>0</v>
      </c>
      <c r="R12" s="768" t="s">
        <v>17</v>
      </c>
      <c r="S12" s="769">
        <f t="shared" si="0"/>
        <v>100</v>
      </c>
      <c r="T12" s="768" t="s">
        <v>17</v>
      </c>
      <c r="U12" s="769">
        <f t="shared" si="1"/>
        <v>100</v>
      </c>
      <c r="V12" s="768" t="s">
        <v>17</v>
      </c>
      <c r="W12" s="769">
        <f t="shared" si="2"/>
        <v>100</v>
      </c>
      <c r="X12" s="770"/>
      <c r="Y12" s="3043"/>
      <c r="Z12" s="55">
        <f t="shared" si="7"/>
        <v>0</v>
      </c>
      <c r="AA12" s="771">
        <f>D12/F12</f>
        <v>1</v>
      </c>
      <c r="AB12" s="771">
        <f>D12/H12</f>
        <v>1</v>
      </c>
      <c r="AC12" s="771">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5"/>
      <c r="Q13" s="1795">
        <f t="shared" si="6"/>
        <v>0</v>
      </c>
      <c r="R13" s="768" t="s">
        <v>17</v>
      </c>
      <c r="S13" s="769">
        <f t="shared" si="0"/>
        <v>100</v>
      </c>
      <c r="T13" s="768" t="s">
        <v>17</v>
      </c>
      <c r="U13" s="769">
        <f t="shared" si="1"/>
        <v>100</v>
      </c>
      <c r="V13" s="768" t="s">
        <v>17</v>
      </c>
      <c r="W13" s="769">
        <f t="shared" si="2"/>
        <v>100</v>
      </c>
      <c r="X13" s="770"/>
      <c r="Y13" s="3043"/>
      <c r="Z13" s="55">
        <f t="shared" si="7"/>
        <v>0</v>
      </c>
      <c r="AA13" s="771">
        <f t="shared" si="3"/>
        <v>1</v>
      </c>
      <c r="AB13" s="771">
        <f t="shared" si="4"/>
        <v>1</v>
      </c>
      <c r="AC13" s="771">
        <f t="shared" si="5"/>
        <v>1</v>
      </c>
    </row>
    <row r="14" spans="1:29" ht="15.75" thickBot="1">
      <c r="A14" s="436"/>
      <c r="B14" s="2601"/>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5"/>
      <c r="Q14" s="1795">
        <f t="shared" si="6"/>
        <v>0</v>
      </c>
      <c r="R14" s="768" t="s">
        <v>17</v>
      </c>
      <c r="S14" s="769">
        <f t="shared" si="0"/>
        <v>100</v>
      </c>
      <c r="T14" s="768" t="s">
        <v>17</v>
      </c>
      <c r="U14" s="769">
        <f t="shared" si="1"/>
        <v>100</v>
      </c>
      <c r="V14" s="768" t="s">
        <v>17</v>
      </c>
      <c r="W14" s="769">
        <f t="shared" si="2"/>
        <v>100</v>
      </c>
      <c r="X14" s="770"/>
      <c r="Y14" s="3043"/>
      <c r="Z14" s="55">
        <f t="shared" si="7"/>
        <v>0</v>
      </c>
      <c r="AA14" s="771">
        <f t="shared" si="3"/>
        <v>1</v>
      </c>
      <c r="AB14" s="771">
        <f t="shared" si="4"/>
        <v>1</v>
      </c>
      <c r="AC14" s="771">
        <f t="shared" si="5"/>
        <v>1</v>
      </c>
    </row>
    <row r="15" spans="1:29" ht="85.5">
      <c r="A15" s="440" t="s">
        <v>2513</v>
      </c>
      <c r="B15" s="69" t="s">
        <v>2607</v>
      </c>
      <c r="C15" s="2602" t="str">
        <f>估价对象房地状况!C4</f>
        <v>估价对象位于东大桥商圈，周边商业氛围较成熟，人流量较大，商业繁华度较好</v>
      </c>
      <c r="D15" s="441">
        <v>100</v>
      </c>
      <c r="E15" s="442" t="s">
        <v>3081</v>
      </c>
      <c r="F15" s="443">
        <f>SUMIF(76:76,E16,77:77)-SUMIF(76:76,C16,77:77)+100</f>
        <v>100</v>
      </c>
      <c r="G15" s="442" t="s">
        <v>3081</v>
      </c>
      <c r="H15" s="441">
        <f>SUMIF(76:76,G16,77:77)-SUMIF(76:76,C16,77:77)+100</f>
        <v>100</v>
      </c>
      <c r="I15" s="442" t="s">
        <v>3081</v>
      </c>
      <c r="J15" s="441">
        <f>SUMIF(76:76,I16,77:77)-SUMIF(76:76,C16,77:77)+100</f>
        <v>100</v>
      </c>
      <c r="K15" s="614">
        <v>2</v>
      </c>
      <c r="L15" s="1141"/>
      <c r="M15" s="1132"/>
      <c r="N15" s="1132"/>
      <c r="O15" s="1132"/>
      <c r="P15" s="3242" t="s">
        <v>2514</v>
      </c>
      <c r="Q15" s="1810" t="str">
        <f t="shared" si="6"/>
        <v>商业繁华度</v>
      </c>
      <c r="R15" s="772" t="s">
        <v>17</v>
      </c>
      <c r="S15" s="773">
        <f t="shared" si="0"/>
        <v>100</v>
      </c>
      <c r="T15" s="772" t="s">
        <v>17</v>
      </c>
      <c r="U15" s="773">
        <f t="shared" si="1"/>
        <v>100</v>
      </c>
      <c r="V15" s="772" t="s">
        <v>17</v>
      </c>
      <c r="W15" s="773">
        <f t="shared" si="2"/>
        <v>100</v>
      </c>
      <c r="X15" s="1813"/>
      <c r="Y15" s="3196" t="s">
        <v>2514</v>
      </c>
      <c r="Z15" s="1814" t="str">
        <f t="shared" si="7"/>
        <v>商业繁华度</v>
      </c>
      <c r="AA15" s="1811">
        <f t="shared" si="3"/>
        <v>1</v>
      </c>
      <c r="AB15" s="1811">
        <f t="shared" si="4"/>
        <v>1</v>
      </c>
      <c r="AC15" s="1811">
        <f t="shared" si="5"/>
        <v>1</v>
      </c>
    </row>
    <row r="16" spans="1:29" ht="15">
      <c r="A16" s="428"/>
      <c r="B16" s="446"/>
      <c r="C16" s="447" t="s">
        <v>3015</v>
      </c>
      <c r="D16" s="448"/>
      <c r="E16" s="447" t="s">
        <v>3015</v>
      </c>
      <c r="F16" s="449"/>
      <c r="G16" s="447" t="s">
        <v>3015</v>
      </c>
      <c r="H16" s="450"/>
      <c r="I16" s="447" t="s">
        <v>3015</v>
      </c>
      <c r="J16" s="448"/>
      <c r="K16" s="615"/>
      <c r="L16" s="1141"/>
      <c r="M16" s="1132"/>
      <c r="N16" s="1132"/>
      <c r="O16" s="1132"/>
      <c r="P16" s="3243"/>
      <c r="Q16" s="1810"/>
      <c r="R16" s="772"/>
      <c r="S16" s="773"/>
      <c r="T16" s="772"/>
      <c r="U16" s="773"/>
      <c r="V16" s="772"/>
      <c r="W16" s="773"/>
      <c r="X16" s="1813"/>
      <c r="Y16" s="3197"/>
      <c r="Z16" s="1814"/>
      <c r="AA16" s="1811">
        <v>1</v>
      </c>
      <c r="AB16" s="1811">
        <v>1</v>
      </c>
      <c r="AC16" s="1811">
        <v>1</v>
      </c>
    </row>
    <row r="17" spans="1:29" ht="99.75">
      <c r="A17" s="428"/>
      <c r="B17" s="451" t="s">
        <v>2054</v>
      </c>
      <c r="C17" s="2606" t="str">
        <f>估价对象房地状况!C6</f>
        <v>估价对象周边道路状况较好、公共交通通达情况较好、停车便捷程度较好，综合评价交通便捷度较好</v>
      </c>
      <c r="D17" s="450">
        <v>100</v>
      </c>
      <c r="E17" s="452" t="s">
        <v>3083</v>
      </c>
      <c r="F17" s="453">
        <f>SUMIF(78:78,E18,79:79)-SUMIF(78:78,C18,79:79)+100</f>
        <v>100</v>
      </c>
      <c r="G17" s="452" t="s">
        <v>3083</v>
      </c>
      <c r="H17" s="455">
        <f>SUMIF(78:78,G18,79:79)-SUMIF(78:78,C18,79:79)+100</f>
        <v>100</v>
      </c>
      <c r="I17" s="452" t="s">
        <v>3083</v>
      </c>
      <c r="J17" s="455">
        <f>SUMIF(78:78,I18,79:79)-SUMIF(78:78,C18,79:79)+100</f>
        <v>100</v>
      </c>
      <c r="K17" s="614">
        <v>1</v>
      </c>
      <c r="L17" s="1141"/>
      <c r="M17" s="1132"/>
      <c r="N17" s="1132"/>
      <c r="O17" s="1132"/>
      <c r="P17" s="3243"/>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1811">
        <f t="shared" si="5"/>
        <v>1</v>
      </c>
    </row>
    <row r="18" spans="1:29" ht="15">
      <c r="A18" s="428"/>
      <c r="B18" s="456"/>
      <c r="C18" s="2607" t="s">
        <v>3015</v>
      </c>
      <c r="D18" s="450"/>
      <c r="E18" s="2609" t="s">
        <v>3015</v>
      </c>
      <c r="F18" s="453"/>
      <c r="G18" s="2609" t="s">
        <v>3015</v>
      </c>
      <c r="H18" s="448"/>
      <c r="I18" s="2609" t="s">
        <v>3015</v>
      </c>
      <c r="J18" s="448"/>
      <c r="K18" s="615"/>
      <c r="L18" s="1141"/>
      <c r="M18" s="1132"/>
      <c r="N18" s="1132"/>
      <c r="O18" s="1132"/>
      <c r="P18" s="3243"/>
      <c r="Q18" s="1810"/>
      <c r="R18" s="772"/>
      <c r="S18" s="773"/>
      <c r="T18" s="772"/>
      <c r="U18" s="773"/>
      <c r="V18" s="772"/>
      <c r="W18" s="773"/>
      <c r="X18" s="1813"/>
      <c r="Y18" s="3197"/>
      <c r="Z18" s="1814"/>
      <c r="AA18" s="1811">
        <v>1</v>
      </c>
      <c r="AB18" s="1811">
        <v>1</v>
      </c>
      <c r="AC18" s="1811">
        <v>1</v>
      </c>
    </row>
    <row r="19" spans="1:29" ht="42.75">
      <c r="A19" s="428"/>
      <c r="B19" s="451" t="s">
        <v>2608</v>
      </c>
      <c r="C19" s="2606" t="str">
        <f>估价对象房地状况!C7</f>
        <v>估价对象所在区域公共配套设施齐备情况较好</v>
      </c>
      <c r="D19" s="455">
        <v>100</v>
      </c>
      <c r="E19" s="457" t="s">
        <v>3085</v>
      </c>
      <c r="F19" s="458">
        <f>SUMIF(80:80,E20,81:81)-SUMIF(80:80,C20,81:81)+100</f>
        <v>100</v>
      </c>
      <c r="G19" s="457" t="s">
        <v>3085</v>
      </c>
      <c r="H19" s="450">
        <f>SUMIF(80:80,G20,81:81)-SUMIF(80:80,C20,81:81)+100</f>
        <v>100</v>
      </c>
      <c r="I19" s="457" t="s">
        <v>3085</v>
      </c>
      <c r="J19" s="450">
        <f>SUMIF(80:80,I20,81:81)-SUMIF(80:80,C20,81:81)+100</f>
        <v>100</v>
      </c>
      <c r="K19" s="614">
        <v>1</v>
      </c>
      <c r="L19" s="1141"/>
      <c r="M19" s="1132"/>
      <c r="N19" s="1132"/>
      <c r="O19" s="1132"/>
      <c r="P19" s="3243"/>
      <c r="Q19" s="1810" t="str">
        <f>B19</f>
        <v>公共配套设施</v>
      </c>
      <c r="R19" s="772" t="s">
        <v>17</v>
      </c>
      <c r="S19" s="773">
        <f>F19</f>
        <v>100</v>
      </c>
      <c r="T19" s="772" t="s">
        <v>17</v>
      </c>
      <c r="U19" s="773">
        <f>H19</f>
        <v>100</v>
      </c>
      <c r="V19" s="772" t="s">
        <v>17</v>
      </c>
      <c r="W19" s="773">
        <f>J19</f>
        <v>100</v>
      </c>
      <c r="X19" s="1813"/>
      <c r="Y19" s="3197"/>
      <c r="Z19" s="1814" t="str">
        <f>Q19</f>
        <v>公共配套设施</v>
      </c>
      <c r="AA19" s="1811">
        <f t="shared" si="3"/>
        <v>1</v>
      </c>
      <c r="AB19" s="1811">
        <f t="shared" si="4"/>
        <v>1</v>
      </c>
      <c r="AC19" s="1811">
        <f t="shared" si="5"/>
        <v>1</v>
      </c>
    </row>
    <row r="20" spans="1:29" ht="15">
      <c r="A20" s="428"/>
      <c r="B20" s="456"/>
      <c r="C20" s="447" t="s">
        <v>3015</v>
      </c>
      <c r="D20" s="448"/>
      <c r="E20" s="2604" t="s">
        <v>3015</v>
      </c>
      <c r="F20" s="449"/>
      <c r="G20" s="2604" t="s">
        <v>3015</v>
      </c>
      <c r="H20" s="448"/>
      <c r="I20" s="2604" t="s">
        <v>3015</v>
      </c>
      <c r="J20" s="448"/>
      <c r="K20" s="615"/>
      <c r="L20" s="1141"/>
      <c r="M20" s="1132"/>
      <c r="N20" s="1132"/>
      <c r="O20" s="1132"/>
      <c r="P20" s="3243"/>
      <c r="Q20" s="1810"/>
      <c r="R20" s="772"/>
      <c r="S20" s="773"/>
      <c r="T20" s="772"/>
      <c r="U20" s="773"/>
      <c r="V20" s="772"/>
      <c r="W20" s="773"/>
      <c r="X20" s="1813"/>
      <c r="Y20" s="3197"/>
      <c r="Z20" s="1814"/>
      <c r="AA20" s="1811">
        <v>1</v>
      </c>
      <c r="AB20" s="1811">
        <v>1</v>
      </c>
      <c r="AC20" s="1811">
        <v>1</v>
      </c>
    </row>
    <row r="21" spans="1:29" ht="42.75">
      <c r="A21" s="428"/>
      <c r="B21" s="1385" t="s">
        <v>2609</v>
      </c>
      <c r="C21" s="2606" t="str">
        <f>估价对象房地状况!C8</f>
        <v>估价对象所在区域基础设施水平较好</v>
      </c>
      <c r="D21" s="455">
        <v>100</v>
      </c>
      <c r="E21" s="457" t="s">
        <v>3087</v>
      </c>
      <c r="F21" s="458">
        <f>SUMIF(82:82,E22,83:83)-SUMIF(82:82,C22,83:83)+100</f>
        <v>100</v>
      </c>
      <c r="G21" s="457" t="s">
        <v>3087</v>
      </c>
      <c r="H21" s="450">
        <f>SUMIF(82:82,G22,83:83)-SUMIF(82:82,C22,83:83)+100</f>
        <v>100</v>
      </c>
      <c r="I21" s="457" t="s">
        <v>3087</v>
      </c>
      <c r="J21" s="450">
        <f>SUMIF(82:82,I22,83:83)-SUMIF(82:82,C22,83:83)+100</f>
        <v>100</v>
      </c>
      <c r="K21" s="614">
        <v>1</v>
      </c>
      <c r="L21" s="1141"/>
      <c r="M21" s="1132"/>
      <c r="N21" s="1132"/>
      <c r="O21" s="1132"/>
      <c r="P21" s="3243"/>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5"/>
      <c r="C22" s="2607" t="s">
        <v>3073</v>
      </c>
      <c r="D22" s="448"/>
      <c r="E22" s="447" t="s">
        <v>3073</v>
      </c>
      <c r="F22" s="449"/>
      <c r="G22" s="447" t="s">
        <v>3073</v>
      </c>
      <c r="H22" s="448"/>
      <c r="I22" s="447" t="s">
        <v>3073</v>
      </c>
      <c r="J22" s="448"/>
      <c r="K22" s="1384"/>
      <c r="L22" s="1141"/>
      <c r="M22" s="1132"/>
      <c r="N22" s="1132"/>
      <c r="O22" s="1132"/>
      <c r="P22" s="3243"/>
      <c r="Q22" s="1810"/>
      <c r="R22" s="772"/>
      <c r="S22" s="773"/>
      <c r="T22" s="772"/>
      <c r="U22" s="773"/>
      <c r="V22" s="772"/>
      <c r="W22" s="773"/>
      <c r="X22" s="1813"/>
      <c r="Y22" s="3197"/>
      <c r="Z22" s="1814"/>
      <c r="AA22" s="1811">
        <v>1</v>
      </c>
      <c r="AB22" s="1811">
        <v>1</v>
      </c>
      <c r="AC22" s="1811">
        <v>1</v>
      </c>
    </row>
    <row r="23" spans="1:29" ht="57">
      <c r="A23" s="428"/>
      <c r="B23" s="451" t="s">
        <v>2057</v>
      </c>
      <c r="C23" s="2663" t="str">
        <f>估价对象房地状况!C9</f>
        <v>区域自然环境及人文环境较好；综合评价环境状况较好</v>
      </c>
      <c r="D23" s="450">
        <v>100</v>
      </c>
      <c r="E23" s="452" t="s">
        <v>3089</v>
      </c>
      <c r="F23" s="453">
        <f>SUMIF(84:84,E24,85:85)-SUMIF(84:84,C24,85:85)+100</f>
        <v>100</v>
      </c>
      <c r="G23" s="452" t="s">
        <v>3089</v>
      </c>
      <c r="H23" s="450">
        <f>SUMIF(84:84,G24,85:85)-SUMIF(84:84,C24,85:85)+100</f>
        <v>100</v>
      </c>
      <c r="I23" s="452" t="s">
        <v>3089</v>
      </c>
      <c r="J23" s="450">
        <f>SUMIF(84:84,I24,85:85)-SUMIF(84:84,C24,85:85)+100</f>
        <v>100</v>
      </c>
      <c r="K23" s="614">
        <v>1</v>
      </c>
      <c r="L23" s="1141"/>
      <c r="M23" s="1132"/>
      <c r="N23" s="1132"/>
      <c r="O23" s="1132"/>
      <c r="P23" s="3243"/>
      <c r="Q23" s="1810" t="str">
        <f>B23</f>
        <v>自然及人文环境</v>
      </c>
      <c r="R23" s="772" t="s">
        <v>17</v>
      </c>
      <c r="S23" s="773">
        <f>F23</f>
        <v>100</v>
      </c>
      <c r="T23" s="772" t="s">
        <v>17</v>
      </c>
      <c r="U23" s="773">
        <f>H23</f>
        <v>100</v>
      </c>
      <c r="V23" s="772" t="s">
        <v>17</v>
      </c>
      <c r="W23" s="773">
        <f>J23</f>
        <v>100</v>
      </c>
      <c r="X23" s="1813"/>
      <c r="Y23" s="3197"/>
      <c r="Z23" s="1814" t="str">
        <f>Q23</f>
        <v>自然及人文环境</v>
      </c>
      <c r="AA23" s="1811">
        <f t="shared" si="3"/>
        <v>1</v>
      </c>
      <c r="AB23" s="1811">
        <f t="shared" si="4"/>
        <v>1</v>
      </c>
      <c r="AC23" s="1811">
        <f t="shared" si="5"/>
        <v>1</v>
      </c>
    </row>
    <row r="24" spans="1:29" ht="15">
      <c r="A24" s="428"/>
      <c r="B24" s="456"/>
      <c r="C24" s="447" t="s">
        <v>3015</v>
      </c>
      <c r="D24" s="448"/>
      <c r="E24" s="2604" t="s">
        <v>3015</v>
      </c>
      <c r="F24" s="449"/>
      <c r="G24" s="2604" t="s">
        <v>3015</v>
      </c>
      <c r="H24" s="448"/>
      <c r="I24" s="2604" t="s">
        <v>3015</v>
      </c>
      <c r="J24" s="448"/>
      <c r="K24" s="615"/>
      <c r="L24" s="1141"/>
      <c r="M24" s="1132"/>
      <c r="N24" s="1132"/>
      <c r="O24" s="1132"/>
      <c r="P24" s="3243"/>
      <c r="Q24" s="1810"/>
      <c r="R24" s="772"/>
      <c r="S24" s="773"/>
      <c r="T24" s="772"/>
      <c r="U24" s="773"/>
      <c r="V24" s="772"/>
      <c r="W24" s="773"/>
      <c r="X24" s="1813"/>
      <c r="Y24" s="3197"/>
      <c r="Z24" s="1814"/>
      <c r="AA24" s="1811">
        <v>1</v>
      </c>
      <c r="AB24" s="1811">
        <v>1</v>
      </c>
      <c r="AC24" s="1811">
        <v>1</v>
      </c>
    </row>
    <row r="25" spans="1:29" ht="15">
      <c r="A25" s="428"/>
      <c r="B25" s="422" t="s">
        <v>2610</v>
      </c>
      <c r="C25" s="616" t="s">
        <v>3015</v>
      </c>
      <c r="D25" s="435">
        <v>100</v>
      </c>
      <c r="E25" s="616" t="s">
        <v>3015</v>
      </c>
      <c r="F25" s="461">
        <f>SUMIF(86:86,E25,87:87)-SUMIF(86:86,C25,87:87)+100</f>
        <v>100</v>
      </c>
      <c r="G25" s="616" t="s">
        <v>3015</v>
      </c>
      <c r="H25" s="435">
        <f>SUMIF(86:86,G25,87:87)-SUMIF(86:86,C25,87:87)+100</f>
        <v>100</v>
      </c>
      <c r="I25" s="616" t="s">
        <v>3015</v>
      </c>
      <c r="J25" s="435">
        <f>SUMIF(86:86,I25,87:87)-SUMIF(86:86,C25,87:87)+100</f>
        <v>100</v>
      </c>
      <c r="K25" s="612">
        <v>1</v>
      </c>
      <c r="L25" s="1141"/>
      <c r="M25" s="1132"/>
      <c r="N25" s="1132"/>
      <c r="O25" s="1132"/>
      <c r="P25" s="3243"/>
      <c r="Q25" s="1810" t="str">
        <f t="shared" ref="Q25:Q46" si="11">B25</f>
        <v>临街状况</v>
      </c>
      <c r="R25" s="772" t="s">
        <v>17</v>
      </c>
      <c r="S25" s="773">
        <f>F25</f>
        <v>100</v>
      </c>
      <c r="T25" s="772" t="s">
        <v>17</v>
      </c>
      <c r="U25" s="773">
        <f>H25</f>
        <v>100</v>
      </c>
      <c r="V25" s="772" t="s">
        <v>17</v>
      </c>
      <c r="W25" s="773">
        <f>J25</f>
        <v>100</v>
      </c>
      <c r="X25" s="1813"/>
      <c r="Y25" s="3197"/>
      <c r="Z25" s="1814" t="str">
        <f>Q25</f>
        <v>临街状况</v>
      </c>
      <c r="AA25" s="1811">
        <f t="shared" si="3"/>
        <v>1</v>
      </c>
      <c r="AB25" s="1811">
        <f t="shared" si="4"/>
        <v>1</v>
      </c>
      <c r="AC25" s="1811">
        <f t="shared" si="5"/>
        <v>1</v>
      </c>
    </row>
    <row r="26" spans="1:29" ht="15">
      <c r="A26" s="428"/>
      <c r="B26" s="1387" t="s">
        <v>2611</v>
      </c>
      <c r="C26" s="2972" t="s">
        <v>3066</v>
      </c>
      <c r="D26" s="435">
        <v>100</v>
      </c>
      <c r="E26" s="434" t="s">
        <v>3015</v>
      </c>
      <c r="F26" s="461">
        <f>SUMIF(88:88,E26,89:89)-SUMIF(88:88,C26,89:89)+100</f>
        <v>100</v>
      </c>
      <c r="G26" s="434" t="s">
        <v>3015</v>
      </c>
      <c r="H26" s="435">
        <f>SUMIF(88:88,G26,89:89)-SUMIF(88:88,C26,89:89)+100</f>
        <v>100</v>
      </c>
      <c r="I26" s="434" t="s">
        <v>3015</v>
      </c>
      <c r="J26" s="435">
        <f>SUMIF(88:88,I26,89:89)-SUMIF(88:88,C26,89:89)+100</f>
        <v>100</v>
      </c>
      <c r="K26" s="613"/>
      <c r="L26" s="1141"/>
      <c r="M26" s="1132"/>
      <c r="N26" s="1132"/>
      <c r="O26" s="1132"/>
      <c r="P26" s="3243"/>
      <c r="Q26" s="1810" t="str">
        <f t="shared" si="11"/>
        <v>平面位置/可视性</v>
      </c>
      <c r="R26" s="772" t="s">
        <v>17</v>
      </c>
      <c r="S26" s="773">
        <f>F26</f>
        <v>100</v>
      </c>
      <c r="T26" s="772" t="s">
        <v>17</v>
      </c>
      <c r="U26" s="773">
        <f>H26</f>
        <v>100</v>
      </c>
      <c r="V26" s="772" t="s">
        <v>17</v>
      </c>
      <c r="W26" s="773">
        <f>J26</f>
        <v>100</v>
      </c>
      <c r="X26" s="1813"/>
      <c r="Y26" s="3197"/>
      <c r="Z26" s="1814" t="str">
        <f>Q26</f>
        <v>平面位置/可视性</v>
      </c>
      <c r="AA26" s="1811">
        <f t="shared" si="3"/>
        <v>1</v>
      </c>
      <c r="AB26" s="1811">
        <f t="shared" si="4"/>
        <v>1</v>
      </c>
      <c r="AC26" s="1811">
        <f t="shared" si="5"/>
        <v>1</v>
      </c>
    </row>
    <row r="27" spans="1:29" s="117" customFormat="1" ht="15">
      <c r="A27" s="431"/>
      <c r="B27" s="451" t="s">
        <v>2612</v>
      </c>
      <c r="C27" s="2664" t="s">
        <v>3015</v>
      </c>
      <c r="D27" s="462">
        <v>100</v>
      </c>
      <c r="E27" s="2664" t="s">
        <v>3015</v>
      </c>
      <c r="F27" s="464">
        <f>SUMIF(90:90,E27,91:91)-SUMIF(90:90,C27,91:91)+100</f>
        <v>100</v>
      </c>
      <c r="G27" s="2664" t="s">
        <v>3015</v>
      </c>
      <c r="H27" s="462">
        <f>SUMIF(90:90,G27,91:91)-SUMIF(90:90,C27,91:91)+100</f>
        <v>100</v>
      </c>
      <c r="I27" s="2664" t="s">
        <v>3015</v>
      </c>
      <c r="J27" s="462">
        <f>SUMIF(90:90,I27,91:91)-SUMIF(90:90,C27,91:91)+100</f>
        <v>100</v>
      </c>
      <c r="K27" s="612">
        <v>1</v>
      </c>
      <c r="L27" s="1133"/>
      <c r="M27" s="1134"/>
      <c r="N27" s="1134"/>
      <c r="O27" s="1134"/>
      <c r="P27" s="3243"/>
      <c r="Q27" s="1795" t="str">
        <f t="shared" si="11"/>
        <v>人流量</v>
      </c>
      <c r="R27" s="768" t="s">
        <v>17</v>
      </c>
      <c r="S27" s="769">
        <f>F27</f>
        <v>100</v>
      </c>
      <c r="T27" s="768" t="s">
        <v>17</v>
      </c>
      <c r="U27" s="769">
        <f>H27</f>
        <v>100</v>
      </c>
      <c r="V27" s="768" t="s">
        <v>17</v>
      </c>
      <c r="W27" s="769">
        <f>J27</f>
        <v>100</v>
      </c>
      <c r="X27" s="770"/>
      <c r="Y27" s="3197"/>
      <c r="Z27" s="55" t="str">
        <f>Q27</f>
        <v>人流量</v>
      </c>
      <c r="AA27" s="1811">
        <f>D27/F27</f>
        <v>1</v>
      </c>
      <c r="AB27" s="1811">
        <f>D27/H27</f>
        <v>1</v>
      </c>
      <c r="AC27" s="1811">
        <f>D27/J27</f>
        <v>1</v>
      </c>
    </row>
    <row r="28" spans="1:29" ht="15">
      <c r="A28" s="428"/>
      <c r="B28" s="422" t="s">
        <v>2613</v>
      </c>
      <c r="C28" s="616" t="s">
        <v>3048</v>
      </c>
      <c r="D28" s="435">
        <v>100</v>
      </c>
      <c r="E28" s="616" t="s">
        <v>3048</v>
      </c>
      <c r="F28" s="461">
        <f>SUMIF(92:92,E28,93:93)-SUMIF(92:92,C28,93:93)+100</f>
        <v>100</v>
      </c>
      <c r="G28" s="616" t="s">
        <v>3048</v>
      </c>
      <c r="H28" s="435">
        <f>SUMIF(92:92,G28,93:93)-SUMIF(92:92,C28,93:93)+100</f>
        <v>100</v>
      </c>
      <c r="I28" s="616" t="s">
        <v>3048</v>
      </c>
      <c r="J28" s="435">
        <f>SUMIF(92:92,I28,93:93)-SUMIF(92:92,C28,93:93)+100</f>
        <v>100</v>
      </c>
      <c r="K28" s="613"/>
      <c r="L28" s="1141"/>
      <c r="M28" s="1132"/>
      <c r="N28" s="1132"/>
      <c r="O28" s="1132"/>
      <c r="P28" s="3243"/>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197"/>
      <c r="Z28" s="1814" t="str">
        <f t="shared" ref="Z28:Z46" si="15">Q28</f>
        <v>楼层</v>
      </c>
      <c r="AA28" s="1811">
        <f t="shared" si="3"/>
        <v>1</v>
      </c>
      <c r="AB28" s="1811">
        <f t="shared" si="4"/>
        <v>1</v>
      </c>
      <c r="AC28" s="1811">
        <f t="shared" si="5"/>
        <v>1</v>
      </c>
    </row>
    <row r="29" spans="1:29" ht="15">
      <c r="A29" s="428"/>
      <c r="B29" s="2973" t="s">
        <v>3102</v>
      </c>
      <c r="C29" s="2972" t="s">
        <v>3103</v>
      </c>
      <c r="D29" s="435">
        <v>100</v>
      </c>
      <c r="E29" s="2972" t="s">
        <v>3111</v>
      </c>
      <c r="F29" s="461">
        <f>SUMIF(94:94,E29,95:95)-SUMIF(94:94,C29,95:95)+100</f>
        <v>101</v>
      </c>
      <c r="G29" s="2972" t="s">
        <v>3103</v>
      </c>
      <c r="H29" s="435">
        <f>SUMIF(94:94,G29,95:95)-SUMIF(94:94,C29,95:95)+100</f>
        <v>100</v>
      </c>
      <c r="I29" s="2972" t="s">
        <v>3103</v>
      </c>
      <c r="J29" s="435">
        <f>SUMIF(94:94,I29,95:95)-SUMIF(94:94,C29,95:95)+100</f>
        <v>100</v>
      </c>
      <c r="K29" s="613"/>
      <c r="L29" s="1141"/>
      <c r="M29" s="1132"/>
      <c r="N29" s="1132"/>
      <c r="O29" s="1132"/>
      <c r="P29" s="3243"/>
      <c r="Q29" s="1810" t="str">
        <f t="shared" si="11"/>
        <v>临街状况</v>
      </c>
      <c r="R29" s="772" t="s">
        <v>17</v>
      </c>
      <c r="S29" s="773">
        <f t="shared" si="12"/>
        <v>101</v>
      </c>
      <c r="T29" s="772" t="s">
        <v>17</v>
      </c>
      <c r="U29" s="773">
        <f t="shared" si="13"/>
        <v>100</v>
      </c>
      <c r="V29" s="772" t="s">
        <v>17</v>
      </c>
      <c r="W29" s="773">
        <f t="shared" si="14"/>
        <v>100</v>
      </c>
      <c r="X29" s="1813"/>
      <c r="Y29" s="3197"/>
      <c r="Z29" s="1814" t="str">
        <f t="shared" si="15"/>
        <v>临街状况</v>
      </c>
      <c r="AA29" s="1811">
        <f t="shared" si="3"/>
        <v>0.99009900990099009</v>
      </c>
      <c r="AB29" s="1811">
        <f t="shared" si="4"/>
        <v>1</v>
      </c>
      <c r="AC29" s="1811">
        <f t="shared" si="5"/>
        <v>1</v>
      </c>
    </row>
    <row r="30" spans="1:29" ht="15">
      <c r="A30" s="428"/>
      <c r="B30" s="1387"/>
      <c r="C30" s="2972" t="s">
        <v>3104</v>
      </c>
      <c r="D30" s="435">
        <v>100</v>
      </c>
      <c r="E30" s="2972" t="s">
        <v>3112</v>
      </c>
      <c r="F30" s="461">
        <f>SUMIF(96:96,E30,97:97)-SUMIF(96:96,C30,97:97)+100</f>
        <v>100</v>
      </c>
      <c r="G30" s="2972" t="s">
        <v>3110</v>
      </c>
      <c r="H30" s="435">
        <f>SUMIF(96:96,G30,97:97)-SUMIF(96:96,C30,97:97)+100</f>
        <v>100</v>
      </c>
      <c r="I30" s="2972" t="s">
        <v>3109</v>
      </c>
      <c r="J30" s="435">
        <f>SUMIF(96:96,I30,97:97)-SUMIF(96:96,C30,97:97)+100</f>
        <v>100</v>
      </c>
      <c r="K30" s="613"/>
      <c r="L30" s="1141"/>
      <c r="M30" s="1132"/>
      <c r="N30" s="1132"/>
      <c r="O30" s="1132"/>
      <c r="P30" s="3243"/>
      <c r="Q30" s="1810">
        <f t="shared" si="11"/>
        <v>0</v>
      </c>
      <c r="R30" s="772" t="s">
        <v>17</v>
      </c>
      <c r="S30" s="773">
        <f t="shared" si="12"/>
        <v>100</v>
      </c>
      <c r="T30" s="772" t="s">
        <v>17</v>
      </c>
      <c r="U30" s="773">
        <f t="shared" si="13"/>
        <v>100</v>
      </c>
      <c r="V30" s="772" t="s">
        <v>17</v>
      </c>
      <c r="W30" s="773">
        <f t="shared" si="14"/>
        <v>100</v>
      </c>
      <c r="X30" s="1813"/>
      <c r="Y30" s="3197"/>
      <c r="Z30" s="1814">
        <f t="shared" si="15"/>
        <v>0</v>
      </c>
      <c r="AA30" s="1811">
        <f t="shared" si="3"/>
        <v>1</v>
      </c>
      <c r="AB30" s="1811">
        <f t="shared" si="4"/>
        <v>1</v>
      </c>
      <c r="AC30" s="1811">
        <f t="shared" si="5"/>
        <v>1</v>
      </c>
    </row>
    <row r="31" spans="1:29" ht="15.75"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43"/>
      <c r="Q31" s="1810">
        <f t="shared" si="11"/>
        <v>0</v>
      </c>
      <c r="R31" s="772" t="s">
        <v>17</v>
      </c>
      <c r="S31" s="773">
        <f t="shared" si="12"/>
        <v>100</v>
      </c>
      <c r="T31" s="772" t="s">
        <v>17</v>
      </c>
      <c r="U31" s="773">
        <f t="shared" si="13"/>
        <v>100</v>
      </c>
      <c r="V31" s="772" t="s">
        <v>17</v>
      </c>
      <c r="W31" s="773">
        <f t="shared" si="14"/>
        <v>100</v>
      </c>
      <c r="X31" s="1813"/>
      <c r="Y31" s="3197"/>
      <c r="Z31" s="1814">
        <f t="shared" si="15"/>
        <v>0</v>
      </c>
      <c r="AA31" s="1811">
        <f t="shared" si="3"/>
        <v>1</v>
      </c>
      <c r="AB31" s="1811">
        <f t="shared" si="4"/>
        <v>1</v>
      </c>
      <c r="AC31" s="1811">
        <f t="shared" si="5"/>
        <v>1</v>
      </c>
    </row>
    <row r="32" spans="1:29" ht="15">
      <c r="A32" s="440" t="s">
        <v>2517</v>
      </c>
      <c r="B32" s="71" t="s">
        <v>2614</v>
      </c>
      <c r="C32" s="2616" t="s">
        <v>3106</v>
      </c>
      <c r="D32" s="467">
        <v>100</v>
      </c>
      <c r="E32" s="2616" t="s">
        <v>3106</v>
      </c>
      <c r="F32" s="461">
        <f>SUMIF(100:100,E32,101:101)-SUMIF(100:100,C32,101:101)+100</f>
        <v>100</v>
      </c>
      <c r="G32" s="2616" t="s">
        <v>3106</v>
      </c>
      <c r="H32" s="435">
        <f>SUMIF(100:100,G32,101:101)-SUMIF(100:100,C32,101:101)+100</f>
        <v>100</v>
      </c>
      <c r="I32" s="2616" t="s">
        <v>3080</v>
      </c>
      <c r="J32" s="467">
        <f>SUMIF(100:100,I32,101:101)-SUMIF(100:100,C32,101:101)+100</f>
        <v>101</v>
      </c>
      <c r="K32" s="612">
        <v>1</v>
      </c>
      <c r="L32" s="1141"/>
      <c r="M32" s="1132"/>
      <c r="N32" s="1132"/>
      <c r="O32" s="1132"/>
      <c r="P32" s="3244" t="s">
        <v>2519</v>
      </c>
      <c r="Q32" s="1810" t="str">
        <f t="shared" si="11"/>
        <v>商业类型</v>
      </c>
      <c r="R32" s="772" t="s">
        <v>17</v>
      </c>
      <c r="S32" s="773">
        <f t="shared" si="12"/>
        <v>100</v>
      </c>
      <c r="T32" s="772" t="s">
        <v>17</v>
      </c>
      <c r="U32" s="773">
        <f t="shared" si="13"/>
        <v>100</v>
      </c>
      <c r="V32" s="772" t="s">
        <v>17</v>
      </c>
      <c r="W32" s="773">
        <f t="shared" si="14"/>
        <v>101</v>
      </c>
      <c r="X32" s="1813"/>
      <c r="Y32" s="3199" t="s">
        <v>2519</v>
      </c>
      <c r="Z32" s="1814" t="str">
        <f t="shared" si="15"/>
        <v>商业类型</v>
      </c>
      <c r="AA32" s="1811">
        <f t="shared" si="3"/>
        <v>1</v>
      </c>
      <c r="AB32" s="1811">
        <f t="shared" si="4"/>
        <v>1</v>
      </c>
      <c r="AC32" s="1811">
        <f t="shared" si="5"/>
        <v>0.99009900990099009</v>
      </c>
    </row>
    <row r="33" spans="1:29" s="471" customFormat="1" ht="15">
      <c r="A33" s="468"/>
      <c r="B33" s="422" t="s">
        <v>2520</v>
      </c>
      <c r="C33" s="469">
        <v>399.27</v>
      </c>
      <c r="D33" s="136">
        <v>100</v>
      </c>
      <c r="E33" s="430">
        <v>150</v>
      </c>
      <c r="F33" s="425">
        <f>LOOKUP(E33,103:103,104:104)-LOOKUP(C33,103:103,104:104)+100</f>
        <v>101</v>
      </c>
      <c r="G33" s="429">
        <v>550</v>
      </c>
      <c r="H33" s="136">
        <f>LOOKUP(G33,103:103,104:104)-LOOKUP(C33,103:103,104:104)+100</f>
        <v>99</v>
      </c>
      <c r="I33" s="429">
        <v>162.91999999999999</v>
      </c>
      <c r="J33" s="136">
        <f>LOOKUP(I33,103:103,104:104)-LOOKUP(C33,103:103,104:104)+100</f>
        <v>101</v>
      </c>
      <c r="K33" s="613"/>
      <c r="L33" s="1139"/>
      <c r="M33" s="1142"/>
      <c r="N33" s="1142"/>
      <c r="O33" s="1142"/>
      <c r="P33" s="3245"/>
      <c r="Q33" s="774" t="str">
        <f t="shared" si="11"/>
        <v>项目建筑规模</v>
      </c>
      <c r="R33" s="775" t="s">
        <v>17</v>
      </c>
      <c r="S33" s="776">
        <f t="shared" si="12"/>
        <v>101</v>
      </c>
      <c r="T33" s="775" t="s">
        <v>17</v>
      </c>
      <c r="U33" s="776">
        <f t="shared" si="13"/>
        <v>99</v>
      </c>
      <c r="V33" s="775" t="s">
        <v>17</v>
      </c>
      <c r="W33" s="776">
        <f t="shared" si="14"/>
        <v>101</v>
      </c>
      <c r="X33" s="777"/>
      <c r="Y33" s="3199"/>
      <c r="Z33" s="778" t="str">
        <f t="shared" si="15"/>
        <v>项目建筑规模</v>
      </c>
      <c r="AA33" s="1811">
        <f t="shared" si="3"/>
        <v>0.99009900990099009</v>
      </c>
      <c r="AB33" s="1811">
        <f t="shared" si="4"/>
        <v>1.0101010101010102</v>
      </c>
      <c r="AC33" s="1811">
        <f t="shared" si="5"/>
        <v>0.99009900990099009</v>
      </c>
    </row>
    <row r="34" spans="1:29" ht="15">
      <c r="A34" s="472"/>
      <c r="B34" s="422" t="s">
        <v>2521</v>
      </c>
      <c r="C34" s="2618" t="s">
        <v>3010</v>
      </c>
      <c r="D34" s="435">
        <v>100</v>
      </c>
      <c r="E34" s="2618" t="s">
        <v>3010</v>
      </c>
      <c r="F34" s="461">
        <f>SUMIF(105:105,E34,106:106)-SUMIF(105:105,C34,106:106)+100</f>
        <v>100</v>
      </c>
      <c r="G34" s="2618" t="s">
        <v>3010</v>
      </c>
      <c r="H34" s="435">
        <f>SUMIF(105:105,G34,106:106)-SUMIF(105:105,C34,106:106)+100</f>
        <v>100</v>
      </c>
      <c r="I34" s="2618" t="s">
        <v>3010</v>
      </c>
      <c r="J34" s="435">
        <f>SUMIF(105:105,I34,106:106)-SUMIF(105:105,C34,106:106)+100</f>
        <v>100</v>
      </c>
      <c r="K34" s="612">
        <v>1</v>
      </c>
      <c r="L34" s="1141"/>
      <c r="M34" s="1132"/>
      <c r="N34" s="1132"/>
      <c r="O34" s="1132"/>
      <c r="P34" s="3245"/>
      <c r="Q34" s="1810" t="str">
        <f t="shared" si="11"/>
        <v>建筑结构</v>
      </c>
      <c r="R34" s="772" t="s">
        <v>17</v>
      </c>
      <c r="S34" s="773">
        <f t="shared" si="12"/>
        <v>100</v>
      </c>
      <c r="T34" s="772" t="s">
        <v>17</v>
      </c>
      <c r="U34" s="773">
        <f t="shared" si="13"/>
        <v>100</v>
      </c>
      <c r="V34" s="772" t="s">
        <v>17</v>
      </c>
      <c r="W34" s="773">
        <f t="shared" si="14"/>
        <v>100</v>
      </c>
      <c r="X34" s="1813"/>
      <c r="Y34" s="3199"/>
      <c r="Z34" s="1814" t="str">
        <f t="shared" si="15"/>
        <v>建筑结构</v>
      </c>
      <c r="AA34" s="1811">
        <f t="shared" si="3"/>
        <v>1</v>
      </c>
      <c r="AB34" s="1811">
        <f t="shared" si="4"/>
        <v>1</v>
      </c>
      <c r="AC34" s="1811">
        <f t="shared" si="5"/>
        <v>1</v>
      </c>
    </row>
    <row r="35" spans="1:29" ht="15">
      <c r="A35" s="472"/>
      <c r="B35" s="422" t="s">
        <v>2615</v>
      </c>
      <c r="C35" s="2612" t="s">
        <v>3078</v>
      </c>
      <c r="D35" s="435">
        <v>100</v>
      </c>
      <c r="E35" s="2612" t="s">
        <v>3078</v>
      </c>
      <c r="F35" s="461">
        <f>SUMIF(107:107,E35,108:108)-SUMIF(107:107,C35,108:108)+100</f>
        <v>100</v>
      </c>
      <c r="G35" s="2612" t="s">
        <v>3078</v>
      </c>
      <c r="H35" s="435">
        <f>SUMIF(107:107,G35,108:108)-SUMIF(107:107,C35,108:108)+100</f>
        <v>100</v>
      </c>
      <c r="I35" s="2612" t="s">
        <v>3078</v>
      </c>
      <c r="J35" s="435">
        <f>SUMIF(107:107,I35,108:108)-SUMIF(107:107,C35,108:108)+100</f>
        <v>100</v>
      </c>
      <c r="K35" s="612">
        <v>1</v>
      </c>
      <c r="L35" s="1141"/>
      <c r="M35" s="1132"/>
      <c r="N35" s="1132"/>
      <c r="O35" s="1132"/>
      <c r="P35" s="3245"/>
      <c r="Q35" s="1810" t="str">
        <f t="shared" si="11"/>
        <v>公共部分装修</v>
      </c>
      <c r="R35" s="772" t="s">
        <v>17</v>
      </c>
      <c r="S35" s="773">
        <f t="shared" si="12"/>
        <v>100</v>
      </c>
      <c r="T35" s="772" t="s">
        <v>17</v>
      </c>
      <c r="U35" s="773">
        <f t="shared" si="13"/>
        <v>100</v>
      </c>
      <c r="V35" s="772" t="s">
        <v>17</v>
      </c>
      <c r="W35" s="773">
        <f t="shared" si="14"/>
        <v>100</v>
      </c>
      <c r="X35" s="1813"/>
      <c r="Y35" s="3199"/>
      <c r="Z35" s="1814" t="str">
        <f t="shared" si="15"/>
        <v>公共部分装修</v>
      </c>
      <c r="AA35" s="1811">
        <f t="shared" si="3"/>
        <v>1</v>
      </c>
      <c r="AB35" s="1811">
        <f t="shared" si="4"/>
        <v>1</v>
      </c>
      <c r="AC35" s="1811">
        <f t="shared" si="5"/>
        <v>1</v>
      </c>
    </row>
    <row r="36" spans="1:29" ht="15">
      <c r="A36" s="472"/>
      <c r="B36" s="422" t="s">
        <v>2616</v>
      </c>
      <c r="C36" s="474">
        <f>ROUND(1-(2018-2000)/60,2)</f>
        <v>0.7</v>
      </c>
      <c r="D36" s="435">
        <v>100</v>
      </c>
      <c r="E36" s="474">
        <f>ROUND(1-(2018-2009)/60,2)</f>
        <v>0.85</v>
      </c>
      <c r="F36" s="461">
        <f>LOOKUP(E36,110:110,111:111)-LOOKUP(C36,110:110,111:111)+100</f>
        <v>101</v>
      </c>
      <c r="G36" s="474">
        <f>ROUND(1-(2018-2012)/60,2)</f>
        <v>0.9</v>
      </c>
      <c r="H36" s="461">
        <f>LOOKUP(G36,110:110,111:111)-LOOKUP(C36,110:110,111:111)+100</f>
        <v>102</v>
      </c>
      <c r="I36" s="474">
        <f>ROUND(1-(2018-2005)/60,2)</f>
        <v>0.78</v>
      </c>
      <c r="J36" s="435">
        <f>LOOKUP(I36,110:110,111:111)-LOOKUP(C36,110:110,111:111)+100</f>
        <v>100</v>
      </c>
      <c r="K36" s="612">
        <v>1</v>
      </c>
      <c r="L36" s="1141"/>
      <c r="M36" s="1132"/>
      <c r="N36" s="1132"/>
      <c r="O36" s="1132"/>
      <c r="P36" s="3245"/>
      <c r="Q36" s="1810" t="str">
        <f t="shared" si="11"/>
        <v>成新度</v>
      </c>
      <c r="R36" s="772" t="s">
        <v>17</v>
      </c>
      <c r="S36" s="773">
        <f t="shared" si="12"/>
        <v>101</v>
      </c>
      <c r="T36" s="772" t="s">
        <v>17</v>
      </c>
      <c r="U36" s="773">
        <f t="shared" si="13"/>
        <v>102</v>
      </c>
      <c r="V36" s="772" t="s">
        <v>17</v>
      </c>
      <c r="W36" s="773">
        <f t="shared" si="14"/>
        <v>100</v>
      </c>
      <c r="X36" s="1813"/>
      <c r="Y36" s="3199"/>
      <c r="Z36" s="1814" t="str">
        <f t="shared" si="15"/>
        <v>成新度</v>
      </c>
      <c r="AA36" s="1811">
        <f t="shared" si="3"/>
        <v>0.99009900990099009</v>
      </c>
      <c r="AB36" s="1811">
        <f t="shared" si="4"/>
        <v>0.98039215686274506</v>
      </c>
      <c r="AC36" s="1811">
        <f t="shared" si="5"/>
        <v>1</v>
      </c>
    </row>
    <row r="37" spans="1:29" s="117" customFormat="1" ht="15">
      <c r="A37" s="473"/>
      <c r="B37" s="422" t="s">
        <v>2617</v>
      </c>
      <c r="C37" s="2612" t="s">
        <v>3073</v>
      </c>
      <c r="D37" s="136">
        <v>100</v>
      </c>
      <c r="E37" s="2612" t="s">
        <v>3073</v>
      </c>
      <c r="F37" s="461">
        <f>SUMIF(112:112,E37,113:113)-SUMIF(112:112,C37,113:113)+100</f>
        <v>100</v>
      </c>
      <c r="G37" s="2612" t="s">
        <v>3073</v>
      </c>
      <c r="H37" s="435">
        <f>SUMIF(112:112,G37,113:113)-SUMIF(112:112,C37,113:113)+100</f>
        <v>100</v>
      </c>
      <c r="I37" s="2612" t="s">
        <v>3073</v>
      </c>
      <c r="J37" s="435">
        <f>SUMIF(112:112,I37,113:113)-SUMIF(112:112,C37,113:113)+100</f>
        <v>100</v>
      </c>
      <c r="K37" s="612">
        <v>1</v>
      </c>
      <c r="L37" s="1133"/>
      <c r="M37" s="1134"/>
      <c r="N37" s="1134"/>
      <c r="O37" s="1134"/>
      <c r="P37" s="3245"/>
      <c r="Q37" s="1795" t="str">
        <f t="shared" si="11"/>
        <v>市政基础设施</v>
      </c>
      <c r="R37" s="768" t="s">
        <v>17</v>
      </c>
      <c r="S37" s="769">
        <f t="shared" si="12"/>
        <v>100</v>
      </c>
      <c r="T37" s="768" t="s">
        <v>17</v>
      </c>
      <c r="U37" s="769">
        <f t="shared" si="13"/>
        <v>100</v>
      </c>
      <c r="V37" s="768" t="s">
        <v>17</v>
      </c>
      <c r="W37" s="769">
        <f t="shared" si="14"/>
        <v>100</v>
      </c>
      <c r="X37" s="770"/>
      <c r="Y37" s="3199"/>
      <c r="Z37" s="55" t="str">
        <f t="shared" si="15"/>
        <v>市政基础设施</v>
      </c>
      <c r="AA37" s="771">
        <f t="shared" si="3"/>
        <v>1</v>
      </c>
      <c r="AB37" s="771">
        <f t="shared" si="4"/>
        <v>1</v>
      </c>
      <c r="AC37" s="771">
        <f t="shared" si="5"/>
        <v>1</v>
      </c>
    </row>
    <row r="38" spans="1:29" ht="15">
      <c r="A38" s="472"/>
      <c r="B38" s="422" t="s">
        <v>2618</v>
      </c>
      <c r="C38" s="2612" t="s">
        <v>3100</v>
      </c>
      <c r="D38" s="435">
        <v>100</v>
      </c>
      <c r="E38" s="2612" t="s">
        <v>3100</v>
      </c>
      <c r="F38" s="461">
        <f>SUMIF(114:114,E38,115:115)-SUMIF(114:114,C38,115:115)+100</f>
        <v>100</v>
      </c>
      <c r="G38" s="2612" t="s">
        <v>3100</v>
      </c>
      <c r="H38" s="435">
        <f>SUMIF(114:114,G38,115:115)-SUMIF(114:114,C38,115:115)+100</f>
        <v>100</v>
      </c>
      <c r="I38" s="2612" t="s">
        <v>3100</v>
      </c>
      <c r="J38" s="435">
        <f>SUMIF(114:114,I38,115:115)-SUMIF(114:114,C38,115:115)+100</f>
        <v>100</v>
      </c>
      <c r="K38" s="612">
        <v>1</v>
      </c>
      <c r="L38" s="1141"/>
      <c r="M38" s="1132"/>
      <c r="N38" s="1132"/>
      <c r="O38" s="1132"/>
      <c r="P38" s="3245" t="s">
        <v>2519</v>
      </c>
      <c r="Q38" s="1810" t="str">
        <f t="shared" si="11"/>
        <v>业态</v>
      </c>
      <c r="R38" s="772" t="s">
        <v>17</v>
      </c>
      <c r="S38" s="773">
        <f t="shared" si="12"/>
        <v>100</v>
      </c>
      <c r="T38" s="772" t="s">
        <v>17</v>
      </c>
      <c r="U38" s="773">
        <f t="shared" si="13"/>
        <v>100</v>
      </c>
      <c r="V38" s="772" t="s">
        <v>17</v>
      </c>
      <c r="W38" s="773">
        <f t="shared" si="14"/>
        <v>100</v>
      </c>
      <c r="X38" s="1813"/>
      <c r="Y38" s="3199" t="s">
        <v>2519</v>
      </c>
      <c r="Z38" s="1814" t="str">
        <f t="shared" si="15"/>
        <v>业态</v>
      </c>
      <c r="AA38" s="1811">
        <f t="shared" si="3"/>
        <v>1</v>
      </c>
      <c r="AB38" s="1811">
        <f t="shared" si="4"/>
        <v>1</v>
      </c>
      <c r="AC38" s="1811">
        <f t="shared" si="5"/>
        <v>1</v>
      </c>
    </row>
    <row r="39" spans="1:29" ht="15">
      <c r="A39" s="472"/>
      <c r="B39" s="422" t="s">
        <v>2619</v>
      </c>
      <c r="C39" s="2612" t="s">
        <v>3075</v>
      </c>
      <c r="D39" s="435">
        <v>100</v>
      </c>
      <c r="E39" s="2612" t="s">
        <v>3075</v>
      </c>
      <c r="F39" s="461">
        <f>SUMIF(116:116,E39,117:117)-SUMIF(116:116,C39,117:117)+100</f>
        <v>100</v>
      </c>
      <c r="G39" s="2612" t="s">
        <v>3075</v>
      </c>
      <c r="H39" s="435">
        <f>SUMIF(116:116,G39,117:117)-SUMIF(116:116,C39,117:117)+100</f>
        <v>100</v>
      </c>
      <c r="I39" s="2612" t="s">
        <v>3075</v>
      </c>
      <c r="J39" s="435">
        <f>SUMIF(116:116,I39,117:117)-SUMIF(116:116,C39,117:117)+100</f>
        <v>100</v>
      </c>
      <c r="K39" s="612">
        <v>1</v>
      </c>
      <c r="L39" s="1141"/>
      <c r="M39" s="1132"/>
      <c r="N39" s="1132"/>
      <c r="O39" s="1132"/>
      <c r="P39" s="3245"/>
      <c r="Q39" s="1810" t="str">
        <f t="shared" si="11"/>
        <v>层高</v>
      </c>
      <c r="R39" s="772" t="s">
        <v>17</v>
      </c>
      <c r="S39" s="773">
        <f t="shared" si="12"/>
        <v>100</v>
      </c>
      <c r="T39" s="772" t="s">
        <v>17</v>
      </c>
      <c r="U39" s="773">
        <f t="shared" si="13"/>
        <v>100</v>
      </c>
      <c r="V39" s="772" t="s">
        <v>17</v>
      </c>
      <c r="W39" s="773">
        <f t="shared" si="14"/>
        <v>100</v>
      </c>
      <c r="X39" s="1813"/>
      <c r="Y39" s="3199"/>
      <c r="Z39" s="1814" t="str">
        <f t="shared" si="15"/>
        <v>层高</v>
      </c>
      <c r="AA39" s="1811">
        <f t="shared" si="3"/>
        <v>1</v>
      </c>
      <c r="AB39" s="1811">
        <f t="shared" si="4"/>
        <v>1</v>
      </c>
      <c r="AC39" s="1811">
        <f t="shared" si="5"/>
        <v>1</v>
      </c>
    </row>
    <row r="40" spans="1:29" ht="15">
      <c r="A40" s="472"/>
      <c r="B40" s="422" t="s">
        <v>2620</v>
      </c>
      <c r="C40" s="617" t="s">
        <v>3077</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1"/>
      <c r="M40" s="1132"/>
      <c r="N40" s="1132"/>
      <c r="O40" s="1132"/>
      <c r="P40" s="3245"/>
      <c r="Q40" s="1810" t="str">
        <f t="shared" si="11"/>
        <v>单套建筑面积</v>
      </c>
      <c r="R40" s="772" t="s">
        <v>17</v>
      </c>
      <c r="S40" s="773">
        <f t="shared" si="12"/>
        <v>100</v>
      </c>
      <c r="T40" s="772" t="s">
        <v>17</v>
      </c>
      <c r="U40" s="773">
        <f t="shared" si="13"/>
        <v>100</v>
      </c>
      <c r="V40" s="772" t="s">
        <v>17</v>
      </c>
      <c r="W40" s="773">
        <f t="shared" si="14"/>
        <v>100</v>
      </c>
      <c r="X40" s="1813"/>
      <c r="Y40" s="3199"/>
      <c r="Z40" s="1814" t="str">
        <f t="shared" si="15"/>
        <v>单套建筑面积</v>
      </c>
      <c r="AA40" s="1811">
        <f t="shared" si="3"/>
        <v>1</v>
      </c>
      <c r="AB40" s="1811">
        <f t="shared" si="4"/>
        <v>1</v>
      </c>
      <c r="AC40" s="1811">
        <f t="shared" si="5"/>
        <v>1</v>
      </c>
    </row>
    <row r="41" spans="1:29" s="471" customFormat="1" ht="15">
      <c r="A41" s="468"/>
      <c r="B41" s="1812" t="s">
        <v>2621</v>
      </c>
      <c r="C41" s="616" t="s">
        <v>3015</v>
      </c>
      <c r="D41" s="435">
        <v>100</v>
      </c>
      <c r="E41" s="616" t="s">
        <v>3015</v>
      </c>
      <c r="F41" s="461">
        <f>SUMIF(120:120,E41,121:121)-SUMIF(120:120,C41,121:121)+100</f>
        <v>100</v>
      </c>
      <c r="G41" s="616" t="s">
        <v>3015</v>
      </c>
      <c r="H41" s="435">
        <f>SUMIF(120:120,G41,121:121)-SUMIF(120:120,C41,121:121)+100</f>
        <v>100</v>
      </c>
      <c r="I41" s="616" t="s">
        <v>3015</v>
      </c>
      <c r="J41" s="435">
        <f>SUMIF(120:120,I41,121:121)-SUMIF(120:120,C41,121:121)+100</f>
        <v>100</v>
      </c>
      <c r="K41" s="612">
        <v>1</v>
      </c>
      <c r="L41" s="1139"/>
      <c r="M41" s="1142"/>
      <c r="N41" s="1142"/>
      <c r="O41" s="1142"/>
      <c r="P41" s="3245"/>
      <c r="Q41" s="774" t="str">
        <f t="shared" si="11"/>
        <v>进深比</v>
      </c>
      <c r="R41" s="775" t="s">
        <v>17</v>
      </c>
      <c r="S41" s="776">
        <f t="shared" si="12"/>
        <v>100</v>
      </c>
      <c r="T41" s="775" t="s">
        <v>17</v>
      </c>
      <c r="U41" s="776">
        <f t="shared" si="13"/>
        <v>100</v>
      </c>
      <c r="V41" s="775" t="s">
        <v>17</v>
      </c>
      <c r="W41" s="776">
        <f t="shared" si="14"/>
        <v>100</v>
      </c>
      <c r="X41" s="777"/>
      <c r="Y41" s="3199"/>
      <c r="Z41" s="778" t="str">
        <f t="shared" si="15"/>
        <v>进深比</v>
      </c>
      <c r="AA41" s="1811">
        <f t="shared" si="3"/>
        <v>1</v>
      </c>
      <c r="AB41" s="1811">
        <f t="shared" si="4"/>
        <v>1</v>
      </c>
      <c r="AC41" s="1811">
        <f t="shared" si="5"/>
        <v>1</v>
      </c>
    </row>
    <row r="42" spans="1:29" ht="15">
      <c r="A42" s="472"/>
      <c r="B42" s="422" t="s">
        <v>2622</v>
      </c>
      <c r="C42" s="2612" t="s">
        <v>3071</v>
      </c>
      <c r="D42" s="435">
        <v>100</v>
      </c>
      <c r="E42" s="2612" t="s">
        <v>3071</v>
      </c>
      <c r="F42" s="461">
        <f>SUMIF(122:122,E42,123:123)-SUMIF(122:122,C42,123:123)+100</f>
        <v>100</v>
      </c>
      <c r="G42" s="2612" t="s">
        <v>3071</v>
      </c>
      <c r="H42" s="435">
        <f>SUMIF(122:122,G42,123:123)-SUMIF(122:122,C42,123:123)+100</f>
        <v>100</v>
      </c>
      <c r="I42" s="2612" t="s">
        <v>3071</v>
      </c>
      <c r="J42" s="435">
        <f>SUMIF(122:122,I42,123:123)-SUMIF(122:122,C42,123:123)+100</f>
        <v>100</v>
      </c>
      <c r="K42" s="612">
        <v>1</v>
      </c>
      <c r="L42" s="1141"/>
      <c r="M42" s="1132"/>
      <c r="N42" s="1132"/>
      <c r="O42" s="1132"/>
      <c r="P42" s="3245"/>
      <c r="Q42" s="1810" t="str">
        <f t="shared" si="11"/>
        <v>内部装修</v>
      </c>
      <c r="R42" s="772" t="s">
        <v>17</v>
      </c>
      <c r="S42" s="773">
        <f t="shared" si="12"/>
        <v>100</v>
      </c>
      <c r="T42" s="772" t="s">
        <v>17</v>
      </c>
      <c r="U42" s="773">
        <f t="shared" si="13"/>
        <v>100</v>
      </c>
      <c r="V42" s="772" t="s">
        <v>17</v>
      </c>
      <c r="W42" s="773">
        <f t="shared" si="14"/>
        <v>100</v>
      </c>
      <c r="X42" s="1813"/>
      <c r="Y42" s="3199"/>
      <c r="Z42" s="1814" t="str">
        <f t="shared" si="15"/>
        <v>内部装修</v>
      </c>
      <c r="AA42" s="1811">
        <f t="shared" si="3"/>
        <v>1</v>
      </c>
      <c r="AB42" s="1811">
        <f t="shared" si="4"/>
        <v>1</v>
      </c>
      <c r="AC42" s="1811">
        <f t="shared" si="5"/>
        <v>1</v>
      </c>
    </row>
    <row r="43" spans="1:29" ht="15">
      <c r="A43" s="472"/>
      <c r="B43" s="422" t="s">
        <v>2530</v>
      </c>
      <c r="C43" s="2612" t="s">
        <v>3015</v>
      </c>
      <c r="D43" s="435">
        <v>100</v>
      </c>
      <c r="E43" s="2612" t="s">
        <v>3015</v>
      </c>
      <c r="F43" s="461">
        <f>SUMIF(124:124,E43,125:125)-SUMIF(124:124,C43,125:125)+100</f>
        <v>100</v>
      </c>
      <c r="G43" s="2612" t="s">
        <v>3015</v>
      </c>
      <c r="H43" s="435">
        <f>SUMIF(124:124,G43,125:125)-SUMIF(124:124,C43,125:125)+100</f>
        <v>100</v>
      </c>
      <c r="I43" s="2612" t="s">
        <v>3015</v>
      </c>
      <c r="J43" s="435">
        <f>SUMIF(124:124,I43,125:125)-SUMIF(124:124,C43,125:125)+100</f>
        <v>100</v>
      </c>
      <c r="K43" s="612">
        <v>1</v>
      </c>
      <c r="L43" s="1141"/>
      <c r="M43" s="1132"/>
      <c r="N43" s="1132"/>
      <c r="O43" s="1132"/>
      <c r="P43" s="3245"/>
      <c r="Q43" s="1810" t="str">
        <f t="shared" si="11"/>
        <v>内部装修维护情况</v>
      </c>
      <c r="R43" s="772" t="s">
        <v>17</v>
      </c>
      <c r="S43" s="773">
        <f t="shared" si="12"/>
        <v>100</v>
      </c>
      <c r="T43" s="772" t="s">
        <v>17</v>
      </c>
      <c r="U43" s="773">
        <f t="shared" si="13"/>
        <v>100</v>
      </c>
      <c r="V43" s="772" t="s">
        <v>17</v>
      </c>
      <c r="W43" s="773">
        <f t="shared" si="14"/>
        <v>100</v>
      </c>
      <c r="X43" s="1813"/>
      <c r="Y43" s="3199"/>
      <c r="Z43" s="1814" t="str">
        <f t="shared" si="15"/>
        <v>内部装修维护情况</v>
      </c>
      <c r="AA43" s="1811">
        <f t="shared" si="3"/>
        <v>1</v>
      </c>
      <c r="AB43" s="1811">
        <f t="shared" si="4"/>
        <v>1</v>
      </c>
      <c r="AC43" s="1811">
        <f t="shared" si="5"/>
        <v>1</v>
      </c>
    </row>
    <row r="44" spans="1:29" s="117" customFormat="1" ht="15">
      <c r="A44" s="473"/>
      <c r="B44" s="1387"/>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45"/>
      <c r="Q44" s="1795">
        <f t="shared" si="11"/>
        <v>0</v>
      </c>
      <c r="R44" s="768" t="s">
        <v>17</v>
      </c>
      <c r="S44" s="769">
        <f t="shared" si="12"/>
        <v>100</v>
      </c>
      <c r="T44" s="768" t="s">
        <v>17</v>
      </c>
      <c r="U44" s="769">
        <f t="shared" si="13"/>
        <v>100</v>
      </c>
      <c r="V44" s="768" t="s">
        <v>17</v>
      </c>
      <c r="W44" s="769">
        <f t="shared" si="14"/>
        <v>100</v>
      </c>
      <c r="X44" s="770"/>
      <c r="Y44" s="3199"/>
      <c r="Z44" s="55">
        <f t="shared" si="15"/>
        <v>0</v>
      </c>
      <c r="AA44" s="771">
        <f t="shared" si="3"/>
        <v>1</v>
      </c>
      <c r="AB44" s="771">
        <f t="shared" si="4"/>
        <v>1</v>
      </c>
      <c r="AC44" s="771">
        <f t="shared" si="5"/>
        <v>1</v>
      </c>
    </row>
    <row r="45" spans="1:29" ht="15">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45"/>
      <c r="Q45" s="1810">
        <f t="shared" si="11"/>
        <v>0</v>
      </c>
      <c r="R45" s="772" t="s">
        <v>17</v>
      </c>
      <c r="S45" s="773">
        <f t="shared" si="12"/>
        <v>100</v>
      </c>
      <c r="T45" s="772" t="s">
        <v>17</v>
      </c>
      <c r="U45" s="773">
        <f t="shared" si="13"/>
        <v>100</v>
      </c>
      <c r="V45" s="772" t="s">
        <v>17</v>
      </c>
      <c r="W45" s="773">
        <f t="shared" si="14"/>
        <v>100</v>
      </c>
      <c r="X45" s="1813"/>
      <c r="Y45" s="3199"/>
      <c r="Z45" s="1814">
        <f t="shared" si="15"/>
        <v>0</v>
      </c>
      <c r="AA45" s="1811">
        <f t="shared" si="3"/>
        <v>1</v>
      </c>
      <c r="AB45" s="1811">
        <f t="shared" si="4"/>
        <v>1</v>
      </c>
      <c r="AC45" s="1811">
        <f t="shared" si="5"/>
        <v>1</v>
      </c>
    </row>
    <row r="46" spans="1:29" ht="15.75" thickBot="1">
      <c r="A46" s="478"/>
      <c r="B46" s="2601"/>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46"/>
      <c r="Q46" s="1810">
        <f t="shared" si="11"/>
        <v>0</v>
      </c>
      <c r="R46" s="772" t="s">
        <v>17</v>
      </c>
      <c r="S46" s="773">
        <f t="shared" si="12"/>
        <v>100</v>
      </c>
      <c r="T46" s="772" t="s">
        <v>17</v>
      </c>
      <c r="U46" s="773">
        <f t="shared" si="13"/>
        <v>100</v>
      </c>
      <c r="V46" s="772" t="s">
        <v>17</v>
      </c>
      <c r="W46" s="773">
        <f t="shared" si="14"/>
        <v>100</v>
      </c>
      <c r="X46" s="1813"/>
      <c r="Y46" s="3247"/>
      <c r="Z46" s="1814">
        <f t="shared" si="15"/>
        <v>0</v>
      </c>
      <c r="AA46" s="1811">
        <f t="shared" si="3"/>
        <v>1</v>
      </c>
      <c r="AB46" s="1811">
        <f t="shared" si="4"/>
        <v>1</v>
      </c>
      <c r="AC46" s="1811">
        <f t="shared" si="5"/>
        <v>1</v>
      </c>
    </row>
    <row r="47" spans="1:29" ht="15">
      <c r="A47" s="479" t="s">
        <v>2531</v>
      </c>
      <c r="B47" s="480"/>
      <c r="C47" s="1408" t="s">
        <v>1</v>
      </c>
      <c r="D47" s="1409"/>
      <c r="E47" s="1410">
        <v>58600</v>
      </c>
      <c r="F47" s="1411"/>
      <c r="G47" s="1412">
        <v>60000</v>
      </c>
      <c r="H47" s="1413"/>
      <c r="I47" s="1410">
        <v>60000</v>
      </c>
      <c r="J47" s="1413"/>
      <c r="K47" s="781"/>
      <c r="L47" s="1144"/>
      <c r="M47" s="1145"/>
      <c r="N47" s="1132"/>
      <c r="O47" s="1145"/>
      <c r="P47" s="3181" t="str">
        <f>A47</f>
        <v>成交单价（元/平方米）</v>
      </c>
      <c r="Q47" s="3181"/>
      <c r="R47" s="3194">
        <f>E47</f>
        <v>58600</v>
      </c>
      <c r="S47" s="3194"/>
      <c r="T47" s="3194">
        <f>G47</f>
        <v>60000</v>
      </c>
      <c r="U47" s="3194"/>
      <c r="V47" s="3194">
        <f>I47</f>
        <v>60000</v>
      </c>
      <c r="W47" s="3194"/>
      <c r="X47" s="757"/>
      <c r="Y47" s="779"/>
      <c r="Z47" s="757"/>
      <c r="AA47" s="757"/>
      <c r="AB47" s="757"/>
      <c r="AC47" s="757"/>
    </row>
    <row r="48" spans="1:29" ht="15.75" thickBot="1">
      <c r="A48" s="486" t="s">
        <v>2623</v>
      </c>
      <c r="B48" s="487"/>
      <c r="C48" s="1414">
        <f>R49</f>
        <v>58175</v>
      </c>
      <c r="D48" s="1415"/>
      <c r="E48" s="1416">
        <f>R48</f>
        <v>56877</v>
      </c>
      <c r="F48" s="1416"/>
      <c r="G48" s="1414">
        <f>T48</f>
        <v>58829</v>
      </c>
      <c r="H48" s="1415"/>
      <c r="I48" s="1416">
        <f>V48</f>
        <v>58818</v>
      </c>
      <c r="J48" s="1415"/>
      <c r="K48" s="782"/>
      <c r="L48" s="1144"/>
      <c r="M48" s="1145"/>
      <c r="N48" s="1132"/>
      <c r="O48" s="1145"/>
      <c r="P48" s="3181" t="str">
        <f>A48</f>
        <v>比较价值（元/平方米）</v>
      </c>
      <c r="Q48" s="3181"/>
      <c r="R48" s="3248">
        <f>IF(F1="售价",ROUND(PRODUCT(R47,AA7:AA46),0),ROUND(PRODUCT(R47,AA7:AA46),1))</f>
        <v>56877</v>
      </c>
      <c r="S48" s="3248"/>
      <c r="T48" s="3248">
        <f>IF(F1="售价",ROUND(PRODUCT(T47,AB7:AB46),0),ROUND(PRODUCT(T47,AB7:AB46),1))</f>
        <v>58829</v>
      </c>
      <c r="U48" s="3248"/>
      <c r="V48" s="3248">
        <f>IF(F1="售价",ROUND(PRODUCT(V47,AC7:AC46),0),ROUND(PRODUCT(V47,AC7:AC46),1))</f>
        <v>58818</v>
      </c>
      <c r="W48" s="3248"/>
      <c r="X48" s="757"/>
      <c r="Y48" s="757"/>
      <c r="Z48" s="757"/>
      <c r="AA48" s="757"/>
      <c r="AB48" s="757"/>
      <c r="AC48" s="757"/>
    </row>
    <row r="49" spans="1:29" ht="15.75" thickBot="1">
      <c r="A49" s="492" t="s">
        <v>3064</v>
      </c>
      <c r="B49" s="493"/>
      <c r="C49" s="1418">
        <f>R49</f>
        <v>58175</v>
      </c>
      <c r="D49" s="1418"/>
      <c r="E49" s="1418"/>
      <c r="F49" s="1418"/>
      <c r="G49" s="1418"/>
      <c r="H49" s="1418"/>
      <c r="I49" s="1418"/>
      <c r="J49" s="1418"/>
      <c r="K49" s="783"/>
      <c r="L49" s="1144"/>
      <c r="M49" s="1145"/>
      <c r="N49" s="1132"/>
      <c r="O49" s="1145"/>
      <c r="P49" s="3201" t="str">
        <f>A49</f>
        <v>估价对象商业用房的比较价值（楼面单价，元/平方米）</v>
      </c>
      <c r="Q49" s="3202"/>
      <c r="R49" s="3254">
        <f>IF(F1="售价",ROUND(AVERAGE(R48:V48),0),ROUND(AVERAGE(R48:V48),1))</f>
        <v>58175</v>
      </c>
      <c r="S49" s="3254"/>
      <c r="T49" s="3254"/>
      <c r="U49" s="3254"/>
      <c r="V49" s="3254"/>
      <c r="W49" s="325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2625</v>
      </c>
      <c r="D52" s="498"/>
      <c r="E52" s="499">
        <f>IF(E47&lt;E48,E48/E47-1,E47/E48-1)</f>
        <v>3.0293440230673152E-2</v>
      </c>
      <c r="F52" s="500" t="str">
        <f>IF(OR(E52&gt;=0.3,E52&lt;=-0.3),"超过30%","")</f>
        <v/>
      </c>
      <c r="G52" s="499">
        <f>IF(G47&lt;G48,G48/G47-1,G47/G48-1)</f>
        <v>1.9905148821159679E-2</v>
      </c>
      <c r="H52" s="500" t="str">
        <f>IF(OR(G52&gt;=0.3,G52&lt;=-0.3),"超过30%","")</f>
        <v/>
      </c>
      <c r="I52" s="499">
        <f>IF(I47&lt;I48,I48/I47-1,I47/I48-1)</f>
        <v>2.0095889013567181E-2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2626</v>
      </c>
      <c r="D53" s="501"/>
      <c r="E53" s="499">
        <f>IF(E48&lt;G48,G48/E48-1,E48/G48-1)</f>
        <v>3.431967227526056E-2</v>
      </c>
      <c r="F53" s="500" t="str">
        <f>IF(OR(E53&gt;=0.2,E53&lt;=-0.2),"超过20%","")</f>
        <v/>
      </c>
      <c r="G53" s="499">
        <f>IF(G48&lt;I48,I48/G48-1,G48/I48-1)</f>
        <v>1.8701757965255972E-4</v>
      </c>
      <c r="H53" s="500" t="str">
        <f>IF(OR(G53&gt;=0.2,G53&lt;=-0.2),"超过20%","")</f>
        <v/>
      </c>
      <c r="I53" s="499">
        <f>IF(I48&lt;E48,E48/I48-1,I48/E48-1)</f>
        <v>3.4126272482725817E-2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2627</v>
      </c>
      <c r="D54" s="501"/>
      <c r="E54" s="499">
        <f>IF(E47&lt;G47,G47/E47-1,E47/G47-1)</f>
        <v>2.3890784982935065E-2</v>
      </c>
      <c r="F54" s="500" t="str">
        <f>IF(OR(E54&gt;=0.3,E54&lt;=-0.3),"超过30%","")</f>
        <v/>
      </c>
      <c r="G54" s="499">
        <f>IF(G47&lt;I47,I47/G47-1,G47/I47-1)</f>
        <v>0</v>
      </c>
      <c r="H54" s="500" t="str">
        <f>IF(OR(G54&gt;=0.3,G54&lt;=-0.3),"超过30%","")</f>
        <v/>
      </c>
      <c r="I54" s="499">
        <f>IF(I47&lt;E47,E47/I47-1,I47/E47-1)</f>
        <v>2.3890784982935065E-2</v>
      </c>
      <c r="J54" s="500" t="str">
        <f>IF(OR(I54&gt;=0.3,I54&lt;=-0.3),"超过30%","")</f>
        <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2628</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5">
      <c r="A58" s="505" t="s">
        <v>2502</v>
      </c>
      <c r="B58" s="506"/>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7"/>
    </row>
    <row r="60" spans="1:29" s="117" customFormat="1" ht="15.75" thickBot="1">
      <c r="A60" s="515" t="s">
        <v>2539</v>
      </c>
      <c r="B60" s="516"/>
      <c r="C60" s="517"/>
      <c r="D60" s="518"/>
      <c r="E60" s="518"/>
      <c r="F60" s="518"/>
      <c r="G60" s="518"/>
      <c r="H60" s="518"/>
      <c r="I60" s="518"/>
      <c r="J60" s="518"/>
      <c r="K60" s="518"/>
      <c r="L60" s="518"/>
      <c r="M60" s="519"/>
      <c r="N60" s="518"/>
      <c r="O60" s="519"/>
      <c r="P60" s="2627"/>
      <c r="Q60" s="504"/>
    </row>
    <row r="61" spans="1:29" s="117" customFormat="1" ht="15">
      <c r="A61" s="521" t="s">
        <v>2504</v>
      </c>
      <c r="B61" s="510"/>
      <c r="C61" s="522" t="s">
        <v>2606</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2542</v>
      </c>
      <c r="B63" s="528" t="s">
        <v>2508</v>
      </c>
      <c r="C63" s="529" t="str">
        <f>C9</f>
        <v>商业</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2511</v>
      </c>
      <c r="C65" s="539" t="s">
        <v>2543</v>
      </c>
      <c r="D65" s="539" t="s">
        <v>2544</v>
      </c>
      <c r="E65" s="539" t="s">
        <v>2545</v>
      </c>
      <c r="F65" s="539" t="s">
        <v>2546</v>
      </c>
      <c r="G65" s="539" t="s">
        <v>2547</v>
      </c>
      <c r="H65" s="539" t="s">
        <v>2548</v>
      </c>
      <c r="I65" s="539" t="s">
        <v>2549</v>
      </c>
      <c r="J65" s="539"/>
      <c r="K65" s="540"/>
      <c r="L65" s="541"/>
      <c r="M65" s="542"/>
      <c r="N65" s="1153"/>
      <c r="O65" s="1153"/>
      <c r="P65" s="2629"/>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9"/>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ht="15">
      <c r="A68" s="534"/>
      <c r="B68" s="548"/>
      <c r="C68" s="549" t="s">
        <v>3038</v>
      </c>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4"/>
      <c r="O69" s="1154"/>
      <c r="P69" s="2629"/>
      <c r="Q69" s="504"/>
    </row>
    <row r="70" spans="1:17" s="471" customFormat="1" ht="15.75" thickTop="1">
      <c r="A70" s="553"/>
      <c r="B70" s="538">
        <f>B12</f>
        <v>0</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0</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36"/>
      <c r="E73" s="536"/>
      <c r="F73" s="536"/>
      <c r="G73" s="560"/>
      <c r="H73" s="562"/>
      <c r="I73" s="562"/>
      <c r="J73" s="562"/>
      <c r="K73" s="562"/>
      <c r="L73" s="562"/>
      <c r="M73" s="563"/>
      <c r="N73" s="1155"/>
      <c r="O73" s="1155"/>
      <c r="P73" s="2630"/>
      <c r="Q73" s="559"/>
    </row>
    <row r="74" spans="1:17" s="471" customFormat="1" ht="15.75" thickTop="1">
      <c r="A74" s="553"/>
      <c r="B74" s="546">
        <f>B14</f>
        <v>0</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2513</v>
      </c>
      <c r="B76" s="528" t="s">
        <v>2550</v>
      </c>
      <c r="C76" s="573" t="s">
        <v>2551</v>
      </c>
      <c r="D76" s="573" t="s">
        <v>2552</v>
      </c>
      <c r="E76" s="573" t="s">
        <v>2553</v>
      </c>
      <c r="F76" s="573" t="s">
        <v>2554</v>
      </c>
      <c r="G76" s="573" t="s">
        <v>2555</v>
      </c>
      <c r="H76" s="529"/>
      <c r="I76" s="529"/>
      <c r="J76" s="529"/>
      <c r="K76" s="574"/>
      <c r="L76" s="575"/>
      <c r="M76" s="576"/>
      <c r="N76" s="1153"/>
      <c r="O76" s="1153"/>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9"/>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3"/>
      <c r="O78" s="1153"/>
      <c r="P78" s="2629"/>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4"/>
      <c r="O79" s="1154"/>
      <c r="P79" s="2629"/>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3"/>
      <c r="O80" s="1153"/>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4"/>
      <c r="O81" s="1154"/>
      <c r="P81" s="2629"/>
      <c r="Q81" s="504"/>
    </row>
    <row r="82" spans="1:17" ht="15.75" thickTop="1">
      <c r="A82" s="534"/>
      <c r="B82" s="546" t="s">
        <v>2609</v>
      </c>
      <c r="C82" s="660" t="s">
        <v>2629</v>
      </c>
      <c r="D82" s="660" t="s">
        <v>2630</v>
      </c>
      <c r="E82" s="660" t="s">
        <v>2631</v>
      </c>
      <c r="F82" s="660" t="s">
        <v>2632</v>
      </c>
      <c r="G82" s="660" t="s">
        <v>2633</v>
      </c>
      <c r="H82" s="539"/>
      <c r="I82" s="539"/>
      <c r="J82" s="539"/>
      <c r="K82" s="539"/>
      <c r="L82" s="539"/>
      <c r="M82" s="1383"/>
      <c r="N82" s="1154"/>
      <c r="O82" s="1154"/>
      <c r="P82" s="2629"/>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9"/>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3"/>
      <c r="O84" s="1153"/>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4"/>
      <c r="O85" s="1154"/>
      <c r="P85" s="2629"/>
      <c r="Q85" s="504"/>
    </row>
    <row r="86" spans="1:17" s="117" customFormat="1" ht="15.75" thickTop="1">
      <c r="A86" s="579"/>
      <c r="B86" s="538" t="s">
        <v>2634</v>
      </c>
      <c r="C86" s="2962" t="s">
        <v>3066</v>
      </c>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9"/>
      <c r="Q87" s="504"/>
    </row>
    <row r="88" spans="1:17" s="117" customFormat="1" ht="15.75" thickTop="1">
      <c r="A88" s="579"/>
      <c r="B88" s="538" t="str">
        <f>B26</f>
        <v>平面位置/可视性</v>
      </c>
      <c r="C88" s="2962" t="s">
        <v>3066</v>
      </c>
      <c r="D88" s="554"/>
      <c r="E88" s="554"/>
      <c r="F88" s="2634"/>
      <c r="G88" s="554"/>
      <c r="H88" s="554"/>
      <c r="I88" s="554"/>
      <c r="J88" s="554"/>
      <c r="K88" s="554"/>
      <c r="L88" s="554"/>
      <c r="M88" s="581"/>
      <c r="N88" s="1152"/>
      <c r="O88" s="1152"/>
      <c r="P88" s="2629"/>
      <c r="Q88" s="504"/>
    </row>
    <row r="89" spans="1:17" s="117" customFormat="1" ht="15.75" thickBot="1">
      <c r="A89" s="579"/>
      <c r="B89" s="543"/>
      <c r="C89" s="560">
        <v>100</v>
      </c>
      <c r="D89" s="536"/>
      <c r="E89" s="536"/>
      <c r="F89" s="536"/>
      <c r="G89" s="536"/>
      <c r="H89" s="536"/>
      <c r="I89" s="536"/>
      <c r="J89" s="536"/>
      <c r="K89" s="536"/>
      <c r="L89" s="536"/>
      <c r="M89" s="536"/>
      <c r="N89" s="1154"/>
      <c r="O89" s="1154"/>
      <c r="P89" s="2629"/>
      <c r="Q89" s="504"/>
    </row>
    <row r="90" spans="1:17" s="471" customFormat="1" ht="15.75" thickTop="1">
      <c r="A90" s="553"/>
      <c r="B90" s="538" t="str">
        <f>B27</f>
        <v>人流量</v>
      </c>
      <c r="C90" s="2962" t="s">
        <v>3066</v>
      </c>
      <c r="D90" s="554"/>
      <c r="E90" s="554"/>
      <c r="F90" s="554"/>
      <c r="G90" s="554"/>
      <c r="H90" s="555"/>
      <c r="I90" s="555"/>
      <c r="J90" s="555"/>
      <c r="K90" s="555"/>
      <c r="L90" s="556"/>
      <c r="M90" s="557"/>
      <c r="N90" s="1155"/>
      <c r="O90" s="1155"/>
      <c r="P90" s="263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5"/>
      <c r="O91" s="1155"/>
      <c r="P91" s="2630"/>
      <c r="Q91" s="559"/>
    </row>
    <row r="92" spans="1:17" ht="15.75" thickTop="1">
      <c r="A92" s="534"/>
      <c r="B92" s="538" t="str">
        <f>B28</f>
        <v>楼层</v>
      </c>
      <c r="C92" s="554" t="s">
        <v>3069</v>
      </c>
      <c r="D92" s="554"/>
      <c r="E92" s="554"/>
      <c r="F92" s="554"/>
      <c r="G92" s="554"/>
      <c r="H92" s="554"/>
      <c r="I92" s="554"/>
      <c r="J92" s="554"/>
      <c r="K92" s="554"/>
      <c r="L92" s="580"/>
      <c r="M92" s="581"/>
      <c r="N92" s="1153"/>
      <c r="O92" s="1153"/>
      <c r="P92" s="2629"/>
      <c r="Q92" s="504"/>
    </row>
    <row r="93" spans="1:17" ht="15.75" thickBot="1">
      <c r="A93" s="534"/>
      <c r="B93" s="543"/>
      <c r="C93" s="536">
        <v>100</v>
      </c>
      <c r="D93" s="536"/>
      <c r="E93" s="536"/>
      <c r="F93" s="536"/>
      <c r="G93" s="536"/>
      <c r="H93" s="536"/>
      <c r="I93" s="536"/>
      <c r="J93" s="536"/>
      <c r="K93" s="536"/>
      <c r="L93" s="536"/>
      <c r="M93" s="537"/>
      <c r="N93" s="1154"/>
      <c r="O93" s="1154"/>
      <c r="P93" s="2629"/>
      <c r="Q93" s="504"/>
    </row>
    <row r="94" spans="1:17" ht="15.75" thickTop="1">
      <c r="A94" s="534"/>
      <c r="B94" s="538" t="str">
        <f>B29</f>
        <v>临街状况</v>
      </c>
      <c r="C94" s="2962" t="s">
        <v>3113</v>
      </c>
      <c r="D94" s="2962" t="s">
        <v>3103</v>
      </c>
      <c r="E94" s="554"/>
      <c r="F94" s="554"/>
      <c r="G94" s="583"/>
      <c r="H94" s="583"/>
      <c r="I94" s="583"/>
      <c r="J94" s="583"/>
      <c r="K94" s="584"/>
      <c r="L94" s="585"/>
      <c r="M94" s="586"/>
      <c r="N94" s="1153"/>
      <c r="O94" s="1153"/>
      <c r="P94" s="2629"/>
      <c r="Q94" s="504"/>
    </row>
    <row r="95" spans="1:17" ht="15.75" thickBot="1">
      <c r="A95" s="534"/>
      <c r="B95" s="543"/>
      <c r="C95" s="560">
        <v>100</v>
      </c>
      <c r="D95" s="536">
        <v>99</v>
      </c>
      <c r="E95" s="536"/>
      <c r="F95" s="536"/>
      <c r="G95" s="536"/>
      <c r="H95" s="536"/>
      <c r="I95" s="536"/>
      <c r="J95" s="536"/>
      <c r="K95" s="536"/>
      <c r="L95" s="536"/>
      <c r="M95" s="537"/>
      <c r="N95" s="1154"/>
      <c r="O95" s="1154"/>
      <c r="P95" s="2629"/>
      <c r="Q95" s="504"/>
    </row>
    <row r="96" spans="1:17" ht="15.75" thickTop="1">
      <c r="A96" s="534"/>
      <c r="B96" s="538">
        <f>B30</f>
        <v>0</v>
      </c>
      <c r="C96" s="554"/>
      <c r="D96" s="554"/>
      <c r="E96" s="554"/>
      <c r="F96" s="554"/>
      <c r="G96" s="583"/>
      <c r="H96" s="583"/>
      <c r="I96" s="583"/>
      <c r="J96" s="583"/>
      <c r="K96" s="584"/>
      <c r="L96" s="585"/>
      <c r="M96" s="586"/>
      <c r="N96" s="1153"/>
      <c r="O96" s="1153"/>
      <c r="P96" s="2629"/>
      <c r="Q96" s="504"/>
    </row>
    <row r="97" spans="1:17" ht="15.75" thickBot="1">
      <c r="A97" s="534"/>
      <c r="B97" s="543"/>
      <c r="C97" s="560"/>
      <c r="D97" s="536"/>
      <c r="E97" s="536"/>
      <c r="F97" s="536"/>
      <c r="G97" s="536"/>
      <c r="H97" s="536"/>
      <c r="I97" s="536"/>
      <c r="J97" s="536"/>
      <c r="K97" s="536"/>
      <c r="L97" s="536"/>
      <c r="M97" s="537"/>
      <c r="N97" s="1154"/>
      <c r="O97" s="1154"/>
      <c r="P97" s="2629"/>
      <c r="Q97" s="504"/>
    </row>
    <row r="98" spans="1:17" ht="15.75" thickTop="1">
      <c r="A98" s="534"/>
      <c r="B98" s="546">
        <f>B31</f>
        <v>0</v>
      </c>
      <c r="C98" s="554"/>
      <c r="D98" s="554"/>
      <c r="E98" s="554"/>
      <c r="F98" s="554"/>
      <c r="G98" s="587"/>
      <c r="H98" s="587"/>
      <c r="I98" s="587"/>
      <c r="J98" s="587"/>
      <c r="K98" s="588"/>
      <c r="L98" s="589"/>
      <c r="M98" s="590"/>
      <c r="N98" s="1153"/>
      <c r="O98" s="1153"/>
      <c r="P98" s="2629"/>
      <c r="Q98" s="504"/>
    </row>
    <row r="99" spans="1:17" ht="15.75" thickBot="1">
      <c r="A99" s="2635"/>
      <c r="B99" s="569"/>
      <c r="C99" s="570"/>
      <c r="D99" s="570"/>
      <c r="E99" s="570"/>
      <c r="F99" s="570"/>
      <c r="G99" s="591"/>
      <c r="H99" s="591"/>
      <c r="I99" s="591"/>
      <c r="J99" s="591"/>
      <c r="K99" s="591"/>
      <c r="L99" s="591"/>
      <c r="M99" s="592"/>
      <c r="N99" s="1154"/>
      <c r="O99" s="1154"/>
      <c r="P99" s="2629"/>
      <c r="Q99" s="504"/>
    </row>
    <row r="100" spans="1:17">
      <c r="A100" s="527" t="s">
        <v>2517</v>
      </c>
      <c r="B100" s="528" t="s">
        <v>2635</v>
      </c>
      <c r="C100" s="2941" t="s">
        <v>3105</v>
      </c>
      <c r="D100" s="2941" t="s">
        <v>3107</v>
      </c>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4"/>
      <c r="O101" s="1154"/>
      <c r="P101" s="2629"/>
      <c r="Q101" s="504"/>
    </row>
    <row r="102" spans="1:17" ht="15.75" thickTop="1">
      <c r="A102" s="534"/>
      <c r="B102" s="538" t="s">
        <v>2567</v>
      </c>
      <c r="C102" s="578" t="str">
        <f>C103&amp;"(含)"&amp;"-"&amp;D103</f>
        <v>0(含)-200</v>
      </c>
      <c r="D102" s="578" t="str">
        <f t="shared" ref="D102:L102" si="23">D103&amp;"(含)"&amp;"-"&amp;E103</f>
        <v>200(含)-400</v>
      </c>
      <c r="E102" s="578" t="str">
        <f t="shared" si="23"/>
        <v>400(含)-600</v>
      </c>
      <c r="F102" s="578" t="str">
        <f t="shared" si="23"/>
        <v>600(含)-800</v>
      </c>
      <c r="G102" s="578" t="str">
        <f t="shared" si="23"/>
        <v>800(含)-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v>0</v>
      </c>
      <c r="D103" s="595">
        <v>200</v>
      </c>
      <c r="E103" s="595">
        <v>400</v>
      </c>
      <c r="F103" s="595">
        <v>600</v>
      </c>
      <c r="G103" s="595">
        <v>800</v>
      </c>
      <c r="H103" s="595"/>
      <c r="I103" s="595"/>
      <c r="J103" s="596"/>
      <c r="K103" s="596"/>
      <c r="L103" s="597"/>
      <c r="M103" s="598"/>
      <c r="N103" s="1155"/>
      <c r="O103" s="1155"/>
      <c r="P103" s="2630"/>
      <c r="Q103" s="559"/>
    </row>
    <row r="104" spans="1:17" s="471" customFormat="1" ht="15.75" thickBot="1">
      <c r="A104" s="553"/>
      <c r="B104" s="543"/>
      <c r="C104" s="560">
        <v>100</v>
      </c>
      <c r="D104" s="536">
        <v>99</v>
      </c>
      <c r="E104" s="536">
        <v>98</v>
      </c>
      <c r="F104" s="536">
        <v>97</v>
      </c>
      <c r="G104" s="536">
        <v>96</v>
      </c>
      <c r="H104" s="536"/>
      <c r="I104" s="536"/>
      <c r="J104" s="536"/>
      <c r="K104" s="536"/>
      <c r="L104" s="536"/>
      <c r="M104" s="537"/>
      <c r="N104" s="1154"/>
      <c r="O104" s="1154"/>
      <c r="P104" s="2630"/>
      <c r="Q104" s="559"/>
    </row>
    <row r="105" spans="1:17" ht="15" thickTop="1">
      <c r="A105" s="599"/>
      <c r="B105" s="538" t="s">
        <v>2568</v>
      </c>
      <c r="C105" s="2962" t="s">
        <v>3070</v>
      </c>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4"/>
      <c r="O106" s="1154"/>
      <c r="P106" s="2629"/>
      <c r="Q106" s="504"/>
    </row>
    <row r="107" spans="1:17" ht="15" thickTop="1">
      <c r="A107" s="599"/>
      <c r="B107" s="538" t="s">
        <v>2570</v>
      </c>
      <c r="C107" s="2962" t="s">
        <v>3079</v>
      </c>
      <c r="D107" s="554"/>
      <c r="E107" s="554"/>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4"/>
      <c r="O108" s="1154"/>
      <c r="P108" s="2629"/>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4"/>
      <c r="O111" s="1154"/>
      <c r="P111" s="2629"/>
      <c r="Q111" s="504"/>
    </row>
    <row r="112" spans="1:17" s="471" customFormat="1" ht="15" thickTop="1">
      <c r="A112" s="593"/>
      <c r="B112" s="538" t="s">
        <v>2572</v>
      </c>
      <c r="C112" s="2962" t="s">
        <v>3074</v>
      </c>
      <c r="D112" s="554"/>
      <c r="E112" s="554"/>
      <c r="F112" s="554"/>
      <c r="G112" s="554"/>
      <c r="H112" s="583"/>
      <c r="I112" s="583"/>
      <c r="J112" s="583"/>
      <c r="K112" s="584"/>
      <c r="L112" s="585"/>
      <c r="M112" s="586"/>
      <c r="N112" s="1155"/>
      <c r="O112" s="1155"/>
      <c r="P112" s="2630"/>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5"/>
      <c r="O113" s="1155"/>
      <c r="P113" s="2630"/>
      <c r="Q113" s="559"/>
    </row>
    <row r="114" spans="1:17" ht="15" thickTop="1">
      <c r="A114" s="599"/>
      <c r="B114" s="538" t="s">
        <v>2636</v>
      </c>
      <c r="C114" s="2962" t="s">
        <v>3101</v>
      </c>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4"/>
      <c r="O115" s="1154"/>
      <c r="P115" s="2629"/>
      <c r="Q115" s="504"/>
    </row>
    <row r="116" spans="1:17" ht="15" thickTop="1">
      <c r="A116" s="599"/>
      <c r="B116" s="538" t="s">
        <v>2637</v>
      </c>
      <c r="C116" s="2962" t="s">
        <v>3076</v>
      </c>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2638</v>
      </c>
      <c r="C118" s="627" t="s">
        <v>3077</v>
      </c>
      <c r="D118" s="627"/>
      <c r="E118" s="627"/>
      <c r="F118" s="627"/>
      <c r="G118" s="627"/>
      <c r="H118" s="555"/>
      <c r="I118" s="555"/>
      <c r="J118" s="555"/>
      <c r="K118" s="555"/>
      <c r="L118" s="556"/>
      <c r="M118" s="557"/>
      <c r="N118" s="1153"/>
      <c r="O118" s="1153"/>
      <c r="P118" s="2629"/>
      <c r="Q118" s="504"/>
    </row>
    <row r="119" spans="1:17" ht="15.75" thickBot="1">
      <c r="A119" s="534"/>
      <c r="B119" s="543"/>
      <c r="C119" s="560">
        <v>100</v>
      </c>
      <c r="D119" s="536"/>
      <c r="E119" s="536"/>
      <c r="F119" s="536"/>
      <c r="G119" s="536"/>
      <c r="H119" s="536"/>
      <c r="I119" s="536"/>
      <c r="J119" s="536"/>
      <c r="K119" s="536"/>
      <c r="L119" s="536"/>
      <c r="M119" s="537"/>
      <c r="N119" s="1154"/>
      <c r="O119" s="1154"/>
      <c r="P119" s="2629"/>
      <c r="Q119" s="504"/>
    </row>
    <row r="120" spans="1:17" s="471" customFormat="1" ht="15" thickTop="1">
      <c r="A120" s="593"/>
      <c r="B120" s="538" t="s">
        <v>2639</v>
      </c>
      <c r="C120" s="2964" t="s">
        <v>3066</v>
      </c>
      <c r="D120" s="583"/>
      <c r="E120" s="583"/>
      <c r="F120" s="583"/>
      <c r="G120" s="555"/>
      <c r="H120" s="555"/>
      <c r="I120" s="555"/>
      <c r="J120" s="555"/>
      <c r="K120" s="555"/>
      <c r="L120" s="556"/>
      <c r="M120" s="557"/>
      <c r="N120" s="1155"/>
      <c r="O120" s="1155"/>
      <c r="P120" s="2630"/>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5"/>
      <c r="O121" s="1155"/>
      <c r="P121" s="2630"/>
      <c r="Q121" s="559"/>
    </row>
    <row r="122" spans="1:17" ht="15" thickTop="1">
      <c r="A122" s="599"/>
      <c r="B122" s="538" t="s">
        <v>2574</v>
      </c>
      <c r="C122" s="2962" t="s">
        <v>3072</v>
      </c>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29"/>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3"/>
      <c r="O124" s="1153"/>
      <c r="P124" s="2630"/>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9"/>
      <c r="Q125" s="504"/>
    </row>
    <row r="126" spans="1:17" s="471" customFormat="1" ht="15" thickTop="1">
      <c r="A126" s="593"/>
      <c r="B126" s="538">
        <f>B44</f>
        <v>0</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0</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36"/>
      <c r="E129" s="536"/>
      <c r="F129" s="536"/>
      <c r="G129" s="536"/>
      <c r="H129" s="536"/>
      <c r="I129" s="536"/>
      <c r="J129" s="536"/>
      <c r="K129" s="536"/>
      <c r="L129" s="536"/>
      <c r="M129" s="537"/>
      <c r="N129" s="1154"/>
      <c r="O129" s="1154"/>
      <c r="P129" s="2629"/>
      <c r="Q129" s="504"/>
    </row>
    <row r="130" spans="1:17" ht="15" thickTop="1">
      <c r="A130" s="599"/>
      <c r="B130" s="546">
        <f>B46</f>
        <v>0</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0"/>
      <c r="C1" s="1837" t="s">
        <v>3042</v>
      </c>
      <c r="D1" s="1820" t="s">
        <v>70</v>
      </c>
      <c r="E1" s="1821" t="s">
        <v>1383</v>
      </c>
      <c r="F1" s="1284">
        <f ca="1">J53</f>
        <v>22.56</v>
      </c>
      <c r="G1" s="1836">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1511</v>
      </c>
      <c r="B2" s="1844">
        <f ca="1">C40+J29+L46</f>
        <v>4840</v>
      </c>
      <c r="C2" s="1845" t="s">
        <v>1512</v>
      </c>
      <c r="D2" s="1845"/>
      <c r="E2" s="1846"/>
      <c r="F2" s="1847"/>
      <c r="G2" s="1848"/>
      <c r="H2" s="1840"/>
      <c r="I2" s="1840"/>
      <c r="J2" s="1840"/>
      <c r="K2" s="1841"/>
      <c r="L2" s="1840"/>
      <c r="M2" s="1840"/>
    </row>
    <row r="3" spans="1:37" ht="18" customHeight="1" thickBot="1">
      <c r="A3" s="1849" t="s">
        <v>1513</v>
      </c>
      <c r="B3" s="1850">
        <f ca="1">IF(ISERROR(B2*10000/F43),0,ROUND(B2*10000/F43,0))</f>
        <v>22115</v>
      </c>
      <c r="C3" s="1845" t="s">
        <v>1514</v>
      </c>
      <c r="D3" s="1845"/>
      <c r="E3" s="1846"/>
      <c r="F3" s="1847"/>
      <c r="G3" s="1848"/>
      <c r="H3" s="742"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3">
        <f ca="1">C6+C10+C12</f>
        <v>345</v>
      </c>
      <c r="D5" s="1822" t="s">
        <v>1398</v>
      </c>
      <c r="E5" s="1294"/>
      <c r="F5" s="1295"/>
      <c r="G5" s="1851"/>
      <c r="H5" s="344">
        <v>1</v>
      </c>
      <c r="I5" s="345" t="s">
        <v>1397</v>
      </c>
      <c r="J5" s="1293">
        <f ca="1">J6+J10+J12</f>
        <v>0</v>
      </c>
      <c r="K5" s="1822" t="s">
        <v>1398</v>
      </c>
      <c r="L5" s="1294"/>
      <c r="M5" s="1295"/>
    </row>
    <row r="6" spans="1:37" ht="18" customHeight="1">
      <c r="A6" s="1292" t="s">
        <v>1034</v>
      </c>
      <c r="B6" s="3257" t="s">
        <v>1399</v>
      </c>
      <c r="C6" s="1297">
        <f ca="1">ROUND(F6*F8*F7*(1-F9)/10000,0)</f>
        <v>345</v>
      </c>
      <c r="D6" s="164" t="s">
        <v>2980</v>
      </c>
      <c r="E6" s="347" t="s">
        <v>1401</v>
      </c>
      <c r="F6" s="348">
        <f ca="1">INDIRECT("'数据-取费表'!u"&amp;$G$1)</f>
        <v>4.8</v>
      </c>
      <c r="G6" s="1851"/>
      <c r="H6" s="1292" t="s">
        <v>1034</v>
      </c>
      <c r="I6" s="3257" t="s">
        <v>1399</v>
      </c>
      <c r="J6" s="346">
        <f ca="1">ROUND(M6*M8*M7*(1-M9)/10000,0)</f>
        <v>0</v>
      </c>
      <c r="K6" s="164" t="s">
        <v>2979</v>
      </c>
      <c r="L6" s="347" t="s">
        <v>1401</v>
      </c>
      <c r="M6" s="348">
        <f ca="1">INDIRECT("'数据-取费表'!z"&amp;$G$1)</f>
        <v>0</v>
      </c>
    </row>
    <row r="7" spans="1:37" ht="18" customHeight="1">
      <c r="A7" s="1296"/>
      <c r="B7" s="3258"/>
      <c r="C7" s="1298"/>
      <c r="D7" s="352"/>
      <c r="E7" s="1299" t="s">
        <v>1402</v>
      </c>
      <c r="F7" s="348">
        <f ca="1">IF(INDIRECT("'数据-取费表'!ah"&amp;$G$1)="",INDIRECT("'数据-取费表'!k"&amp;$G$1),INDIRECT("'数据-取费表'!ah"&amp;$G$1))</f>
        <v>2188.58</v>
      </c>
      <c r="G7" s="1851"/>
      <c r="H7" s="349"/>
      <c r="I7" s="3258"/>
      <c r="J7" s="351"/>
      <c r="K7" s="352"/>
      <c r="L7" s="347" t="s">
        <v>1402</v>
      </c>
      <c r="M7" s="348">
        <f ca="1">F7</f>
        <v>2188.58</v>
      </c>
    </row>
    <row r="8" spans="1:37" ht="18" customHeight="1">
      <c r="A8" s="349"/>
      <c r="B8" s="3258"/>
      <c r="C8" s="351"/>
      <c r="D8" s="352"/>
      <c r="E8" s="347" t="s">
        <v>1403</v>
      </c>
      <c r="F8" s="348">
        <f ca="1">INDIRECT("'数据-取费表'!ai"&amp;$G$1)</f>
        <v>365</v>
      </c>
      <c r="G8" s="1851"/>
      <c r="H8" s="349"/>
      <c r="I8" s="3258"/>
      <c r="J8" s="351"/>
      <c r="K8" s="352"/>
      <c r="L8" s="347" t="s">
        <v>1403</v>
      </c>
      <c r="M8" s="348">
        <f ca="1">INDIRECT("'数据-取费表'!ai"&amp;$G$1)</f>
        <v>365</v>
      </c>
    </row>
    <row r="9" spans="1:37" ht="18" customHeight="1">
      <c r="A9" s="349"/>
      <c r="B9" s="3259"/>
      <c r="C9" s="351"/>
      <c r="D9" s="352"/>
      <c r="E9" s="347" t="s">
        <v>1404</v>
      </c>
      <c r="F9" s="357">
        <f ca="1">INDIRECT("'数据-取费表'!w"&amp;$G$1)</f>
        <v>0.1</v>
      </c>
      <c r="G9" s="1851"/>
      <c r="H9" s="349"/>
      <c r="I9" s="3259"/>
      <c r="J9" s="351"/>
      <c r="K9" s="352"/>
      <c r="L9" s="358" t="s">
        <v>1404</v>
      </c>
      <c r="M9" s="359">
        <f ca="1">INDIRECT("'数据-取费表'!ab"&amp;$G$1)</f>
        <v>0</v>
      </c>
    </row>
    <row r="10" spans="1:37" ht="18" customHeight="1">
      <c r="A10" s="1292" t="s">
        <v>1038</v>
      </c>
      <c r="B10" s="1823" t="s">
        <v>1405</v>
      </c>
      <c r="C10" s="361">
        <f ca="1">ROUND(IF(F10="押一",C6/12*F11,IF(F10="押二",C6/12*2*F11,IF(F10="押三",C6/12*3*F11,C11*F11))),0)</f>
        <v>0</v>
      </c>
      <c r="D10" s="1824" t="s">
        <v>2989</v>
      </c>
      <c r="E10" s="358" t="s">
        <v>1406</v>
      </c>
      <c r="F10" s="1367" t="s">
        <v>3012</v>
      </c>
      <c r="G10" s="1851"/>
      <c r="H10" s="1292" t="s">
        <v>1038</v>
      </c>
      <c r="I10" s="1823" t="s">
        <v>1405</v>
      </c>
      <c r="J10" s="346">
        <f ca="1">ROUND(IF(M10="押一",J6/12*M11,IF(M10="押二",J6/12*2*M11,IF(M10="押三",J6/12*3*M11,J11*M11))),0)</f>
        <v>0</v>
      </c>
      <c r="K10" s="1824" t="s">
        <v>2988</v>
      </c>
      <c r="L10" s="358" t="s">
        <v>1406</v>
      </c>
      <c r="M10" s="1367" t="s">
        <v>1407</v>
      </c>
    </row>
    <row r="11" spans="1:37" ht="18" customHeight="1">
      <c r="A11" s="353"/>
      <c r="B11" s="1825" t="s">
        <v>1384</v>
      </c>
      <c r="C11" s="1179"/>
      <c r="D11" s="1826"/>
      <c r="E11" s="358" t="s">
        <v>1408</v>
      </c>
      <c r="F11" s="359">
        <f ca="1">'数据-取费表'!B39</f>
        <v>1.4999999999999999E-2</v>
      </c>
      <c r="G11" s="1851"/>
      <c r="H11" s="1300"/>
      <c r="I11" s="1825" t="s">
        <v>1384</v>
      </c>
      <c r="J11" s="1179"/>
      <c r="K11" s="746"/>
      <c r="L11" s="358" t="s">
        <v>1408</v>
      </c>
      <c r="M11" s="1057">
        <f ca="1">'数据-取费表'!B39</f>
        <v>1.4999999999999999E-2</v>
      </c>
    </row>
    <row r="12" spans="1:37" ht="18" customHeight="1" thickBot="1">
      <c r="A12" s="1334" t="s">
        <v>1074</v>
      </c>
      <c r="B12" s="1827" t="s">
        <v>1409</v>
      </c>
      <c r="C12" s="1335"/>
      <c r="D12" s="1336"/>
      <c r="E12" s="1341"/>
      <c r="F12" s="1337"/>
      <c r="G12" s="1851"/>
      <c r="H12" s="1334" t="s">
        <v>1074</v>
      </c>
      <c r="I12" s="1827" t="s">
        <v>1409</v>
      </c>
      <c r="J12" s="1335"/>
      <c r="K12" s="1349"/>
      <c r="L12" s="1341"/>
      <c r="M12" s="1350"/>
    </row>
    <row r="13" spans="1:37" ht="18" customHeight="1" thickTop="1">
      <c r="A13" s="1330">
        <v>2</v>
      </c>
      <c r="B13" s="1331" t="s">
        <v>1410</v>
      </c>
      <c r="C13" s="355">
        <f ca="1">ROUND(C29*F13,0)</f>
        <v>747</v>
      </c>
      <c r="D13" s="1332" t="s">
        <v>1411</v>
      </c>
      <c r="E13" s="1332" t="s">
        <v>1412</v>
      </c>
      <c r="F13" s="1333">
        <f ca="1">INDIRECT("'数据-取费表'!y"&amp;$G$1)</f>
        <v>0.7</v>
      </c>
      <c r="G13" s="1851"/>
      <c r="H13" s="1330">
        <v>2</v>
      </c>
      <c r="I13" s="1331" t="s">
        <v>1410</v>
      </c>
      <c r="J13" s="1291">
        <f ca="1">ROUND(J14*J15,0)</f>
        <v>0</v>
      </c>
      <c r="K13" s="1338" t="s">
        <v>1411</v>
      </c>
      <c r="L13" s="1852"/>
      <c r="M13" s="1853"/>
    </row>
    <row r="14" spans="1:37" ht="18" customHeight="1">
      <c r="A14" s="1202" t="s">
        <v>1033</v>
      </c>
      <c r="B14" s="347" t="s">
        <v>1413</v>
      </c>
      <c r="C14" s="363">
        <f ca="1">INDIRECT("'数据-取费表'!m"&amp;$G$1)+INDIRECT("'数据-取费表'!t"&amp;$G$1)</f>
        <v>613</v>
      </c>
      <c r="D14" s="1800" t="s">
        <v>1414</v>
      </c>
      <c r="E14" s="1794"/>
      <c r="F14" s="364"/>
      <c r="G14" s="1851"/>
      <c r="H14" s="1202" t="s">
        <v>1034</v>
      </c>
      <c r="I14" s="347" t="s">
        <v>1415</v>
      </c>
      <c r="J14" s="24">
        <f ca="1">C29</f>
        <v>1067</v>
      </c>
      <c r="K14" s="15"/>
      <c r="L14" s="980"/>
      <c r="M14" s="981"/>
    </row>
    <row r="15" spans="1:37" s="1858" customFormat="1" ht="18" customHeight="1" thickBot="1">
      <c r="A15" s="1202" t="s">
        <v>1035</v>
      </c>
      <c r="B15" s="347" t="s">
        <v>1416</v>
      </c>
      <c r="C15" s="24">
        <f ca="1">ROUND(C14*F15,0)</f>
        <v>31</v>
      </c>
      <c r="D15" s="365" t="s">
        <v>1417</v>
      </c>
      <c r="E15" s="365" t="s">
        <v>1418</v>
      </c>
      <c r="F15" s="366">
        <f>'数据-取费表'!B33</f>
        <v>0.05</v>
      </c>
      <c r="G15" s="1854"/>
      <c r="H15" s="1340" t="s">
        <v>1038</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1"/>
      <c r="H16" s="1330" t="s">
        <v>1029</v>
      </c>
      <c r="I16" s="1331" t="s">
        <v>1420</v>
      </c>
      <c r="J16" s="355">
        <f ca="1">ROUND(J17+J22+J23+J24,0)</f>
        <v>27</v>
      </c>
      <c r="K16" s="1338" t="s">
        <v>1421</v>
      </c>
      <c r="L16" s="1339"/>
      <c r="M16" s="1295"/>
    </row>
    <row r="17" spans="1:37" s="1858" customFormat="1" ht="18" customHeight="1">
      <c r="A17" s="1202" t="s">
        <v>1386</v>
      </c>
      <c r="B17" s="347" t="s">
        <v>1422</v>
      </c>
      <c r="C17" s="24">
        <f ca="1">ROUND(F17*(F43+INDIRECT("'数据-取费表'!S"&amp;$G$1))/10000,0)</f>
        <v>44</v>
      </c>
      <c r="D17" s="347" t="s">
        <v>1423</v>
      </c>
      <c r="E17" s="347" t="s">
        <v>1424</v>
      </c>
      <c r="F17" s="26">
        <f>'数据-取费表'!B35</f>
        <v>200</v>
      </c>
      <c r="G17" s="1854"/>
      <c r="H17" s="1202" t="s">
        <v>1034</v>
      </c>
      <c r="I17" s="347" t="s">
        <v>1425</v>
      </c>
      <c r="J17" s="24">
        <f ca="1">ROUND(IF(项目基本情况!B11="自然人",J5*M17,J18+J19+J20),1)</f>
        <v>10.6</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9</v>
      </c>
      <c r="D18" s="347" t="s">
        <v>1417</v>
      </c>
      <c r="E18" s="347" t="s">
        <v>1418</v>
      </c>
      <c r="F18" s="367">
        <f>'数据-取费表'!B36</f>
        <v>1.4999999999999999E-2</v>
      </c>
      <c r="G18" s="1854"/>
      <c r="H18" s="1202" t="s">
        <v>1033</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1034</v>
      </c>
      <c r="B19" s="347" t="s">
        <v>1431</v>
      </c>
      <c r="C19" s="24">
        <f ca="1">SUM(C14:C18)</f>
        <v>697</v>
      </c>
      <c r="D19" s="140" t="s">
        <v>1432</v>
      </c>
      <c r="E19" s="1818"/>
      <c r="F19" s="26"/>
      <c r="G19" s="1851"/>
      <c r="H19" s="1202" t="s">
        <v>1035</v>
      </c>
      <c r="I19" s="347" t="s">
        <v>1433</v>
      </c>
      <c r="J19" s="24">
        <f ca="1">IF(K19="按租金收入计税",ROUND(J5*M19,2),ROUND(C29*M19*0.7,2))</f>
        <v>8.9600000000000009</v>
      </c>
      <c r="K19" s="1828" t="s">
        <v>1434</v>
      </c>
      <c r="L19" s="347" t="s">
        <v>1418</v>
      </c>
      <c r="M19" s="367">
        <f>IF(K19="按租金收入计税",'数据-取费表'!B51,'数据-取费表'!B50)</f>
        <v>1.2E-2</v>
      </c>
    </row>
    <row r="20" spans="1:37" s="1858" customFormat="1" ht="18" customHeight="1">
      <c r="A20" s="1202" t="s">
        <v>1038</v>
      </c>
      <c r="B20" s="347" t="s">
        <v>1435</v>
      </c>
      <c r="C20" s="24">
        <f ca="1">ROUND(C19*F20,0)</f>
        <v>21</v>
      </c>
      <c r="D20" s="369" t="s">
        <v>1436</v>
      </c>
      <c r="E20" s="347" t="s">
        <v>1418</v>
      </c>
      <c r="F20" s="367">
        <f>'数据-取费表'!B37</f>
        <v>0.03</v>
      </c>
      <c r="G20" s="1854"/>
      <c r="H20" s="1202" t="s">
        <v>1385</v>
      </c>
      <c r="I20" s="164" t="s">
        <v>1437</v>
      </c>
      <c r="J20" s="25">
        <f ca="1">ROUND(M20*M21/10000,2)</f>
        <v>1.64</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1074</v>
      </c>
      <c r="B21" s="347" t="s">
        <v>1440</v>
      </c>
      <c r="C21" s="24" t="s">
        <v>18</v>
      </c>
      <c r="D21" s="369" t="s">
        <v>1441</v>
      </c>
      <c r="E21" s="347" t="s">
        <v>1442</v>
      </c>
      <c r="F21" s="367">
        <f>'数据-取费表'!B38</f>
        <v>0.03</v>
      </c>
      <c r="G21" s="1854"/>
      <c r="H21" s="372"/>
      <c r="I21" s="356"/>
      <c r="J21" s="29"/>
      <c r="K21" s="373"/>
      <c r="L21" s="347" t="s">
        <v>1443</v>
      </c>
      <c r="M21" s="348">
        <f ca="1">INDIRECT("'数据-取费表'!r"&amp;$G$1)</f>
        <v>546.38</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8"/>
      <c r="F22" s="26"/>
      <c r="G22" s="1851"/>
      <c r="H22" s="1202" t="s">
        <v>1038</v>
      </c>
      <c r="I22" s="347" t="s">
        <v>1445</v>
      </c>
      <c r="J22" s="24">
        <f ca="1">ROUND(J14*M22,1)</f>
        <v>16</v>
      </c>
      <c r="K22" s="1798" t="s">
        <v>1446</v>
      </c>
      <c r="L22" s="347" t="s">
        <v>1418</v>
      </c>
      <c r="M22" s="374">
        <f ca="1">INDIRECT("'数据-取费表'!Ak"&amp;$G$1)</f>
        <v>1.4999999999999999E-2</v>
      </c>
    </row>
    <row r="23" spans="1:37" s="1858" customFormat="1" ht="18" customHeight="1">
      <c r="A23" s="1202" t="s">
        <v>1033</v>
      </c>
      <c r="B23" s="347" t="s">
        <v>1447</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1448</v>
      </c>
      <c r="F23" s="371">
        <f>'数据-取费表'!B20</f>
        <v>2</v>
      </c>
      <c r="G23" s="1854"/>
      <c r="H23" s="1202" t="s">
        <v>1074</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40" t="s">
        <v>1389</v>
      </c>
      <c r="I24" s="1341" t="s">
        <v>1435</v>
      </c>
      <c r="J24" s="1342">
        <f ca="1">ROUND(J5*M24,1)</f>
        <v>0</v>
      </c>
      <c r="K24" s="1343" t="s">
        <v>1455</v>
      </c>
      <c r="L24" s="1341" t="s">
        <v>1451</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7" t="s">
        <v>1457</v>
      </c>
      <c r="C25" s="24"/>
      <c r="D25" s="140" t="s">
        <v>1458</v>
      </c>
      <c r="E25" s="1818"/>
      <c r="F25" s="26"/>
      <c r="G25" s="1851"/>
      <c r="H25" s="1330" t="s">
        <v>1030</v>
      </c>
      <c r="I25" s="1345" t="s">
        <v>1459</v>
      </c>
      <c r="J25" s="355">
        <f ca="1">J5-J16</f>
        <v>-27</v>
      </c>
      <c r="K25" s="1346" t="s">
        <v>1460</v>
      </c>
      <c r="L25" s="1347"/>
      <c r="M25" s="1348"/>
    </row>
    <row r="26" spans="1:37">
      <c r="A26" s="1202" t="s">
        <v>1033</v>
      </c>
      <c r="B26" s="347" t="s">
        <v>1461</v>
      </c>
      <c r="C26" s="24">
        <f ca="1">ROUND((C19+C20)*F26,0)</f>
        <v>215</v>
      </c>
      <c r="D26" s="369" t="s">
        <v>1462</v>
      </c>
      <c r="E26" s="358" t="s">
        <v>1463</v>
      </c>
      <c r="F26" s="357">
        <f ca="1">INDIRECT("'数据-取费表'!q"&amp;$G$1)</f>
        <v>0.3</v>
      </c>
      <c r="G26" s="1851"/>
      <c r="H26" s="344" t="s">
        <v>1031</v>
      </c>
      <c r="I26" s="345" t="s">
        <v>1464</v>
      </c>
      <c r="J26" s="346">
        <f ca="1">IF(J5&lt;&gt;0,ROUND(J25*(1-((1+M28)/(1+M26))^M27)/(M26-M28),0),0)</f>
        <v>0</v>
      </c>
      <c r="K26" s="370" t="s">
        <v>1465</v>
      </c>
      <c r="L26" s="347" t="s">
        <v>1466</v>
      </c>
      <c r="M26" s="357">
        <f ca="1">INDIRECT("'数据-取费表'!I"&amp;$G$1)</f>
        <v>5.5E-2</v>
      </c>
    </row>
    <row r="27" spans="1:37" ht="18" customHeight="1">
      <c r="A27" s="1202" t="s">
        <v>1035</v>
      </c>
      <c r="B27" s="347" t="s">
        <v>1467</v>
      </c>
      <c r="C27" s="24">
        <f ca="1">ROUND(F21*F26,4)</f>
        <v>8.9999999999999993E-3</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1036</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1037</v>
      </c>
      <c r="B29" s="1341" t="s">
        <v>1474</v>
      </c>
      <c r="C29" s="1342">
        <f ca="1">ROUND((C19+C20+C23+C26)/(1-F21-C24-C27-C28),0)</f>
        <v>1067</v>
      </c>
      <c r="D29" s="1343"/>
      <c r="E29" s="1341"/>
      <c r="F29" s="1344"/>
      <c r="G29" s="1854"/>
      <c r="H29" s="380" t="s">
        <v>1032</v>
      </c>
      <c r="I29" s="381" t="s">
        <v>1475</v>
      </c>
      <c r="J29" s="382">
        <f ca="1">ROUND(J26/(1+F40)^F41,0)</f>
        <v>0</v>
      </c>
      <c r="K29" s="383" t="s">
        <v>1476</v>
      </c>
      <c r="L29" s="384"/>
      <c r="M29" s="385">
        <f ca="1">INDIRECT("'数据-取费表'!k"&amp;$G$1)</f>
        <v>2188.58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1029</v>
      </c>
      <c r="B30" s="1331" t="s">
        <v>1420</v>
      </c>
      <c r="C30" s="355">
        <f ca="1">ROUND(C31+C36+C37+C38,0)</f>
        <v>82</v>
      </c>
      <c r="D30" s="1338" t="s">
        <v>1421</v>
      </c>
      <c r="E30" s="1339"/>
      <c r="F30" s="1295"/>
      <c r="G30" s="1851"/>
      <c r="H30" s="743"/>
      <c r="I30" s="744"/>
      <c r="J30" s="745"/>
      <c r="K30" s="746"/>
      <c r="L30" s="747"/>
      <c r="M30" s="748"/>
    </row>
    <row r="31" spans="1:37" ht="18" customHeight="1">
      <c r="A31" s="1202" t="s">
        <v>1034</v>
      </c>
      <c r="B31" s="347" t="s">
        <v>1425</v>
      </c>
      <c r="C31" s="24">
        <f ca="1">ROUND(IF(项目基本情况!B11="自然人",C5*F31,C32+C33+C34),1)</f>
        <v>61.4</v>
      </c>
      <c r="D31" s="1800" t="s">
        <v>1426</v>
      </c>
      <c r="E31" s="1798" t="s">
        <v>1477</v>
      </c>
      <c r="F31" s="368">
        <f ca="1">IF(项目基本情况!B11="企业","",IF(INDIRECT("'数据-取费表'!c"&amp;$G$1)="住宅",5%,IF(F6*F7*F8/12/(1+'数据-取费表'!C42)&gt;20000,12%,7%)))</f>
        <v>0.12</v>
      </c>
      <c r="G31" s="1851"/>
      <c r="H31" s="743"/>
      <c r="I31" s="744"/>
      <c r="J31" s="745"/>
      <c r="K31" s="746"/>
      <c r="L31" s="747"/>
      <c r="M31" s="748"/>
    </row>
    <row r="32" spans="1:37" ht="18" customHeight="1">
      <c r="A32" s="1202" t="s">
        <v>1033</v>
      </c>
      <c r="B32" s="347" t="s">
        <v>1429</v>
      </c>
      <c r="C32" s="24">
        <f ca="1">IF(项目基本情况!B11="自然人","——",ROUND(C5*F32/(1+'数据-取费表'!C42),2))</f>
        <v>18.399999999999999</v>
      </c>
      <c r="D32" s="1798" t="s">
        <v>1430</v>
      </c>
      <c r="E32" s="347" t="s">
        <v>1418</v>
      </c>
      <c r="F32" s="377">
        <f>'数据-取费表'!B41</f>
        <v>5.6000000000000001E-2</v>
      </c>
      <c r="G32" s="1851"/>
      <c r="H32" s="743"/>
      <c r="I32" s="744"/>
      <c r="J32" s="745"/>
      <c r="K32" s="746"/>
      <c r="L32" s="747"/>
      <c r="M32" s="748"/>
    </row>
    <row r="33" spans="1:18" ht="18" customHeight="1">
      <c r="A33" s="1202" t="s">
        <v>1035</v>
      </c>
      <c r="B33" s="347" t="s">
        <v>1433</v>
      </c>
      <c r="C33" s="24">
        <f ca="1">IF(项目基本情况!B11="自然人","——",IF(D33="按租金收入计税",ROUND(C5*F33,2),IF(D33="按房产原值计税",ROUND(C29*F33*0.7,2),INDIRECT("'数据-取费表'!Aj"&amp;$G$1))))</f>
        <v>41.4</v>
      </c>
      <c r="D33" s="1828" t="s">
        <v>3013</v>
      </c>
      <c r="E33" s="347" t="s">
        <v>1418</v>
      </c>
      <c r="F33" s="367">
        <f>IF(D33="按票据","——",IF(D33="按租金收入计税",'数据-取费表'!B51,'数据-取费表'!B50))</f>
        <v>0.12</v>
      </c>
      <c r="G33" s="1851"/>
      <c r="H33" s="1859"/>
      <c r="I33" s="1860"/>
      <c r="J33" s="1861"/>
      <c r="K33" s="1862"/>
      <c r="L33" s="1859"/>
      <c r="M33" s="1859"/>
    </row>
    <row r="34" spans="1:18" ht="18" customHeight="1">
      <c r="A34" s="1292" t="s">
        <v>1385</v>
      </c>
      <c r="B34" s="164" t="s">
        <v>1437</v>
      </c>
      <c r="C34" s="25">
        <f ca="1">IF(项目基本情况!B11="自然人","——",ROUND(F34*F35/10000,2))</f>
        <v>1.64</v>
      </c>
      <c r="D34" s="370" t="s">
        <v>1438</v>
      </c>
      <c r="E34" s="347" t="s">
        <v>1439</v>
      </c>
      <c r="F34" s="371">
        <f>'数据-取费表'!B52</f>
        <v>30</v>
      </c>
      <c r="G34" s="1851"/>
      <c r="H34" s="743"/>
      <c r="I34" s="1860"/>
      <c r="J34" s="1861"/>
      <c r="K34" s="1863"/>
      <c r="L34" s="1864"/>
      <c r="M34" s="1864"/>
    </row>
    <row r="35" spans="1:18" ht="18" customHeight="1">
      <c r="A35" s="1354"/>
      <c r="B35" s="1352"/>
      <c r="C35" s="29"/>
      <c r="D35" s="373"/>
      <c r="E35" s="347" t="s">
        <v>1443</v>
      </c>
      <c r="F35" s="348">
        <f ca="1">INDIRECT("'数据-取费表'!r"&amp;$G$1)</f>
        <v>546.38</v>
      </c>
      <c r="G35" s="1851"/>
      <c r="H35" s="743"/>
      <c r="I35" s="1860"/>
      <c r="J35" s="1861"/>
      <c r="K35" s="1862"/>
      <c r="L35" s="1859"/>
      <c r="M35" s="1859"/>
    </row>
    <row r="36" spans="1:18" ht="18" customHeight="1">
      <c r="A36" s="1353" t="s">
        <v>1038</v>
      </c>
      <c r="B36" s="347" t="s">
        <v>1445</v>
      </c>
      <c r="C36" s="24">
        <f ca="1">ROUND(C29*F36,1)</f>
        <v>16</v>
      </c>
      <c r="D36" s="1798" t="s">
        <v>1478</v>
      </c>
      <c r="E36" s="347" t="s">
        <v>1418</v>
      </c>
      <c r="F36" s="374">
        <f ca="1">INDIRECT("'数据-取费表'!Ak"&amp;$G$1)</f>
        <v>1.4999999999999999E-2</v>
      </c>
      <c r="G36" s="1851"/>
      <c r="H36" s="1859"/>
      <c r="I36" s="1860"/>
      <c r="J36" s="1861"/>
      <c r="K36" s="749"/>
      <c r="L36" s="1859"/>
      <c r="M36" s="1859"/>
    </row>
    <row r="37" spans="1:18" ht="18" customHeight="1">
      <c r="A37" s="1202" t="s">
        <v>1074</v>
      </c>
      <c r="B37" s="347" t="s">
        <v>1449</v>
      </c>
      <c r="C37" s="24">
        <f ca="1">ROUND(C13*F37,1)</f>
        <v>1.1000000000000001</v>
      </c>
      <c r="D37" s="1798" t="s">
        <v>1450</v>
      </c>
      <c r="E37" s="347" t="s">
        <v>1451</v>
      </c>
      <c r="F37" s="376">
        <f ca="1">INDIRECT("'数据-取费表'!Al"&amp;$G$1)</f>
        <v>1.5E-3</v>
      </c>
      <c r="G37" s="1851"/>
      <c r="H37" s="1859"/>
      <c r="I37" s="1860"/>
      <c r="J37" s="1861"/>
      <c r="K37" s="749"/>
      <c r="L37" s="1859"/>
      <c r="M37" s="1859"/>
    </row>
    <row r="38" spans="1:18" ht="18" customHeight="1" thickBot="1">
      <c r="A38" s="1340" t="s">
        <v>1389</v>
      </c>
      <c r="B38" s="1341" t="s">
        <v>1435</v>
      </c>
      <c r="C38" s="1342">
        <f ca="1">ROUND(C5*F38,1)</f>
        <v>3.5</v>
      </c>
      <c r="D38" s="1343" t="s">
        <v>1455</v>
      </c>
      <c r="E38" s="1341" t="s">
        <v>1451</v>
      </c>
      <c r="F38" s="1337">
        <f ca="1">INDIRECT("'数据-取费表'!Am"&amp;$G$1)</f>
        <v>0.01</v>
      </c>
      <c r="G38" s="1851"/>
      <c r="H38" s="1859"/>
      <c r="I38" s="1860"/>
      <c r="J38" s="1861"/>
      <c r="K38" s="1865"/>
      <c r="L38" s="1859"/>
      <c r="M38" s="1859"/>
    </row>
    <row r="39" spans="1:18" ht="24.6" customHeight="1" thickTop="1">
      <c r="A39" s="1330" t="s">
        <v>1030</v>
      </c>
      <c r="B39" s="1345" t="s">
        <v>1479</v>
      </c>
      <c r="C39" s="355">
        <f ca="1">C5-C30</f>
        <v>263</v>
      </c>
      <c r="D39" s="1346" t="s">
        <v>1480</v>
      </c>
      <c r="E39" s="1347"/>
      <c r="F39" s="1348"/>
      <c r="G39" s="1851"/>
      <c r="H39" s="1859"/>
      <c r="I39" s="1860"/>
      <c r="J39" s="1861"/>
      <c r="K39" s="1865"/>
      <c r="L39" s="1859"/>
      <c r="M39" s="1859"/>
    </row>
    <row r="40" spans="1:18" ht="18" customHeight="1">
      <c r="A40" s="344" t="s">
        <v>1031</v>
      </c>
      <c r="B40" s="345" t="s">
        <v>1481</v>
      </c>
      <c r="C40" s="346">
        <f ca="1">ROUND(C39*(1-((1+F42)/(1+F40))^F41)/(F40-F42),0)</f>
        <v>4840</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22.56</v>
      </c>
      <c r="G41" s="1851"/>
      <c r="H41" s="730"/>
      <c r="I41" s="1860"/>
      <c r="J41" s="1861"/>
      <c r="K41" s="749"/>
      <c r="L41" s="730"/>
      <c r="M41" s="730"/>
    </row>
    <row r="42" spans="1:18" ht="18" customHeight="1">
      <c r="A42" s="353"/>
      <c r="B42" s="354"/>
      <c r="C42" s="355"/>
      <c r="D42" s="373"/>
      <c r="E42" s="347" t="s">
        <v>1473</v>
      </c>
      <c r="F42" s="357">
        <f ca="1">INDIRECT("'数据-取费表'!v"&amp;$G$1)</f>
        <v>0.04</v>
      </c>
      <c r="G42" s="1851"/>
      <c r="H42" s="730"/>
      <c r="I42" s="1860"/>
      <c r="J42" s="1861"/>
      <c r="K42" s="749"/>
      <c r="L42" s="730"/>
      <c r="M42" s="730"/>
    </row>
    <row r="43" spans="1:18" ht="18" customHeight="1" thickBot="1">
      <c r="A43" s="380" t="s">
        <v>1032</v>
      </c>
      <c r="B43" s="381" t="s">
        <v>1483</v>
      </c>
      <c r="C43" s="382">
        <f ca="1">ROUND(C40*10000/F43,0)</f>
        <v>22115</v>
      </c>
      <c r="D43" s="383" t="s">
        <v>1484</v>
      </c>
      <c r="E43" s="384" t="s">
        <v>1485</v>
      </c>
      <c r="F43" s="385">
        <f ca="1">INDIRECT("'数据-取费表'!k"&amp;$G$1)</f>
        <v>2188.58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1515</v>
      </c>
      <c r="P45" s="1839"/>
      <c r="Q45" s="1839"/>
      <c r="R45" s="1839"/>
    </row>
    <row r="46" spans="1:18" s="1842" customFormat="1" ht="13.5" thickBot="1">
      <c r="A46" s="1870" t="s">
        <v>1516</v>
      </c>
      <c r="C46" s="1871">
        <f ca="1">C68-C40</f>
        <v>-6217</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0"/>
      <c r="I47" s="1880" t="s">
        <v>1522</v>
      </c>
      <c r="J47" s="1881" t="s">
        <v>3010</v>
      </c>
      <c r="K47" s="1882" t="s">
        <v>1523</v>
      </c>
      <c r="L47" s="1883">
        <f ca="1">INDIRECT("'数据-取费表'!d"&amp;$G$1)</f>
        <v>40</v>
      </c>
      <c r="M47" s="1838" t="str">
        <f>IF(ISNUMBER(FIND("住宅",C1)),"住宅","非住宅")</f>
        <v>非住宅</v>
      </c>
      <c r="O47" s="1884" t="s">
        <v>1039</v>
      </c>
      <c r="P47" s="1885" t="s">
        <v>1524</v>
      </c>
      <c r="Q47" s="1886">
        <f ca="1">C40+J29</f>
        <v>4840</v>
      </c>
      <c r="R47" s="1886" t="s">
        <v>1525</v>
      </c>
    </row>
    <row r="48" spans="1:18" s="1842" customFormat="1" ht="28.5" thickBot="1">
      <c r="A48" s="1361" t="s">
        <v>1134</v>
      </c>
      <c r="B48" s="345" t="s">
        <v>1397</v>
      </c>
      <c r="C48" s="1817">
        <f ca="1">C49+C53+C55</f>
        <v>0</v>
      </c>
      <c r="D48" s="1363"/>
      <c r="E48" s="1364"/>
      <c r="F48" s="1182"/>
      <c r="G48" s="790"/>
      <c r="H48" s="791"/>
      <c r="I48" s="1887" t="s">
        <v>1526</v>
      </c>
      <c r="J48" s="1888" t="s">
        <v>3011</v>
      </c>
      <c r="K48" s="1889" t="s">
        <v>1527</v>
      </c>
      <c r="L48" s="1890">
        <f ca="1">INDIRECT("'数据-取费表'!f"&amp;$G$1)</f>
        <v>22.56</v>
      </c>
      <c r="O48" s="1884" t="s">
        <v>1040</v>
      </c>
      <c r="P48" s="1885" t="s">
        <v>1528</v>
      </c>
      <c r="Q48" s="1886" t="str">
        <f ca="1">J60</f>
        <v>0</v>
      </c>
      <c r="R48" s="1886" t="s">
        <v>1529</v>
      </c>
    </row>
    <row r="49" spans="1:18" s="1842" customFormat="1" ht="13.5" thickBot="1">
      <c r="A49" s="1195" t="s">
        <v>1135</v>
      </c>
      <c r="B49" s="1829" t="s">
        <v>1486</v>
      </c>
      <c r="C49" s="1365">
        <f ca="1">ROUND(F49*F51*F50*(1-F52)/10000,0)</f>
        <v>0</v>
      </c>
      <c r="D49" s="1277" t="s">
        <v>2981</v>
      </c>
      <c r="E49" s="1830" t="s">
        <v>1487</v>
      </c>
      <c r="F49" s="1282"/>
      <c r="G49" s="1891"/>
      <c r="H49" s="791"/>
      <c r="I49" s="1887" t="s">
        <v>1530</v>
      </c>
      <c r="J49" s="1892">
        <v>2000</v>
      </c>
      <c r="K49" s="1889" t="s">
        <v>1531</v>
      </c>
      <c r="L49" s="1893"/>
      <c r="O49" s="1894" t="s">
        <v>1041</v>
      </c>
      <c r="P49" s="1885" t="s">
        <v>1532</v>
      </c>
      <c r="Q49" s="1886">
        <f ca="1">C29</f>
        <v>1067</v>
      </c>
      <c r="R49" s="1886" t="s">
        <v>1525</v>
      </c>
    </row>
    <row r="50" spans="1:18" s="1842" customFormat="1" ht="13.5" thickBot="1">
      <c r="A50" s="1196"/>
      <c r="B50" s="1199"/>
      <c r="C50" s="1369"/>
      <c r="D50" s="1173"/>
      <c r="E50" s="1278" t="s">
        <v>1402</v>
      </c>
      <c r="F50" s="1279">
        <f ca="1">F7</f>
        <v>2188.58</v>
      </c>
      <c r="H50" s="791"/>
      <c r="I50" s="1887" t="s">
        <v>1533</v>
      </c>
      <c r="J50" s="1895">
        <f>SUMPRODUCT((I63:I65=J47)*(J62:L62=J48)*(J63:L65))</f>
        <v>60</v>
      </c>
      <c r="K50" s="1889" t="s">
        <v>1534</v>
      </c>
      <c r="L50" s="1893"/>
      <c r="M50" s="1896"/>
      <c r="O50" s="1894" t="s">
        <v>1042</v>
      </c>
      <c r="P50" s="1885" t="s">
        <v>1535</v>
      </c>
      <c r="Q50" s="1897" t="e">
        <f ca="1">J58</f>
        <v>#VALUE!</v>
      </c>
      <c r="R50" s="1886"/>
    </row>
    <row r="51" spans="1:18" s="1842" customFormat="1" ht="13.5" thickBot="1">
      <c r="A51" s="1197"/>
      <c r="B51" s="1199"/>
      <c r="C51" s="1200"/>
      <c r="D51" s="1173"/>
      <c r="E51" s="1201" t="s">
        <v>1403</v>
      </c>
      <c r="F51" s="348">
        <f ca="1">F8</f>
        <v>365</v>
      </c>
      <c r="I51" s="1898" t="s">
        <v>1536</v>
      </c>
      <c r="J51" s="1899">
        <f>IF(J49="",J50,J49+J50-YEAR('数据-取费表'!B2))</f>
        <v>42</v>
      </c>
      <c r="K51" s="1900" t="s">
        <v>1537</v>
      </c>
      <c r="L51" s="1901">
        <f ca="1">ROUND(-PV(INDIRECT("'数据-取费表'!h"&amp;$G$1),L48,(C39-C13*C76),0),0)</f>
        <v>2929</v>
      </c>
      <c r="M51" s="1902"/>
      <c r="O51" s="1894" t="s">
        <v>1043</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1044</v>
      </c>
      <c r="P52" s="1885" t="s">
        <v>1541</v>
      </c>
      <c r="Q52" s="1886">
        <f ca="1">J53</f>
        <v>22.56</v>
      </c>
      <c r="R52" s="1886" t="s">
        <v>1542</v>
      </c>
    </row>
    <row r="53" spans="1:18" s="1842" customFormat="1" ht="24.75" thickBot="1">
      <c r="A53" s="1406" t="s">
        <v>1136</v>
      </c>
      <c r="B53" s="1831" t="s">
        <v>1405</v>
      </c>
      <c r="C53" s="361">
        <f ca="1">ROUND(IF(F53="押一",C49/12*F11,IF(F53="押二",C49/12*2*F11,IF(F53="押三",C49/12*3*F11,C54*F11))),0)</f>
        <v>0</v>
      </c>
      <c r="D53" s="1824" t="s">
        <v>2988</v>
      </c>
      <c r="E53" s="358"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22.56</v>
      </c>
      <c r="K53" s="3255" t="s">
        <v>1544</v>
      </c>
      <c r="L53" s="3256"/>
      <c r="O53" s="1884" t="s">
        <v>1045</v>
      </c>
      <c r="P53" s="1885" t="s">
        <v>1545</v>
      </c>
      <c r="Q53" s="1886">
        <f ca="1">Q47+Q48</f>
        <v>4840</v>
      </c>
      <c r="R53" s="1886" t="s">
        <v>1046</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1074</v>
      </c>
      <c r="B55" s="1827" t="s">
        <v>1409</v>
      </c>
      <c r="C55" s="1335"/>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7">
        <v>2</v>
      </c>
      <c r="B56" s="1178" t="s">
        <v>1410</v>
      </c>
      <c r="C56" s="276">
        <f ca="1">C13</f>
        <v>747</v>
      </c>
      <c r="D56" s="1914"/>
      <c r="E56" s="1915"/>
      <c r="F56" s="1907"/>
      <c r="I56" s="1916" t="s">
        <v>1550</v>
      </c>
      <c r="J56" s="1917" t="s">
        <v>3007</v>
      </c>
      <c r="K56" s="1887" t="s">
        <v>1551</v>
      </c>
      <c r="L56" s="1890" t="str">
        <f ca="1">IF(L48&lt;J51,"——",L48-J53)</f>
        <v>——</v>
      </c>
      <c r="O56" s="1884" t="s">
        <v>1039</v>
      </c>
      <c r="P56" s="1885" t="s">
        <v>1524</v>
      </c>
      <c r="Q56" s="1886">
        <f ca="1">C40+J29</f>
        <v>4840</v>
      </c>
      <c r="R56" s="1886" t="s">
        <v>1525</v>
      </c>
    </row>
    <row r="57" spans="1:18" s="1842" customFormat="1" ht="24.75" thickBot="1">
      <c r="A57" s="1918"/>
      <c r="B57" s="1170" t="s">
        <v>1474</v>
      </c>
      <c r="C57" s="282">
        <f ca="1">C29</f>
        <v>1067</v>
      </c>
      <c r="D57" s="1919"/>
      <c r="E57" s="1920"/>
      <c r="F57" s="1921"/>
      <c r="I57" s="1922" t="s">
        <v>1552</v>
      </c>
      <c r="J57" s="1923" t="str">
        <f ca="1">IF(OR(M47="住宅",J51&lt;L48,J56="是"),"——",J51-L48)</f>
        <v>——</v>
      </c>
      <c r="K57" s="1887" t="s">
        <v>1553</v>
      </c>
      <c r="L57" s="1890" t="str">
        <f ca="1">IF(L48&lt;J51,"——",IF(L55="比较法",L49,IF(L55="基准地价",L50,L51)))</f>
        <v>——</v>
      </c>
      <c r="O57" s="1884" t="s">
        <v>1040</v>
      </c>
      <c r="P57" s="1885" t="s">
        <v>1554</v>
      </c>
      <c r="Q57" s="1886">
        <f ca="1">L60</f>
        <v>0</v>
      </c>
      <c r="R57" s="1886" t="s">
        <v>1555</v>
      </c>
    </row>
    <row r="58" spans="1:18" s="1842" customFormat="1" ht="24.75" thickBot="1">
      <c r="A58" s="360" t="s">
        <v>1029</v>
      </c>
      <c r="B58" s="1178" t="s">
        <v>1420</v>
      </c>
      <c r="C58" s="361">
        <f ca="1">ROUND(C59+C64+C65+C66,0)</f>
        <v>108</v>
      </c>
      <c r="D58" s="1180" t="s">
        <v>1421</v>
      </c>
      <c r="E58" s="1181"/>
      <c r="F58" s="1182"/>
      <c r="I58" s="1922" t="s">
        <v>1556</v>
      </c>
      <c r="J58" s="1924" t="e">
        <f ca="1">IF(J55&lt;0.4,0.4,J55)</f>
        <v>#VALUE!</v>
      </c>
      <c r="K58" s="1900" t="s">
        <v>1557</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2" t="s">
        <v>1034</v>
      </c>
      <c r="B59" s="1170" t="s">
        <v>1425</v>
      </c>
      <c r="C59" s="24">
        <f ca="1">ROUND(IF(项目基本情况!B11="自然人",C48*F59,C60+C61+C62),1)</f>
        <v>91.3</v>
      </c>
      <c r="D59" s="1183" t="s">
        <v>1426</v>
      </c>
      <c r="E59" s="1184"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1042</v>
      </c>
      <c r="P59" s="1885" t="s">
        <v>1560</v>
      </c>
      <c r="Q59" s="1897">
        <f>L52</f>
        <v>0</v>
      </c>
      <c r="R59" s="1886"/>
    </row>
    <row r="60" spans="1:18" s="1842" customFormat="1" ht="16.5" thickBot="1">
      <c r="A60" s="1202" t="s">
        <v>1033</v>
      </c>
      <c r="B60" s="1170" t="s">
        <v>1429</v>
      </c>
      <c r="C60" s="24">
        <f ca="1">IF(项目基本情况!B11="自然人","——",ROUND(C48*F60/(1+'数据-取费表'!C42),2))</f>
        <v>0</v>
      </c>
      <c r="D60" s="1184" t="s">
        <v>1430</v>
      </c>
      <c r="E60" s="1170"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1043</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IF(项目基本情况!B11="自然人","——",IF(D61="按租金收入计税",ROUND(C48*F61,2),IF(D61="按房产原值计税",ROUND(C57*F61*0.7,2),INDIRECT("'数据-取费表'!Aj"&amp;$G$1))))</f>
        <v>89.63</v>
      </c>
      <c r="D61" s="1828" t="s">
        <v>1434</v>
      </c>
      <c r="E61" s="1170" t="s">
        <v>1490</v>
      </c>
      <c r="F61" s="367">
        <f t="shared" si="0"/>
        <v>0.12</v>
      </c>
      <c r="I61" s="1928"/>
      <c r="J61" s="1928"/>
      <c r="K61" s="1928"/>
      <c r="L61" s="1928"/>
      <c r="O61" s="1894" t="s">
        <v>1044</v>
      </c>
      <c r="P61" s="1885" t="str">
        <f>K59</f>
        <v>建筑物剩余耐用年限下的土地年期修正系数Kn</v>
      </c>
      <c r="Q61" s="1886" t="e">
        <f ca="1">L59</f>
        <v>#DIV/0!</v>
      </c>
      <c r="R61" s="1886" t="s">
        <v>1565</v>
      </c>
    </row>
    <row r="62" spans="1:18" s="1842" customFormat="1" ht="13.5" thickBot="1">
      <c r="A62" s="1202" t="s">
        <v>1491</v>
      </c>
      <c r="B62" s="1169" t="s">
        <v>1492</v>
      </c>
      <c r="C62" s="25">
        <f ca="1">IF(项目基本情况!B11="自然人","——",ROUND(F62*F63/10000,2))</f>
        <v>1.64</v>
      </c>
      <c r="D62" s="1185" t="s">
        <v>1493</v>
      </c>
      <c r="E62" s="1170" t="s">
        <v>1494</v>
      </c>
      <c r="F62" s="371">
        <f t="shared" si="0"/>
        <v>30</v>
      </c>
      <c r="I62" s="1929" t="s">
        <v>1566</v>
      </c>
      <c r="J62" s="1930" t="s">
        <v>1567</v>
      </c>
      <c r="K62" s="1930" t="s">
        <v>1568</v>
      </c>
      <c r="L62" s="1930" t="s">
        <v>1569</v>
      </c>
      <c r="M62" s="1931" t="s">
        <v>1570</v>
      </c>
      <c r="O62" s="1884" t="s">
        <v>1045</v>
      </c>
      <c r="P62" s="1885" t="s">
        <v>1571</v>
      </c>
      <c r="Q62" s="1886">
        <f ca="1">Q56+Q57</f>
        <v>4840</v>
      </c>
      <c r="R62" s="1886" t="s">
        <v>1046</v>
      </c>
    </row>
    <row r="63" spans="1:18" s="1842" customFormat="1" ht="13.5" thickBot="1">
      <c r="A63" s="372"/>
      <c r="B63" s="1176"/>
      <c r="C63" s="29"/>
      <c r="D63" s="1186"/>
      <c r="E63" s="1170" t="s">
        <v>1495</v>
      </c>
      <c r="F63" s="348">
        <f t="shared" ca="1" si="0"/>
        <v>546.38</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ROUND(C57*F64,1)</f>
        <v>16</v>
      </c>
      <c r="D64" s="1184" t="s">
        <v>1498</v>
      </c>
      <c r="E64" s="1170"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ROUND(C56*F65,1)</f>
        <v>1.1000000000000001</v>
      </c>
      <c r="D65" s="1184" t="s">
        <v>1450</v>
      </c>
      <c r="E65" s="1170" t="s">
        <v>1451</v>
      </c>
      <c r="F65" s="376">
        <f t="shared" ca="1" si="0"/>
        <v>1.5E-3</v>
      </c>
      <c r="I65" s="1929" t="s">
        <v>1575</v>
      </c>
      <c r="J65" s="1930">
        <v>40</v>
      </c>
      <c r="K65" s="1930">
        <v>30</v>
      </c>
      <c r="L65" s="1930">
        <v>50</v>
      </c>
      <c r="M65" s="1932">
        <v>0.02</v>
      </c>
      <c r="O65" s="1884" t="s">
        <v>1039</v>
      </c>
      <c r="P65" s="1885" t="s">
        <v>1576</v>
      </c>
      <c r="Q65" s="1886">
        <f ca="1">C40+J29</f>
        <v>4840</v>
      </c>
      <c r="R65" s="1886" t="s">
        <v>1525</v>
      </c>
    </row>
    <row r="66" spans="1:18" s="1842" customFormat="1" ht="16.5" thickBot="1">
      <c r="A66" s="1202" t="s">
        <v>1500</v>
      </c>
      <c r="B66" s="1170" t="s">
        <v>1435</v>
      </c>
      <c r="C66" s="24">
        <f ca="1">ROUND(C48*F66,1)</f>
        <v>0</v>
      </c>
      <c r="D66" s="1184" t="s">
        <v>1501</v>
      </c>
      <c r="E66" s="1170" t="s">
        <v>1418</v>
      </c>
      <c r="F66" s="357">
        <f t="shared" ca="1" si="0"/>
        <v>0.01</v>
      </c>
      <c r="O66" s="1884" t="s">
        <v>1040</v>
      </c>
      <c r="P66" s="1885" t="s">
        <v>1554</v>
      </c>
      <c r="Q66" s="1886">
        <f ca="1">L60</f>
        <v>0</v>
      </c>
      <c r="R66" s="1886" t="s">
        <v>1577</v>
      </c>
    </row>
    <row r="67" spans="1:18" s="1842" customFormat="1" ht="16.5" thickBot="1">
      <c r="A67" s="1177" t="s">
        <v>1030</v>
      </c>
      <c r="B67" s="1187" t="s">
        <v>1459</v>
      </c>
      <c r="C67" s="361">
        <f ca="1">C48-C58</f>
        <v>-108</v>
      </c>
      <c r="D67" s="1183" t="s">
        <v>1460</v>
      </c>
      <c r="E67" s="1188"/>
      <c r="F67" s="1189"/>
      <c r="O67" s="1894" t="s">
        <v>1041</v>
      </c>
      <c r="P67" s="1885" t="s">
        <v>1558</v>
      </c>
      <c r="Q67" s="1933">
        <f ca="1">L51</f>
        <v>2929</v>
      </c>
      <c r="R67" s="1886" t="s">
        <v>1578</v>
      </c>
    </row>
    <row r="68" spans="1:18" s="1842" customFormat="1" ht="16.5" thickBot="1">
      <c r="A68" s="1167" t="s">
        <v>1031</v>
      </c>
      <c r="B68" s="1168" t="s">
        <v>1481</v>
      </c>
      <c r="C68" s="346">
        <f ca="1">ROUND(C67*(1-((1+F70)/(1+F68))^F69)/(F68-F70),0)</f>
        <v>-1377</v>
      </c>
      <c r="D68" s="1185" t="s">
        <v>1465</v>
      </c>
      <c r="E68" s="1170" t="s">
        <v>1466</v>
      </c>
      <c r="F68" s="357">
        <f ca="1">F40</f>
        <v>5.5E-2</v>
      </c>
      <c r="O68" s="1894" t="s">
        <v>1042</v>
      </c>
      <c r="P68" s="1934" t="s">
        <v>1579</v>
      </c>
      <c r="Q68" s="1886">
        <f ca="1">ROUND(Q69-Q70*Q71,0)</f>
        <v>200</v>
      </c>
      <c r="R68" s="1886" t="s">
        <v>1050</v>
      </c>
    </row>
    <row r="69" spans="1:18" s="1842" customFormat="1" ht="13.5" thickBot="1">
      <c r="A69" s="1171"/>
      <c r="B69" s="1172"/>
      <c r="C69" s="351"/>
      <c r="D69" s="1190" t="s">
        <v>1469</v>
      </c>
      <c r="E69" s="1170" t="s">
        <v>1470</v>
      </c>
      <c r="F69" s="379">
        <f ca="1">F41</f>
        <v>22.56</v>
      </c>
      <c r="O69" s="1894" t="s">
        <v>1047</v>
      </c>
      <c r="P69" s="1934" t="s">
        <v>1580</v>
      </c>
      <c r="Q69" s="1886">
        <f ca="1">C39</f>
        <v>263</v>
      </c>
      <c r="R69" s="1886" t="s">
        <v>1525</v>
      </c>
    </row>
    <row r="70" spans="1:18" s="1842" customFormat="1" ht="13.5" thickBot="1">
      <c r="A70" s="1174"/>
      <c r="B70" s="1175"/>
      <c r="C70" s="355"/>
      <c r="D70" s="1186"/>
      <c r="E70" s="1170" t="s">
        <v>1473</v>
      </c>
      <c r="F70" s="1276"/>
      <c r="O70" s="1894" t="s">
        <v>1048</v>
      </c>
      <c r="P70" s="1934" t="s">
        <v>1581</v>
      </c>
      <c r="Q70" s="1886">
        <f ca="1">C13</f>
        <v>747</v>
      </c>
      <c r="R70" s="1886" t="s">
        <v>1525</v>
      </c>
    </row>
    <row r="71" spans="1:18" s="1842" customFormat="1" ht="13.5" thickBot="1">
      <c r="A71" s="1191" t="s">
        <v>1032</v>
      </c>
      <c r="B71" s="1192" t="s">
        <v>1483</v>
      </c>
      <c r="C71" s="382">
        <f ca="1">ROUND(C68*10000/F71,0)</f>
        <v>-6292</v>
      </c>
      <c r="D71" s="1193" t="s">
        <v>1484</v>
      </c>
      <c r="E71" s="1194" t="s">
        <v>1485</v>
      </c>
      <c r="F71" s="385">
        <f ca="1">F43</f>
        <v>2188.58</v>
      </c>
      <c r="O71" s="1894" t="s">
        <v>1049</v>
      </c>
      <c r="P71" s="1934" t="s">
        <v>1582</v>
      </c>
      <c r="Q71" s="1897">
        <f ca="1">C76</f>
        <v>8.5000000000000006E-2</v>
      </c>
      <c r="R71" s="1886"/>
    </row>
    <row r="72" spans="1:18" s="1842" customFormat="1" ht="13.5" thickBot="1">
      <c r="B72" s="794"/>
      <c r="C72" s="794"/>
      <c r="O72" s="1894" t="s">
        <v>1043</v>
      </c>
      <c r="P72" s="1885" t="s">
        <v>1560</v>
      </c>
      <c r="Q72" s="1897">
        <f>L52</f>
        <v>0</v>
      </c>
      <c r="R72" s="1886"/>
    </row>
    <row r="73" spans="1:18" ht="16.5" thickBot="1">
      <c r="A73" s="1842"/>
      <c r="B73" s="794"/>
      <c r="C73" s="794"/>
      <c r="D73" s="1842"/>
      <c r="E73" s="1842"/>
      <c r="F73" s="1842"/>
      <c r="O73" s="1894" t="s">
        <v>1044</v>
      </c>
      <c r="P73" s="1885" t="s">
        <v>1563</v>
      </c>
      <c r="Q73" s="1886" t="e">
        <f ca="1">L58</f>
        <v>#DIV/0!</v>
      </c>
      <c r="R73" s="1886" t="s">
        <v>1564</v>
      </c>
    </row>
    <row r="74" spans="1:18" ht="13.5" thickBot="1">
      <c r="A74" s="1842"/>
      <c r="B74" s="317" t="s">
        <v>1583</v>
      </c>
      <c r="C74" s="1936"/>
      <c r="D74" s="1842"/>
      <c r="E74" s="1842"/>
      <c r="F74" s="1842"/>
      <c r="O74" s="1894" t="s">
        <v>1051</v>
      </c>
      <c r="P74" s="1885" t="str">
        <f>K59</f>
        <v>建筑物剩余耐用年限下的土地年期修正系数Kn</v>
      </c>
      <c r="Q74" s="1886" t="e">
        <f ca="1">L59</f>
        <v>#DIV/0!</v>
      </c>
      <c r="R74" s="1886" t="s">
        <v>1565</v>
      </c>
    </row>
    <row r="75" spans="1:18" ht="13.5" thickBot="1">
      <c r="A75" s="1842"/>
      <c r="B75" s="386" t="s">
        <v>1502</v>
      </c>
      <c r="C75" s="387">
        <f ca="1">ROUND(C13*C76,0)</f>
        <v>63</v>
      </c>
      <c r="D75" s="1842"/>
      <c r="E75" s="1842"/>
      <c r="F75" s="1842"/>
      <c r="K75" s="1868"/>
      <c r="L75" s="1842"/>
      <c r="O75" s="1884" t="s">
        <v>1045</v>
      </c>
      <c r="P75" s="1885" t="s">
        <v>1545</v>
      </c>
      <c r="Q75" s="1886">
        <f ca="1">Q65+Q66</f>
        <v>4840</v>
      </c>
      <c r="R75" s="1886" t="s">
        <v>1046</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0.76</v>
      </c>
    </row>
    <row r="80" spans="1:18">
      <c r="B80" s="386" t="s">
        <v>1507</v>
      </c>
      <c r="C80" s="318">
        <f ca="1">ROUND(C75/C39,3)</f>
        <v>0.24</v>
      </c>
    </row>
    <row r="81" spans="2:3">
      <c r="B81" s="314" t="s">
        <v>1508</v>
      </c>
      <c r="C81" s="282"/>
    </row>
    <row r="82" spans="2:3">
      <c r="B82" s="317" t="s">
        <v>1509</v>
      </c>
      <c r="C82" s="319">
        <f ca="1">1-C83</f>
        <v>0.84599999999999997</v>
      </c>
    </row>
    <row r="83" spans="2:3">
      <c r="B83" s="317" t="s">
        <v>1510</v>
      </c>
      <c r="C83" s="318">
        <f ca="1">ROUND(C13/C40,3)</f>
        <v>0.154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1" priority="56">
      <formula>$L$48&gt;$J$51</formula>
    </cfRule>
  </conditionalFormatting>
  <conditionalFormatting sqref="I55 I60">
    <cfRule type="expression" dxfId="80" priority="57">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0"/>
      <c r="C1" s="1837"/>
      <c r="D1" s="1820"/>
      <c r="E1" s="1821" t="s">
        <v>1383</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2"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3">
        <f ca="1">C6+C10+C12</f>
        <v>0</v>
      </c>
      <c r="D5" s="1822" t="s">
        <v>1597</v>
      </c>
      <c r="E5" s="1294"/>
      <c r="F5" s="1295"/>
      <c r="G5" s="1851"/>
      <c r="H5" s="344">
        <v>1</v>
      </c>
      <c r="I5" s="345" t="s">
        <v>1596</v>
      </c>
      <c r="J5" s="1293">
        <f ca="1">J6+J10+J12</f>
        <v>0</v>
      </c>
      <c r="K5" s="1822" t="s">
        <v>1597</v>
      </c>
      <c r="L5" s="1294"/>
      <c r="M5" s="1295"/>
    </row>
    <row r="6" spans="1:37" ht="18" customHeight="1">
      <c r="A6" s="1292" t="s">
        <v>1034</v>
      </c>
      <c r="B6" s="3257" t="s">
        <v>1399</v>
      </c>
      <c r="C6" s="1297">
        <f ca="1">ROUND(F6*F8*F7*(1-F9),0)</f>
        <v>0</v>
      </c>
      <c r="D6" s="164" t="s">
        <v>2977</v>
      </c>
      <c r="E6" s="347" t="s">
        <v>1401</v>
      </c>
      <c r="F6" s="348">
        <f ca="1">INDIRECT("'数据-取费表'!u"&amp;$G$1)</f>
        <v>0</v>
      </c>
      <c r="G6" s="1851"/>
      <c r="H6" s="1292" t="s">
        <v>1034</v>
      </c>
      <c r="I6" s="3257" t="s">
        <v>1399</v>
      </c>
      <c r="J6" s="346">
        <f ca="1">ROUND(M6*M8*M7*(1-M9),0)</f>
        <v>0</v>
      </c>
      <c r="K6" s="1834" t="s">
        <v>2978</v>
      </c>
      <c r="L6" s="347" t="s">
        <v>1401</v>
      </c>
      <c r="M6" s="348">
        <f ca="1">INDIRECT("'数据-取费表'!z"&amp;$G$1)</f>
        <v>0</v>
      </c>
    </row>
    <row r="7" spans="1:37" ht="18" customHeight="1">
      <c r="A7" s="1296"/>
      <c r="B7" s="3258"/>
      <c r="C7" s="1298"/>
      <c r="D7" s="352"/>
      <c r="E7" s="1299" t="s">
        <v>1402</v>
      </c>
      <c r="F7" s="348">
        <f ca="1">IF(INDIRECT("'数据-取费表'!ah"&amp;$G$1)="",INDIRECT("'数据-取费表'!k"&amp;$G$1),INDIRECT("'数据-取费表'!ah"&amp;$G$1))</f>
        <v>0</v>
      </c>
      <c r="G7" s="1851"/>
      <c r="H7" s="349"/>
      <c r="I7" s="3258"/>
      <c r="J7" s="351"/>
      <c r="K7" s="352"/>
      <c r="L7" s="347" t="s">
        <v>1402</v>
      </c>
      <c r="M7" s="348">
        <f ca="1">F7</f>
        <v>0</v>
      </c>
    </row>
    <row r="8" spans="1:37" ht="18" customHeight="1">
      <c r="A8" s="349"/>
      <c r="B8" s="3258"/>
      <c r="C8" s="351"/>
      <c r="D8" s="352"/>
      <c r="E8" s="347" t="s">
        <v>1403</v>
      </c>
      <c r="F8" s="348">
        <f ca="1">INDIRECT("'数据-取费表'!ai"&amp;$G$1)</f>
        <v>0</v>
      </c>
      <c r="G8" s="1851"/>
      <c r="H8" s="349"/>
      <c r="I8" s="3258"/>
      <c r="J8" s="351"/>
      <c r="K8" s="352"/>
      <c r="L8" s="347" t="s">
        <v>1403</v>
      </c>
      <c r="M8" s="348">
        <f ca="1">INDIRECT("'数据-取费表'!ai"&amp;$G$1)</f>
        <v>0</v>
      </c>
    </row>
    <row r="9" spans="1:37" ht="18" customHeight="1">
      <c r="A9" s="349"/>
      <c r="B9" s="3259"/>
      <c r="C9" s="351"/>
      <c r="D9" s="352"/>
      <c r="E9" s="347" t="s">
        <v>1404</v>
      </c>
      <c r="F9" s="357">
        <f ca="1">INDIRECT("'数据-取费表'!w"&amp;$G$1)</f>
        <v>0</v>
      </c>
      <c r="G9" s="1851"/>
      <c r="H9" s="349"/>
      <c r="I9" s="3259"/>
      <c r="J9" s="351"/>
      <c r="K9" s="352"/>
      <c r="L9" s="358" t="s">
        <v>1404</v>
      </c>
      <c r="M9" s="359">
        <f ca="1">INDIRECT("'数据-取费表'!ab"&amp;$G$1)</f>
        <v>0</v>
      </c>
    </row>
    <row r="10" spans="1:37" ht="18" customHeight="1">
      <c r="A10" s="1292" t="s">
        <v>1038</v>
      </c>
      <c r="B10" s="1823" t="s">
        <v>1405</v>
      </c>
      <c r="C10" s="361">
        <f ca="1">ROUND(IF(F10="押一",C6/12*F11,IF(F10="押二",C6/12*2*F11,IF(F10="押三",C6/12*3*F11,C11*F11))),0)</f>
        <v>0</v>
      </c>
      <c r="D10" s="1824" t="s">
        <v>2988</v>
      </c>
      <c r="E10" s="358" t="s">
        <v>1406</v>
      </c>
      <c r="F10" s="1367"/>
      <c r="G10" s="1851"/>
      <c r="H10" s="1292" t="s">
        <v>1038</v>
      </c>
      <c r="I10" s="1823" t="s">
        <v>1405</v>
      </c>
      <c r="J10" s="346">
        <f ca="1">ROUND(IF(M10="押一",J6/12*M11,IF(M10="押二",J6/12*2*M11,IF(M10="押三",J6/12*3*M11,J11*M11))),0)</f>
        <v>0</v>
      </c>
      <c r="K10" s="1835" t="s">
        <v>2990</v>
      </c>
      <c r="L10" s="358" t="s">
        <v>1406</v>
      </c>
      <c r="M10" s="1367"/>
    </row>
    <row r="11" spans="1:37" ht="18" customHeight="1">
      <c r="A11" s="353"/>
      <c r="B11" s="1825" t="s">
        <v>1598</v>
      </c>
      <c r="C11" s="1179"/>
      <c r="D11" s="352"/>
      <c r="E11" s="358" t="s">
        <v>1408</v>
      </c>
      <c r="F11" s="359">
        <f ca="1">'数据-取费表'!B39</f>
        <v>1.4999999999999999E-2</v>
      </c>
      <c r="G11" s="1851"/>
      <c r="H11" s="1300"/>
      <c r="I11" s="1825" t="s">
        <v>1599</v>
      </c>
      <c r="J11" s="1179"/>
      <c r="K11" s="746"/>
      <c r="L11" s="358" t="s">
        <v>1408</v>
      </c>
      <c r="M11" s="1057">
        <f ca="1">'数据-取费表'!B39</f>
        <v>1.4999999999999999E-2</v>
      </c>
    </row>
    <row r="12" spans="1:37" ht="18" customHeight="1" thickBot="1">
      <c r="A12" s="1334" t="s">
        <v>1074</v>
      </c>
      <c r="B12" s="1827" t="s">
        <v>1409</v>
      </c>
      <c r="C12" s="1335"/>
      <c r="D12" s="1336"/>
      <c r="E12" s="1341"/>
      <c r="F12" s="1337"/>
      <c r="G12" s="1851"/>
      <c r="H12" s="1334" t="s">
        <v>1074</v>
      </c>
      <c r="I12" s="1827"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1033</v>
      </c>
      <c r="B14" s="347" t="s">
        <v>1413</v>
      </c>
      <c r="C14" s="363">
        <f ca="1">ROUND(INDIRECT("'数据-取费表'!l"&amp;$G$1)*F43+'数据-取费表'!L14*INDIRECT("'数据-取费表'!S"&amp;$G$1),0)</f>
        <v>0</v>
      </c>
      <c r="D14" s="1800" t="s">
        <v>1414</v>
      </c>
      <c r="E14" s="1794"/>
      <c r="F14" s="364"/>
      <c r="G14" s="1851"/>
      <c r="H14" s="1202" t="s">
        <v>1034</v>
      </c>
      <c r="I14" s="347" t="s">
        <v>1415</v>
      </c>
      <c r="J14" s="24">
        <f ca="1">C29</f>
        <v>0</v>
      </c>
      <c r="K14" s="15"/>
      <c r="L14" s="980"/>
      <c r="M14" s="981"/>
    </row>
    <row r="15" spans="1:37" s="1858" customFormat="1" ht="18" customHeight="1" thickBot="1">
      <c r="A15" s="1202" t="s">
        <v>1035</v>
      </c>
      <c r="B15" s="347" t="s">
        <v>1416</v>
      </c>
      <c r="C15" s="24">
        <f ca="1">ROUND(C14*F15,0)</f>
        <v>0</v>
      </c>
      <c r="D15" s="365" t="s">
        <v>1417</v>
      </c>
      <c r="E15" s="365" t="s">
        <v>1418</v>
      </c>
      <c r="F15" s="366">
        <f>'数据-取费表'!B33</f>
        <v>0.05</v>
      </c>
      <c r="G15" s="1854"/>
      <c r="H15" s="1340" t="s">
        <v>1038</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1"/>
      <c r="H16" s="1330" t="s">
        <v>1029</v>
      </c>
      <c r="I16" s="1331" t="s">
        <v>1420</v>
      </c>
      <c r="J16" s="355">
        <f ca="1">ROUND(J17+J22+J23+J24,0)</f>
        <v>0</v>
      </c>
      <c r="K16" s="1338" t="s">
        <v>1421</v>
      </c>
      <c r="L16" s="1339"/>
      <c r="M16" s="1295"/>
    </row>
    <row r="17" spans="1:37" s="1858" customFormat="1" ht="18" customHeight="1">
      <c r="A17" s="1202" t="s">
        <v>1386</v>
      </c>
      <c r="B17" s="347" t="s">
        <v>1422</v>
      </c>
      <c r="C17" s="24">
        <f ca="1">ROUND(F17*(F43+INDIRECT("'数据-取费表'!S"&amp;$G$1)),0)</f>
        <v>0</v>
      </c>
      <c r="D17" s="347" t="s">
        <v>1423</v>
      </c>
      <c r="E17" s="347" t="s">
        <v>1424</v>
      </c>
      <c r="F17" s="26">
        <f>'数据-取费表'!B35</f>
        <v>200</v>
      </c>
      <c r="G17" s="1854"/>
      <c r="H17" s="1202" t="s">
        <v>1034</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7" t="s">
        <v>1428</v>
      </c>
      <c r="C18" s="24">
        <f ca="1">ROUND(C14*F18,0)</f>
        <v>0</v>
      </c>
      <c r="D18" s="347" t="s">
        <v>1417</v>
      </c>
      <c r="E18" s="347" t="s">
        <v>1418</v>
      </c>
      <c r="F18" s="367">
        <f>'数据-取费表'!B36</f>
        <v>1.4999999999999999E-2</v>
      </c>
      <c r="G18" s="1854"/>
      <c r="H18" s="1202" t="s">
        <v>1033</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1034</v>
      </c>
      <c r="B19" s="347" t="s">
        <v>1431</v>
      </c>
      <c r="C19" s="24">
        <f ca="1">SUM(C14:C18)</f>
        <v>0</v>
      </c>
      <c r="D19" s="140" t="s">
        <v>1432</v>
      </c>
      <c r="E19" s="1818"/>
      <c r="F19" s="26"/>
      <c r="G19" s="1851"/>
      <c r="H19" s="1202" t="s">
        <v>1035</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2" t="s">
        <v>1038</v>
      </c>
      <c r="B20" s="347" t="s">
        <v>1435</v>
      </c>
      <c r="C20" s="24">
        <f ca="1">ROUND(C19*F20,0)</f>
        <v>0</v>
      </c>
      <c r="D20" s="369" t="s">
        <v>1436</v>
      </c>
      <c r="E20" s="347" t="s">
        <v>1418</v>
      </c>
      <c r="F20" s="367">
        <f>'数据-取费表'!B37</f>
        <v>0.03</v>
      </c>
      <c r="G20" s="1854"/>
      <c r="H20" s="1202" t="s">
        <v>1385</v>
      </c>
      <c r="I20" s="164" t="s">
        <v>1437</v>
      </c>
      <c r="J20" s="25">
        <f ca="1">ROUND(M20*M21,0)</f>
        <v>0</v>
      </c>
      <c r="K20" s="370" t="s">
        <v>1438</v>
      </c>
      <c r="L20" s="347" t="s">
        <v>1439</v>
      </c>
      <c r="M20" s="371">
        <f>'数据-取费表'!B52</f>
        <v>30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1074</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8"/>
      <c r="F22" s="26"/>
      <c r="G22" s="1851"/>
      <c r="H22" s="1202" t="s">
        <v>1038</v>
      </c>
      <c r="I22" s="347" t="s">
        <v>1445</v>
      </c>
      <c r="J22" s="24">
        <f ca="1">ROUND(J14*M22,0)</f>
        <v>0</v>
      </c>
      <c r="K22" s="1798" t="s">
        <v>1446</v>
      </c>
      <c r="L22" s="347" t="s">
        <v>1418</v>
      </c>
      <c r="M22" s="374">
        <f ca="1">INDIRECT("'数据-取费表'!Ak"&amp;$G$1)</f>
        <v>0</v>
      </c>
    </row>
    <row r="23" spans="1:37" s="1858" customFormat="1" ht="18" customHeight="1">
      <c r="A23" s="1202"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2" t="s">
        <v>1074</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7" t="s">
        <v>1457</v>
      </c>
      <c r="C25" s="24"/>
      <c r="D25" s="140" t="s">
        <v>1458</v>
      </c>
      <c r="E25" s="1818"/>
      <c r="F25" s="26"/>
      <c r="G25" s="1851"/>
      <c r="H25" s="1330" t="s">
        <v>1030</v>
      </c>
      <c r="I25" s="1345" t="s">
        <v>1459</v>
      </c>
      <c r="J25" s="355">
        <f ca="1">J5-J16</f>
        <v>0</v>
      </c>
      <c r="K25" s="1346" t="s">
        <v>1460</v>
      </c>
      <c r="L25" s="1347"/>
      <c r="M25" s="1348"/>
    </row>
    <row r="26" spans="1:37" ht="18" customHeight="1">
      <c r="A26" s="1202" t="s">
        <v>1033</v>
      </c>
      <c r="B26" s="347" t="s">
        <v>1461</v>
      </c>
      <c r="C26" s="24">
        <f ca="1">ROUND((C19+C20)*F26,0)</f>
        <v>0</v>
      </c>
      <c r="D26" s="369" t="s">
        <v>1462</v>
      </c>
      <c r="E26" s="358" t="s">
        <v>1463</v>
      </c>
      <c r="F26" s="357">
        <f ca="1">INDIRECT("'数据-取费表'!q"&amp;$G$1)</f>
        <v>0</v>
      </c>
      <c r="G26" s="1851"/>
      <c r="H26" s="344" t="s">
        <v>1031</v>
      </c>
      <c r="I26" s="345" t="s">
        <v>1464</v>
      </c>
      <c r="J26" s="346">
        <f ca="1">IF(J5&lt;&gt;0,ROUND(J25*(1-((1+M28)/(1+M26))^M27)/(M26-M28),0),0)</f>
        <v>0</v>
      </c>
      <c r="K26" s="370" t="s">
        <v>1465</v>
      </c>
      <c r="L26" s="347" t="s">
        <v>1466</v>
      </c>
      <c r="M26" s="357">
        <f ca="1">INDIRECT("'数据-取费表'!I"&amp;$G$1)</f>
        <v>0</v>
      </c>
    </row>
    <row r="27" spans="1:37" ht="18" customHeight="1">
      <c r="A27" s="1202" t="s">
        <v>1035</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2" t="s">
        <v>1036</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1037</v>
      </c>
      <c r="B29" s="1341" t="s">
        <v>1474</v>
      </c>
      <c r="C29" s="1342">
        <f ca="1">ROUND((C19+C20+C23+C26)/(1-F21-C24-C27-C28),0)</f>
        <v>0</v>
      </c>
      <c r="D29" s="1343"/>
      <c r="E29" s="1341"/>
      <c r="F29" s="1344"/>
      <c r="G29" s="1854"/>
      <c r="H29" s="380" t="s">
        <v>1032</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1029</v>
      </c>
      <c r="B30" s="1331" t="s">
        <v>1420</v>
      </c>
      <c r="C30" s="355">
        <f ca="1">ROUND(C31+C36+C37+C38,0)</f>
        <v>0</v>
      </c>
      <c r="D30" s="1338" t="s">
        <v>1421</v>
      </c>
      <c r="E30" s="1339"/>
      <c r="F30" s="1295"/>
      <c r="G30" s="1851"/>
      <c r="H30" s="743"/>
      <c r="I30" s="744"/>
      <c r="J30" s="745"/>
      <c r="K30" s="746"/>
      <c r="L30" s="747"/>
      <c r="M30" s="748"/>
    </row>
    <row r="31" spans="1:37" ht="18" customHeight="1">
      <c r="A31" s="1202" t="s">
        <v>1034</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3"/>
      <c r="I31" s="744"/>
      <c r="J31" s="745"/>
      <c r="K31" s="746"/>
      <c r="L31" s="747"/>
      <c r="M31" s="748"/>
    </row>
    <row r="32" spans="1:37" ht="18" customHeight="1">
      <c r="A32" s="1202" t="s">
        <v>1033</v>
      </c>
      <c r="B32" s="347" t="s">
        <v>1429</v>
      </c>
      <c r="C32" s="24">
        <f ca="1">IF(项目基本情况!B11="自然人","——",ROUND(C5*F32/(1+'数据-取费表'!C42),0))</f>
        <v>0</v>
      </c>
      <c r="D32" s="1798" t="s">
        <v>1430</v>
      </c>
      <c r="E32" s="347" t="s">
        <v>1418</v>
      </c>
      <c r="F32" s="377">
        <f>'数据-取费表'!B41</f>
        <v>5.6000000000000001E-2</v>
      </c>
      <c r="G32" s="1851"/>
      <c r="H32" s="743"/>
      <c r="I32" s="744"/>
      <c r="J32" s="745"/>
      <c r="K32" s="746"/>
      <c r="L32" s="747"/>
      <c r="M32" s="748"/>
    </row>
    <row r="33" spans="1:18" ht="18" customHeight="1">
      <c r="A33" s="1202" t="s">
        <v>1035</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2" t="s">
        <v>1385</v>
      </c>
      <c r="B34" s="164" t="s">
        <v>1437</v>
      </c>
      <c r="C34" s="25">
        <f ca="1">IF(项目基本情况!B11="自然人","——",ROUND(F34*F35,))</f>
        <v>0</v>
      </c>
      <c r="D34" s="370" t="s">
        <v>1438</v>
      </c>
      <c r="E34" s="347" t="s">
        <v>1439</v>
      </c>
      <c r="F34" s="371">
        <f>'数据-取费表'!B52</f>
        <v>30</v>
      </c>
      <c r="G34" s="1851"/>
      <c r="H34" s="743"/>
      <c r="I34" s="1860"/>
      <c r="J34" s="1861"/>
      <c r="K34" s="1863"/>
      <c r="L34" s="1864"/>
      <c r="M34" s="1864"/>
    </row>
    <row r="35" spans="1:18" ht="18" customHeight="1">
      <c r="A35" s="1354"/>
      <c r="B35" s="1352"/>
      <c r="C35" s="29"/>
      <c r="D35" s="373"/>
      <c r="E35" s="347" t="s">
        <v>1443</v>
      </c>
      <c r="F35" s="348">
        <f ca="1">INDIRECT("'数据-取费表'!r"&amp;$G$1)</f>
        <v>0</v>
      </c>
      <c r="G35" s="1851"/>
      <c r="H35" s="743"/>
      <c r="I35" s="1860"/>
      <c r="J35" s="1861"/>
      <c r="K35" s="1862"/>
      <c r="L35" s="1859"/>
      <c r="M35" s="1859"/>
    </row>
    <row r="36" spans="1:18" ht="18" customHeight="1">
      <c r="A36" s="1353" t="s">
        <v>1038</v>
      </c>
      <c r="B36" s="347" t="s">
        <v>1445</v>
      </c>
      <c r="C36" s="24">
        <f ca="1">ROUND(C29*F36,0)</f>
        <v>0</v>
      </c>
      <c r="D36" s="1798" t="s">
        <v>1478</v>
      </c>
      <c r="E36" s="347" t="s">
        <v>1418</v>
      </c>
      <c r="F36" s="374">
        <f ca="1">INDIRECT("'数据-取费表'!Ak"&amp;$G$1)</f>
        <v>0</v>
      </c>
      <c r="G36" s="1851"/>
      <c r="H36" s="1859"/>
      <c r="I36" s="1860"/>
      <c r="J36" s="1861"/>
      <c r="K36" s="749"/>
      <c r="L36" s="1859"/>
      <c r="M36" s="1859"/>
    </row>
    <row r="37" spans="1:18" ht="18" customHeight="1">
      <c r="A37" s="1202" t="s">
        <v>1074</v>
      </c>
      <c r="B37" s="347" t="s">
        <v>1449</v>
      </c>
      <c r="C37" s="24">
        <f ca="1">ROUND(C13*F37,0)</f>
        <v>0</v>
      </c>
      <c r="D37" s="1798" t="s">
        <v>1450</v>
      </c>
      <c r="E37" s="347" t="s">
        <v>1451</v>
      </c>
      <c r="F37" s="376">
        <f ca="1">INDIRECT("'数据-取费表'!Al"&amp;$G$1)</f>
        <v>0</v>
      </c>
      <c r="G37" s="1851"/>
      <c r="H37" s="1859"/>
      <c r="I37" s="1860"/>
      <c r="J37" s="1861"/>
      <c r="K37" s="749"/>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1030</v>
      </c>
      <c r="B39" s="1345" t="s">
        <v>1479</v>
      </c>
      <c r="C39" s="355">
        <f ca="1">C5-C30</f>
        <v>0</v>
      </c>
      <c r="D39" s="1346" t="s">
        <v>1480</v>
      </c>
      <c r="E39" s="1347"/>
      <c r="F39" s="1348"/>
      <c r="G39" s="1851"/>
      <c r="H39" s="1859"/>
      <c r="I39" s="1860"/>
      <c r="J39" s="1861"/>
      <c r="K39" s="1865"/>
      <c r="L39" s="1859"/>
      <c r="M39" s="1859"/>
    </row>
    <row r="40" spans="1:18" ht="18" customHeight="1">
      <c r="A40" s="344" t="s">
        <v>1031</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1473</v>
      </c>
      <c r="F42" s="357">
        <f ca="1">INDIRECT("'数据-取费表'!v"&amp;$G$1)</f>
        <v>0</v>
      </c>
      <c r="G42" s="1851"/>
      <c r="H42" s="730"/>
      <c r="I42" s="1860"/>
      <c r="J42" s="1861"/>
      <c r="K42" s="749"/>
      <c r="L42" s="730"/>
      <c r="M42" s="730"/>
    </row>
    <row r="43" spans="1:18" ht="18" customHeight="1" thickBot="1">
      <c r="A43" s="380" t="s">
        <v>1032</v>
      </c>
      <c r="B43" s="381" t="s">
        <v>1483</v>
      </c>
      <c r="C43" s="382" t="e">
        <f ca="1">ROUND(C40/F43,0)</f>
        <v>#DIV/0!</v>
      </c>
      <c r="D43" s="383" t="s">
        <v>1484</v>
      </c>
      <c r="E43" s="384" t="s">
        <v>1485</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0"/>
      <c r="I47" s="1880" t="s">
        <v>1522</v>
      </c>
      <c r="J47" s="1881"/>
      <c r="K47" s="1882" t="s">
        <v>1523</v>
      </c>
      <c r="L47" s="1883">
        <f ca="1">INDIRECT("'数据-取费表'!d"&amp;$G$1)</f>
        <v>0</v>
      </c>
      <c r="M47" s="1838" t="str">
        <f>IF(ISNUMBER(FIND("住宅",C1)),"住宅","非住宅")</f>
        <v>非住宅</v>
      </c>
      <c r="O47" s="1884" t="s">
        <v>1039</v>
      </c>
      <c r="P47" s="1885" t="s">
        <v>1524</v>
      </c>
      <c r="Q47" s="1886" t="e">
        <f ca="1">C40+J29</f>
        <v>#DIV/0!</v>
      </c>
      <c r="R47" s="1886" t="s">
        <v>1525</v>
      </c>
    </row>
    <row r="48" spans="1:18" s="1842" customFormat="1" ht="28.5" thickBot="1">
      <c r="A48" s="1361" t="s">
        <v>1134</v>
      </c>
      <c r="B48" s="345" t="s">
        <v>1397</v>
      </c>
      <c r="C48" s="1817">
        <f ca="1">C49+C53+C55</f>
        <v>0</v>
      </c>
      <c r="D48" s="1363"/>
      <c r="E48" s="1364"/>
      <c r="F48" s="1182"/>
      <c r="G48" s="790"/>
      <c r="H48" s="791"/>
      <c r="I48" s="1887" t="s">
        <v>1526</v>
      </c>
      <c r="J48" s="1888"/>
      <c r="K48" s="1889" t="s">
        <v>1527</v>
      </c>
      <c r="L48" s="1890">
        <f ca="1">INDIRECT("'数据-取费表'!f"&amp;$G$1)</f>
        <v>0</v>
      </c>
      <c r="O48" s="1884" t="s">
        <v>1040</v>
      </c>
      <c r="P48" s="1885" t="s">
        <v>1528</v>
      </c>
      <c r="Q48" s="1886" t="e">
        <f ca="1">J60</f>
        <v>#DIV/0!</v>
      </c>
      <c r="R48" s="1886" t="s">
        <v>1529</v>
      </c>
    </row>
    <row r="49" spans="1:18" s="1842" customFormat="1" ht="13.5" thickBot="1">
      <c r="A49" s="1195" t="s">
        <v>1135</v>
      </c>
      <c r="B49" s="1829" t="s">
        <v>1486</v>
      </c>
      <c r="C49" s="1365">
        <f ca="1">ROUND(F49*F51*F50*(1-F52),0)</f>
        <v>0</v>
      </c>
      <c r="D49" s="1277" t="s">
        <v>1400</v>
      </c>
      <c r="E49" s="1830" t="s">
        <v>1487</v>
      </c>
      <c r="F49" s="1282"/>
      <c r="G49" s="1891"/>
      <c r="H49" s="791"/>
      <c r="I49" s="1887" t="s">
        <v>1530</v>
      </c>
      <c r="J49" s="1892"/>
      <c r="K49" s="1889" t="s">
        <v>1531</v>
      </c>
      <c r="L49" s="1893"/>
      <c r="O49" s="1894" t="s">
        <v>1041</v>
      </c>
      <c r="P49" s="1885" t="s">
        <v>1532</v>
      </c>
      <c r="Q49" s="1886">
        <f ca="1">C29</f>
        <v>0</v>
      </c>
      <c r="R49" s="1886" t="s">
        <v>1525</v>
      </c>
    </row>
    <row r="50" spans="1:18" s="1842" customFormat="1" ht="13.5" thickBot="1">
      <c r="A50" s="1196"/>
      <c r="B50" s="1199"/>
      <c r="C50" s="1200"/>
      <c r="D50" s="1173"/>
      <c r="E50" s="1278" t="s">
        <v>1402</v>
      </c>
      <c r="F50" s="1279">
        <f ca="1">F7</f>
        <v>0</v>
      </c>
      <c r="H50" s="791"/>
      <c r="I50" s="1887" t="s">
        <v>1533</v>
      </c>
      <c r="J50" s="1895">
        <f>SUMPRODUCT((I63:I65=J47)*(J62:L62=J48)*(J63:L65))</f>
        <v>0</v>
      </c>
      <c r="K50" s="1889" t="s">
        <v>1534</v>
      </c>
      <c r="L50" s="1893"/>
      <c r="M50" s="1896"/>
      <c r="O50" s="1894" t="s">
        <v>1042</v>
      </c>
      <c r="P50" s="1885" t="s">
        <v>1535</v>
      </c>
      <c r="Q50" s="1897" t="e">
        <f ca="1">J58</f>
        <v>#DIV/0!</v>
      </c>
      <c r="R50" s="1886"/>
    </row>
    <row r="51" spans="1:18" s="1842" customFormat="1" ht="13.5" thickBot="1">
      <c r="A51" s="1197"/>
      <c r="B51" s="1199"/>
      <c r="C51" s="1200"/>
      <c r="D51" s="1173"/>
      <c r="E51" s="1201" t="s">
        <v>1403</v>
      </c>
      <c r="F51" s="348">
        <f ca="1">F8</f>
        <v>0</v>
      </c>
      <c r="I51" s="1898" t="s">
        <v>1536</v>
      </c>
      <c r="J51" s="1899">
        <f>IF(J49="",J50,J49+J50-YEAR('数据-取费表'!B2))</f>
        <v>0</v>
      </c>
      <c r="K51" s="1900" t="s">
        <v>1537</v>
      </c>
      <c r="L51" s="1901">
        <f ca="1">ROUND(-PV(INDIRECT("'数据-取费表'!h"&amp;$G$1),L48,(C39-C13*C76),0),0)</f>
        <v>0</v>
      </c>
      <c r="M51" s="1902"/>
      <c r="O51" s="1894" t="s">
        <v>1043</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1044</v>
      </c>
      <c r="P52" s="1885" t="s">
        <v>1541</v>
      </c>
      <c r="Q52" s="1886" t="b">
        <f>J53</f>
        <v>0</v>
      </c>
      <c r="R52" s="1886" t="s">
        <v>1542</v>
      </c>
    </row>
    <row r="53" spans="1:18" s="1842" customFormat="1" ht="30.75" customHeight="1" thickBot="1">
      <c r="A53" s="1362" t="s">
        <v>1136</v>
      </c>
      <c r="B53" s="369" t="s">
        <v>1405</v>
      </c>
      <c r="C53" s="361">
        <f ca="1">ROUND(IF(F53="押一",C49/12*F11,IF(F53="押二",C49/12*2*F11,IF(F53="押三",C49/12*3*F11,C54*F11))),0)</f>
        <v>0</v>
      </c>
      <c r="D53" s="1824" t="s">
        <v>2991</v>
      </c>
      <c r="E53" s="358"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55" t="s">
        <v>1544</v>
      </c>
      <c r="L53" s="3256"/>
      <c r="O53" s="1884" t="s">
        <v>1045</v>
      </c>
      <c r="P53" s="1885" t="s">
        <v>1545</v>
      </c>
      <c r="Q53" s="1886" t="e">
        <f ca="1">Q47+Q48</f>
        <v>#DIV/0!</v>
      </c>
      <c r="R53" s="1886" t="s">
        <v>1046</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1074</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6">
        <f ca="1">C13</f>
        <v>0</v>
      </c>
      <c r="D56" s="1914"/>
      <c r="E56" s="1915"/>
      <c r="F56" s="1907"/>
      <c r="I56" s="1916" t="s">
        <v>1550</v>
      </c>
      <c r="J56" s="1917"/>
      <c r="K56" s="1887" t="s">
        <v>1551</v>
      </c>
      <c r="L56" s="1890">
        <f ca="1">IF(L48&lt;J51,"——",L48-J51)</f>
        <v>0</v>
      </c>
      <c r="O56" s="1884" t="s">
        <v>1039</v>
      </c>
      <c r="P56" s="1885" t="s">
        <v>1524</v>
      </c>
      <c r="Q56" s="1886" t="e">
        <f ca="1">C40+J29</f>
        <v>#DIV/0!</v>
      </c>
      <c r="R56" s="1886" t="s">
        <v>1525</v>
      </c>
    </row>
    <row r="57" spans="1:18" s="1842" customFormat="1" ht="24.75" thickBot="1">
      <c r="A57" s="1918"/>
      <c r="B57" s="1170"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1040</v>
      </c>
      <c r="P57" s="1885" t="s">
        <v>1602</v>
      </c>
      <c r="Q57" s="1886" t="e">
        <f ca="1">L60</f>
        <v>#DIV/0!</v>
      </c>
      <c r="R57" s="1886" t="s">
        <v>1603</v>
      </c>
    </row>
    <row r="58" spans="1:18" s="1842" customFormat="1" ht="24.75" thickBot="1">
      <c r="A58" s="360" t="s">
        <v>1029</v>
      </c>
      <c r="B58" s="1178" t="s">
        <v>1420</v>
      </c>
      <c r="C58" s="361">
        <f ca="1">ROUND(C59+C64+C65+C66,0)</f>
        <v>0</v>
      </c>
      <c r="D58" s="1180" t="s">
        <v>1421</v>
      </c>
      <c r="E58" s="1181"/>
      <c r="F58" s="1182"/>
      <c r="I58" s="1922" t="s">
        <v>1556</v>
      </c>
      <c r="J58" s="1924" t="e">
        <f ca="1">IF(J55&lt;0.4,0.4,J55)</f>
        <v>#DIV/0!</v>
      </c>
      <c r="K58" s="1900" t="s">
        <v>1604</v>
      </c>
      <c r="L58" s="1890" t="e">
        <f ca="1">ROUND(POWER(1+L52,L47-L48)*(POWER(1+L52,L48)-1)/(POWER(1+L52,L47)-1),4)</f>
        <v>#DIV/0!</v>
      </c>
      <c r="O58" s="1894" t="s">
        <v>1041</v>
      </c>
      <c r="P58" s="1885" t="s">
        <v>1558</v>
      </c>
      <c r="Q58" s="1886">
        <f>IF(L55="比较法",L49,IF(L55="基准地价",L50,0))</f>
        <v>0</v>
      </c>
      <c r="R58" s="1886" t="s">
        <v>1525</v>
      </c>
    </row>
    <row r="59" spans="1:18" s="1842" customFormat="1" ht="24.75" thickBot="1">
      <c r="A59" s="1202" t="s">
        <v>1034</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1042</v>
      </c>
      <c r="P59" s="1885" t="s">
        <v>1560</v>
      </c>
      <c r="Q59" s="1897">
        <f>L52</f>
        <v>0</v>
      </c>
      <c r="R59" s="1886"/>
    </row>
    <row r="60" spans="1:18" s="1842" customFormat="1" ht="16.5" thickBot="1">
      <c r="A60" s="1202" t="s">
        <v>1033</v>
      </c>
      <c r="B60" s="1170" t="s">
        <v>1429</v>
      </c>
      <c r="C60" s="24">
        <f ca="1">IF(项目基本情况!B11="自然人","——",ROUND(C48*F60/(1+'数据-取费表'!C42),0))</f>
        <v>0</v>
      </c>
      <c r="D60" s="1184" t="s">
        <v>1430</v>
      </c>
      <c r="E60" s="1170"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1043</v>
      </c>
      <c r="P60" s="1885" t="s">
        <v>1563</v>
      </c>
      <c r="Q60" s="1886" t="e">
        <f ca="1">L58</f>
        <v>#DIV/0!</v>
      </c>
      <c r="R60" s="1886" t="s">
        <v>1564</v>
      </c>
    </row>
    <row r="61" spans="1:18" s="1842" customFormat="1" ht="13.5" thickBot="1">
      <c r="A61" s="1202" t="s">
        <v>1488</v>
      </c>
      <c r="B61" s="1170" t="s">
        <v>1489</v>
      </c>
      <c r="C61" s="24">
        <f ca="1">IF(项目基本情况!B11="自然人","——",IF(D61="按租金收入计税",ROUND(C48*F61,0),IF(D61="按房产原值计税",ROUND(C57*F61*0.7,0),INDIRECT("'数据-取费表'!Aj"&amp;$G$1))))</f>
        <v>0</v>
      </c>
      <c r="D61" s="1828" t="s">
        <v>1434</v>
      </c>
      <c r="E61" s="1170" t="s">
        <v>1490</v>
      </c>
      <c r="F61" s="367">
        <f t="shared" si="0"/>
        <v>1.2E-2</v>
      </c>
      <c r="I61" s="1928"/>
      <c r="J61" s="1928"/>
      <c r="K61" s="1928"/>
      <c r="L61" s="1928"/>
      <c r="O61" s="1894" t="s">
        <v>1044</v>
      </c>
      <c r="P61" s="1885" t="str">
        <f>K59</f>
        <v>建设期及建筑物耐用年限下的土地年期修正系数Kn</v>
      </c>
      <c r="Q61" s="1886" t="e">
        <f ca="1">L59</f>
        <v>#DIV/0!</v>
      </c>
      <c r="R61" s="1886" t="s">
        <v>1565</v>
      </c>
    </row>
    <row r="62" spans="1:18" s="1842" customFormat="1" ht="13.5" thickBot="1">
      <c r="A62" s="1202" t="s">
        <v>1491</v>
      </c>
      <c r="B62" s="1169" t="s">
        <v>1492</v>
      </c>
      <c r="C62" s="25">
        <f ca="1">IF(项目基本情况!B11="自然人","——",ROUND(F62*F63,0))</f>
        <v>0</v>
      </c>
      <c r="D62" s="1185" t="s">
        <v>1493</v>
      </c>
      <c r="E62" s="1170" t="s">
        <v>1494</v>
      </c>
      <c r="F62" s="371">
        <f t="shared" si="0"/>
        <v>30</v>
      </c>
      <c r="I62" s="1929" t="s">
        <v>1566</v>
      </c>
      <c r="J62" s="1930" t="s">
        <v>1567</v>
      </c>
      <c r="K62" s="1930" t="s">
        <v>1568</v>
      </c>
      <c r="L62" s="1930" t="s">
        <v>1569</v>
      </c>
      <c r="M62" s="1931" t="s">
        <v>1570</v>
      </c>
      <c r="O62" s="1884" t="s">
        <v>1045</v>
      </c>
      <c r="P62" s="1885" t="s">
        <v>1571</v>
      </c>
      <c r="Q62" s="1886" t="e">
        <f ca="1">Q56+Q57</f>
        <v>#DIV/0!</v>
      </c>
      <c r="R62" s="1886" t="s">
        <v>1046</v>
      </c>
    </row>
    <row r="63" spans="1:18" s="1842" customFormat="1" ht="13.5" thickBot="1">
      <c r="A63" s="372"/>
      <c r="B63" s="1176"/>
      <c r="C63" s="29"/>
      <c r="D63" s="1186"/>
      <c r="E63" s="1170"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4">
        <f ca="1">ROUND(C57*F64,0)</f>
        <v>0</v>
      </c>
      <c r="D64" s="1184" t="s">
        <v>1498</v>
      </c>
      <c r="E64" s="1170"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4">
        <f ca="1">ROUND(C56*F65,0)</f>
        <v>0</v>
      </c>
      <c r="D65" s="1184" t="s">
        <v>1450</v>
      </c>
      <c r="E65" s="1170" t="s">
        <v>1451</v>
      </c>
      <c r="F65" s="376">
        <f t="shared" ca="1" si="0"/>
        <v>0</v>
      </c>
      <c r="I65" s="1929" t="s">
        <v>1575</v>
      </c>
      <c r="J65" s="1930">
        <v>40</v>
      </c>
      <c r="K65" s="1930">
        <v>30</v>
      </c>
      <c r="L65" s="1930">
        <v>50</v>
      </c>
      <c r="M65" s="1932">
        <v>0.02</v>
      </c>
      <c r="O65" s="1884" t="s">
        <v>1039</v>
      </c>
      <c r="P65" s="1885" t="s">
        <v>1576</v>
      </c>
      <c r="Q65" s="1886" t="e">
        <f ca="1">C40+J29</f>
        <v>#DIV/0!</v>
      </c>
      <c r="R65" s="1886" t="s">
        <v>1525</v>
      </c>
    </row>
    <row r="66" spans="1:18" s="1842" customFormat="1" ht="16.5" thickBot="1">
      <c r="A66" s="1202" t="s">
        <v>1500</v>
      </c>
      <c r="B66" s="1170" t="s">
        <v>1435</v>
      </c>
      <c r="C66" s="24">
        <f ca="1">ROUND(C48*F66,0)</f>
        <v>0</v>
      </c>
      <c r="D66" s="1184" t="s">
        <v>1501</v>
      </c>
      <c r="E66" s="1170" t="s">
        <v>1418</v>
      </c>
      <c r="F66" s="357">
        <f t="shared" ca="1" si="0"/>
        <v>0</v>
      </c>
      <c r="O66" s="1884" t="s">
        <v>1040</v>
      </c>
      <c r="P66" s="1885" t="s">
        <v>1554</v>
      </c>
      <c r="Q66" s="1886" t="e">
        <f ca="1">L60</f>
        <v>#DIV/0!</v>
      </c>
      <c r="R66" s="1886" t="s">
        <v>1577</v>
      </c>
    </row>
    <row r="67" spans="1:18" s="1842" customFormat="1" ht="16.5" thickBot="1">
      <c r="A67" s="1177" t="s">
        <v>1030</v>
      </c>
      <c r="B67" s="1187" t="s">
        <v>1459</v>
      </c>
      <c r="C67" s="361">
        <f ca="1">C48-C58</f>
        <v>0</v>
      </c>
      <c r="D67" s="1183" t="s">
        <v>1460</v>
      </c>
      <c r="E67" s="1188"/>
      <c r="F67" s="1189"/>
      <c r="O67" s="1894" t="s">
        <v>1041</v>
      </c>
      <c r="P67" s="1885" t="s">
        <v>1558</v>
      </c>
      <c r="Q67" s="1933">
        <f ca="1">L51</f>
        <v>0</v>
      </c>
      <c r="R67" s="1886" t="s">
        <v>1578</v>
      </c>
    </row>
    <row r="68" spans="1:18" s="1842" customFormat="1" ht="16.5" thickBot="1">
      <c r="A68" s="1167" t="s">
        <v>1031</v>
      </c>
      <c r="B68" s="1168" t="s">
        <v>1481</v>
      </c>
      <c r="C68" s="346" t="e">
        <f ca="1">ROUND(C67*(1-((1+F70)/(1+F68))^F69)/(F68-F70),0)</f>
        <v>#DIV/0!</v>
      </c>
      <c r="D68" s="1185" t="s">
        <v>1465</v>
      </c>
      <c r="E68" s="1170" t="s">
        <v>1466</v>
      </c>
      <c r="F68" s="357">
        <f ca="1">F40</f>
        <v>0</v>
      </c>
      <c r="O68" s="1894" t="s">
        <v>1042</v>
      </c>
      <c r="P68" s="1934" t="s">
        <v>1579</v>
      </c>
      <c r="Q68" s="1886">
        <f ca="1">ROUND(Q69-Q70*Q71,0)</f>
        <v>0</v>
      </c>
      <c r="R68" s="1886" t="s">
        <v>1050</v>
      </c>
    </row>
    <row r="69" spans="1:18" s="1842" customFormat="1" ht="13.5" thickBot="1">
      <c r="A69" s="1171"/>
      <c r="B69" s="1172"/>
      <c r="C69" s="351"/>
      <c r="D69" s="1190" t="s">
        <v>1469</v>
      </c>
      <c r="E69" s="1170" t="s">
        <v>1470</v>
      </c>
      <c r="F69" s="379">
        <f ca="1">F41</f>
        <v>0</v>
      </c>
      <c r="O69" s="1894" t="s">
        <v>1047</v>
      </c>
      <c r="P69" s="1934" t="s">
        <v>1580</v>
      </c>
      <c r="Q69" s="1886">
        <f ca="1">C39</f>
        <v>0</v>
      </c>
      <c r="R69" s="1886" t="s">
        <v>1525</v>
      </c>
    </row>
    <row r="70" spans="1:18" s="1842" customFormat="1" ht="13.5" thickBot="1">
      <c r="A70" s="1174"/>
      <c r="B70" s="1175"/>
      <c r="C70" s="355"/>
      <c r="D70" s="1186"/>
      <c r="E70" s="1170" t="s">
        <v>1473</v>
      </c>
      <c r="F70" s="1276">
        <f ca="1">F42</f>
        <v>0</v>
      </c>
      <c r="O70" s="1894" t="s">
        <v>1048</v>
      </c>
      <c r="P70" s="1934" t="s">
        <v>1581</v>
      </c>
      <c r="Q70" s="1886">
        <f ca="1">C13</f>
        <v>0</v>
      </c>
      <c r="R70" s="1886" t="s">
        <v>1525</v>
      </c>
    </row>
    <row r="71" spans="1:18" s="1842" customFormat="1" ht="13.5" thickBot="1">
      <c r="A71" s="1191" t="s">
        <v>1032</v>
      </c>
      <c r="B71" s="1192" t="s">
        <v>1483</v>
      </c>
      <c r="C71" s="382" t="e">
        <f ca="1">ROUND(C68/F71,0)</f>
        <v>#DIV/0!</v>
      </c>
      <c r="D71" s="1193" t="s">
        <v>1484</v>
      </c>
      <c r="E71" s="1194" t="s">
        <v>1485</v>
      </c>
      <c r="F71" s="385">
        <f ca="1">F43</f>
        <v>0</v>
      </c>
      <c r="O71" s="1894" t="s">
        <v>1049</v>
      </c>
      <c r="P71" s="1934" t="s">
        <v>1582</v>
      </c>
      <c r="Q71" s="1897">
        <f ca="1">C76</f>
        <v>0</v>
      </c>
      <c r="R71" s="1886"/>
    </row>
    <row r="72" spans="1:18" s="1842" customFormat="1" ht="13.5" thickBot="1">
      <c r="B72" s="794"/>
      <c r="C72" s="794"/>
      <c r="O72" s="1894" t="s">
        <v>1043</v>
      </c>
      <c r="P72" s="1885" t="s">
        <v>1560</v>
      </c>
      <c r="Q72" s="1897">
        <f>L52</f>
        <v>0</v>
      </c>
      <c r="R72" s="1886"/>
    </row>
    <row r="73" spans="1:18" ht="16.5" thickBot="1">
      <c r="A73" s="1842"/>
      <c r="B73" s="794"/>
      <c r="C73" s="794"/>
      <c r="D73" s="1842"/>
      <c r="E73" s="1842"/>
      <c r="F73" s="1842"/>
      <c r="O73" s="1894" t="s">
        <v>1044</v>
      </c>
      <c r="P73" s="1885" t="s">
        <v>1563</v>
      </c>
      <c r="Q73" s="1886" t="e">
        <f ca="1">L58</f>
        <v>#DIV/0!</v>
      </c>
      <c r="R73" s="1886" t="s">
        <v>1564</v>
      </c>
    </row>
    <row r="74" spans="1:18" ht="13.5" thickBot="1">
      <c r="A74" s="1842"/>
      <c r="B74" s="317" t="s">
        <v>1583</v>
      </c>
      <c r="C74" s="1936"/>
      <c r="D74" s="1842"/>
      <c r="E74" s="1842"/>
      <c r="F74" s="1842"/>
      <c r="O74" s="1894" t="s">
        <v>1051</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1045</v>
      </c>
      <c r="P75" s="1885" t="s">
        <v>1545</v>
      </c>
      <c r="Q75" s="1886" t="e">
        <f ca="1">Q65+Q66</f>
        <v>#DIV/0!</v>
      </c>
      <c r="R75" s="1886" t="s">
        <v>1046</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2480</v>
      </c>
      <c r="B1" s="2561"/>
      <c r="C1" s="2561"/>
      <c r="D1" s="2561"/>
      <c r="E1" s="2562"/>
    </row>
    <row r="2" spans="1:6" ht="15.75">
      <c r="A2" s="2563" t="s">
        <v>2281</v>
      </c>
      <c r="B2" s="2564">
        <f ca="1">SUMIF(B6:B13,"&lt;&gt;#ref!",B6:B13)</f>
        <v>4840</v>
      </c>
      <c r="C2" s="2565" t="s">
        <v>2473</v>
      </c>
      <c r="D2" s="2566" t="s">
        <v>2474</v>
      </c>
      <c r="E2" s="2567">
        <f>SUM(E6:E13)</f>
        <v>2188.58</v>
      </c>
    </row>
    <row r="3" spans="1:6" ht="15.75">
      <c r="A3" s="2563" t="s">
        <v>1391</v>
      </c>
      <c r="B3" s="2564">
        <f ca="1">ROUND(B2*10000/E2,0)</f>
        <v>22115</v>
      </c>
      <c r="C3" s="2565" t="s">
        <v>2481</v>
      </c>
      <c r="D3" s="2568"/>
      <c r="E3" s="2569"/>
    </row>
    <row r="4" spans="1:6" ht="15.75">
      <c r="A4" s="2570"/>
      <c r="B4" s="2568"/>
      <c r="C4" s="2568"/>
      <c r="D4" s="2568"/>
      <c r="E4" s="2569"/>
    </row>
    <row r="5" spans="1:6" ht="15">
      <c r="A5" s="2571" t="s">
        <v>2475</v>
      </c>
      <c r="B5" s="3260" t="s">
        <v>2476</v>
      </c>
      <c r="C5" s="3260"/>
      <c r="D5" s="2572"/>
      <c r="E5" s="2573" t="s">
        <v>2477</v>
      </c>
      <c r="F5" s="2574" t="s">
        <v>2478</v>
      </c>
    </row>
    <row r="6" spans="1:6">
      <c r="A6" s="2575" t="str">
        <f>'数据-取费表'!AN6</f>
        <v>收益法</v>
      </c>
      <c r="B6" s="2574">
        <f ca="1">IF(F6="是",'数据-取费表'!AO6,0)</f>
        <v>4840</v>
      </c>
      <c r="C6" s="2565" t="s">
        <v>2473</v>
      </c>
      <c r="D6" s="2568"/>
      <c r="E6" s="2576">
        <f>IF(OR(A6=0,F6="否"),0,'数据-取费表'!K6+'数据-取费表'!S6)</f>
        <v>2188.58</v>
      </c>
      <c r="F6" s="2577" t="s">
        <v>2479</v>
      </c>
    </row>
    <row r="7" spans="1:6">
      <c r="A7" s="2575">
        <f>'数据-取费表'!AN7</f>
        <v>0</v>
      </c>
      <c r="B7" s="2574" t="e">
        <f ca="1">IF(F7="是",'数据-取费表'!AO7,0)</f>
        <v>#REF!</v>
      </c>
      <c r="C7" s="2565" t="s">
        <v>2473</v>
      </c>
      <c r="D7" s="2568"/>
      <c r="E7" s="2576">
        <f>IF(OR(A7=0,F7="否"),0,'数据-取费表'!K7+'数据-取费表'!S7)</f>
        <v>0</v>
      </c>
      <c r="F7" s="2577" t="s">
        <v>2479</v>
      </c>
    </row>
    <row r="8" spans="1:6">
      <c r="A8" s="2575">
        <f>'数据-取费表'!AN8</f>
        <v>0</v>
      </c>
      <c r="B8" s="2574" t="e">
        <f ca="1">IF(F8="是",'数据-取费表'!AO8,0)</f>
        <v>#REF!</v>
      </c>
      <c r="C8" s="2565" t="s">
        <v>2473</v>
      </c>
      <c r="D8" s="2568"/>
      <c r="E8" s="2576">
        <f>IF(OR(A8=0,F8="否"),0,'数据-取费表'!K8+'数据-取费表'!S8)</f>
        <v>0</v>
      </c>
      <c r="F8" s="2577" t="s">
        <v>2479</v>
      </c>
    </row>
    <row r="9" spans="1:6">
      <c r="A9" s="2575">
        <f>'数据-取费表'!AN9</f>
        <v>0</v>
      </c>
      <c r="B9" s="2574" t="e">
        <f ca="1">IF(F9="是",'数据-取费表'!AO9,0)</f>
        <v>#REF!</v>
      </c>
      <c r="C9" s="2565" t="s">
        <v>2473</v>
      </c>
      <c r="D9" s="2568"/>
      <c r="E9" s="2576">
        <f>IF(OR(A9=0,F9="否"),0,'数据-取费表'!K9+'数据-取费表'!S9)</f>
        <v>0</v>
      </c>
      <c r="F9" s="2577" t="s">
        <v>2479</v>
      </c>
    </row>
    <row r="10" spans="1:6">
      <c r="A10" s="2575">
        <f>'数据-取费表'!AN10</f>
        <v>0</v>
      </c>
      <c r="B10" s="2574" t="e">
        <f ca="1">IF(F10="是",'数据-取费表'!AO10,0)</f>
        <v>#REF!</v>
      </c>
      <c r="C10" s="2565" t="s">
        <v>2473</v>
      </c>
      <c r="D10" s="2568"/>
      <c r="E10" s="2576">
        <f>IF(OR(A10=0,F10="否"),0,'数据-取费表'!K10+'数据-取费表'!S10)</f>
        <v>0</v>
      </c>
      <c r="F10" s="2577" t="s">
        <v>2479</v>
      </c>
    </row>
    <row r="11" spans="1:6">
      <c r="A11" s="2575">
        <f>'数据-取费表'!AN11</f>
        <v>0</v>
      </c>
      <c r="B11" s="2574" t="e">
        <f ca="1">IF(F11="是",'数据-取费表'!AO11,0)</f>
        <v>#REF!</v>
      </c>
      <c r="C11" s="2565" t="s">
        <v>2473</v>
      </c>
      <c r="D11" s="2568"/>
      <c r="E11" s="2576">
        <f>IF(OR(A11=0,F11="否"),0,'数据-取费表'!K11+'数据-取费表'!S11)</f>
        <v>0</v>
      </c>
      <c r="F11" s="2577" t="s">
        <v>2479</v>
      </c>
    </row>
    <row r="12" spans="1:6">
      <c r="A12" s="2575">
        <f>'数据-取费表'!AN12</f>
        <v>0</v>
      </c>
      <c r="B12" s="2574" t="e">
        <f ca="1">IF(F12="是",'数据-取费表'!AO12,0)</f>
        <v>#REF!</v>
      </c>
      <c r="C12" s="2565" t="s">
        <v>2473</v>
      </c>
      <c r="D12" s="2568"/>
      <c r="E12" s="2576">
        <f>IF(OR(A12=0,F12="否"),0,'数据-取费表'!K12+'数据-取费表'!S12)</f>
        <v>0</v>
      </c>
      <c r="F12" s="2577" t="s">
        <v>2479</v>
      </c>
    </row>
    <row r="13" spans="1:6" ht="15" thickBot="1">
      <c r="A13" s="2578">
        <f>'数据-取费表'!AN13</f>
        <v>0</v>
      </c>
      <c r="B13" s="2574" t="e">
        <f ca="1">IF(F13="是",'数据-取费表'!AO13,0)</f>
        <v>#REF!</v>
      </c>
      <c r="C13" s="2579" t="s">
        <v>2473</v>
      </c>
      <c r="D13" s="2580"/>
      <c r="E13" s="2576">
        <f>IF(OR(A13=0,F13="否"),0,'数据-取费表'!K13+'数据-取费表'!S13)</f>
        <v>0</v>
      </c>
      <c r="F13" s="2577"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受贵公司委托，我公司对北京市朝阳区吉庆里9号、10号楼房地产抵押价值进行了预评估。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估价对象为北京市朝阳区吉庆里9号、10号楼房地产，为所有。根据分摊，估价对象（分摊）出让国有建设用地使用权面积为546.38平方米，建筑面积为2188.58平方米。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估价对象为北京市朝阳区吉庆里9号、10号楼房地产,属开发建设的商业项目，该项目尚在开发建设中。根据分摊，估价对象（分摊）出让国有建设用地使用权面积为546.38平方米，规划建筑面积为2188.58平方米。</v>
      </c>
    </row>
    <row r="11" spans="1:1" ht="76.5">
      <c r="A11" s="1951" t="s">
        <v>1612</v>
      </c>
    </row>
    <row r="12" spans="1:1" ht="18.75">
      <c r="A12" s="1949" t="s">
        <v>1613</v>
      </c>
    </row>
    <row r="13" spans="1:1" ht="38.25" customHeight="1">
      <c r="A13" s="1952" t="str">
        <f>IF(项目基本情况!B8="抵押",IF(项目基本情况!B5=项目基本情况!B6,定义!C51,定义!B51),定义!D51)</f>
        <v>北京中关村科技发展（控股）股份有限公司拟使用北京市朝阳区吉庆里9号、10号楼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2018年10月9日（评估专业人员实地查勘之日）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40" activeCellId="1" sqref="E6:F6 J40"/>
    </sheetView>
  </sheetViews>
  <sheetFormatPr defaultRowHeight="13.5"/>
  <cols>
    <col min="1" max="1" width="10.5" customWidth="1"/>
    <col min="2" max="2" width="12.875" customWidth="1"/>
    <col min="3" max="3" width="8.75" customWidth="1"/>
  </cols>
  <sheetData>
    <row r="1" spans="1:9" ht="14.25">
      <c r="A1" s="3261" t="s">
        <v>1075</v>
      </c>
      <c r="B1" s="3262"/>
      <c r="C1" s="3263"/>
      <c r="D1" s="3264">
        <f>SUM(I10,I15,I20,I21,I23)</f>
        <v>11180</v>
      </c>
      <c r="E1" s="3264"/>
      <c r="F1" s="3264"/>
      <c r="G1" s="3264"/>
      <c r="H1" s="3264"/>
      <c r="I1" s="3265"/>
    </row>
    <row r="2" spans="1:9">
      <c r="A2" s="3266" t="s">
        <v>1076</v>
      </c>
      <c r="B2" s="3267" t="s">
        <v>1077</v>
      </c>
      <c r="C2" s="3267"/>
      <c r="D2" s="1302" t="s">
        <v>1078</v>
      </c>
      <c r="E2" s="1302" t="s">
        <v>1079</v>
      </c>
      <c r="F2" s="1302" t="s">
        <v>1080</v>
      </c>
      <c r="G2" s="1302" t="s">
        <v>1081</v>
      </c>
      <c r="H2" s="1302" t="s">
        <v>1082</v>
      </c>
      <c r="I2" s="1303" t="s">
        <v>1083</v>
      </c>
    </row>
    <row r="3" spans="1:9">
      <c r="A3" s="3266"/>
      <c r="B3" s="3267" t="s">
        <v>1084</v>
      </c>
      <c r="C3" s="3267"/>
      <c r="D3" s="1304"/>
      <c r="E3" s="1302"/>
      <c r="F3" s="1305"/>
      <c r="G3" s="1305"/>
      <c r="H3" s="1306"/>
      <c r="I3" s="1307">
        <f>ROUND(D3*E3*F3*G3*H3/10000,0)</f>
        <v>0</v>
      </c>
    </row>
    <row r="4" spans="1:9">
      <c r="A4" s="3266"/>
      <c r="B4" s="3267" t="s">
        <v>1085</v>
      </c>
      <c r="C4" s="3267"/>
      <c r="D4" s="1304"/>
      <c r="E4" s="1302"/>
      <c r="F4" s="1305"/>
      <c r="G4" s="1305"/>
      <c r="H4" s="1306"/>
      <c r="I4" s="1307">
        <f t="shared" ref="I4:I9" si="0">ROUND(D4*E4*F4*G4*H4/10000,0)</f>
        <v>0</v>
      </c>
    </row>
    <row r="5" spans="1:9">
      <c r="A5" s="3266"/>
      <c r="B5" s="3267" t="s">
        <v>1086</v>
      </c>
      <c r="C5" s="3267"/>
      <c r="D5" s="1304"/>
      <c r="E5" s="1302"/>
      <c r="F5" s="1305"/>
      <c r="G5" s="1305"/>
      <c r="H5" s="1306"/>
      <c r="I5" s="1307">
        <f t="shared" si="0"/>
        <v>0</v>
      </c>
    </row>
    <row r="6" spans="1:9">
      <c r="A6" s="3266"/>
      <c r="B6" s="3267" t="s">
        <v>1087</v>
      </c>
      <c r="C6" s="3267"/>
      <c r="D6" s="1304">
        <v>306</v>
      </c>
      <c r="E6" s="1302">
        <v>1300</v>
      </c>
      <c r="F6" s="1305">
        <v>1</v>
      </c>
      <c r="G6" s="1305">
        <v>0.7</v>
      </c>
      <c r="H6" s="1306">
        <v>365</v>
      </c>
      <c r="I6" s="1307">
        <f t="shared" si="0"/>
        <v>10164</v>
      </c>
    </row>
    <row r="7" spans="1:9">
      <c r="A7" s="3266"/>
      <c r="B7" s="3267" t="s">
        <v>1088</v>
      </c>
      <c r="C7" s="3267"/>
      <c r="D7" s="1304"/>
      <c r="E7" s="1302"/>
      <c r="F7" s="1305"/>
      <c r="G7" s="1305"/>
      <c r="H7" s="1306"/>
      <c r="I7" s="1307">
        <f t="shared" si="0"/>
        <v>0</v>
      </c>
    </row>
    <row r="8" spans="1:9">
      <c r="A8" s="3266"/>
      <c r="B8" s="3267" t="s">
        <v>1089</v>
      </c>
      <c r="C8" s="3267"/>
      <c r="D8" s="1304"/>
      <c r="E8" s="1302"/>
      <c r="F8" s="1305"/>
      <c r="G8" s="1305"/>
      <c r="H8" s="1306"/>
      <c r="I8" s="1307">
        <f t="shared" si="0"/>
        <v>0</v>
      </c>
    </row>
    <row r="9" spans="1:9">
      <c r="A9" s="3266"/>
      <c r="B9" s="3267" t="s">
        <v>1090</v>
      </c>
      <c r="C9" s="3267"/>
      <c r="D9" s="1304"/>
      <c r="E9" s="1302"/>
      <c r="F9" s="1305"/>
      <c r="G9" s="1305"/>
      <c r="H9" s="1306"/>
      <c r="I9" s="1307">
        <f t="shared" si="0"/>
        <v>0</v>
      </c>
    </row>
    <row r="10" spans="1:9">
      <c r="A10" s="3266"/>
      <c r="B10" s="3268" t="s">
        <v>1091</v>
      </c>
      <c r="C10" s="3268"/>
      <c r="D10" s="1308"/>
      <c r="E10" s="1308" t="e">
        <f>ROUND(D1*10000/D10/H9,0)</f>
        <v>#DIV/0!</v>
      </c>
      <c r="F10" s="1309"/>
      <c r="G10" s="1309"/>
      <c r="H10" s="1310"/>
      <c r="I10" s="1311">
        <f>SUM(I3:I9)</f>
        <v>10164</v>
      </c>
    </row>
    <row r="11" spans="1:9" ht="14.25">
      <c r="A11" s="3266" t="s">
        <v>1092</v>
      </c>
      <c r="B11" s="3267" t="s">
        <v>1093</v>
      </c>
      <c r="C11" s="3267"/>
      <c r="D11" s="1304" t="s">
        <v>1094</v>
      </c>
      <c r="E11" s="1304" t="s">
        <v>1095</v>
      </c>
      <c r="F11" s="1305" t="s">
        <v>1096</v>
      </c>
      <c r="G11" s="1305" t="s">
        <v>1082</v>
      </c>
      <c r="H11" s="1312" t="s">
        <v>1097</v>
      </c>
      <c r="I11" s="1303" t="s">
        <v>1083</v>
      </c>
    </row>
    <row r="12" spans="1:9">
      <c r="A12" s="3266"/>
      <c r="B12" s="3267" t="s">
        <v>1098</v>
      </c>
      <c r="C12" s="3267"/>
      <c r="D12" s="1304"/>
      <c r="E12" s="1304"/>
      <c r="F12" s="1305"/>
      <c r="G12" s="1306"/>
      <c r="H12" s="1313"/>
      <c r="I12" s="1303">
        <f>ROUND(D12*E12*F12*G12/10000,0)</f>
        <v>0</v>
      </c>
    </row>
    <row r="13" spans="1:9">
      <c r="A13" s="3266"/>
      <c r="B13" s="3267" t="s">
        <v>1099</v>
      </c>
      <c r="C13" s="3267"/>
      <c r="D13" s="1304"/>
      <c r="E13" s="1304"/>
      <c r="F13" s="1305"/>
      <c r="G13" s="1306"/>
      <c r="H13" s="1313"/>
      <c r="I13" s="1303">
        <f>ROUND(D13*E13*F13*G13/10000,0)</f>
        <v>0</v>
      </c>
    </row>
    <row r="14" spans="1:9">
      <c r="A14" s="3266"/>
      <c r="B14" s="3267" t="s">
        <v>1100</v>
      </c>
      <c r="C14" s="3267"/>
      <c r="D14" s="1304"/>
      <c r="E14" s="1304"/>
      <c r="F14" s="1305"/>
      <c r="G14" s="1306"/>
      <c r="H14" s="1313"/>
      <c r="I14" s="1303">
        <f>ROUND(D14*E14*F14*G14/10000,0)</f>
        <v>0</v>
      </c>
    </row>
    <row r="15" spans="1:9">
      <c r="A15" s="3266"/>
      <c r="B15" s="3268" t="s">
        <v>1091</v>
      </c>
      <c r="C15" s="3268"/>
      <c r="D15" s="1308"/>
      <c r="E15" s="1308">
        <f>SUM(E12:E14)</f>
        <v>0</v>
      </c>
      <c r="F15" s="1309"/>
      <c r="G15" s="1306"/>
      <c r="H15" s="1313"/>
      <c r="I15" s="1314">
        <f>SUM(I12:I14)</f>
        <v>0</v>
      </c>
    </row>
    <row r="16" spans="1:9" ht="24">
      <c r="A16" s="3266" t="s">
        <v>1101</v>
      </c>
      <c r="B16" s="3267" t="s">
        <v>1102</v>
      </c>
      <c r="C16" s="3267"/>
      <c r="D16" s="1304" t="s">
        <v>1078</v>
      </c>
      <c r="E16" s="1315" t="s">
        <v>1103</v>
      </c>
      <c r="F16" s="1305" t="s">
        <v>1104</v>
      </c>
      <c r="G16" s="1306" t="s">
        <v>1082</v>
      </c>
      <c r="H16" s="1312" t="s">
        <v>1097</v>
      </c>
      <c r="I16" s="1303" t="s">
        <v>1083</v>
      </c>
    </row>
    <row r="17" spans="1:9" ht="14.25">
      <c r="A17" s="3266"/>
      <c r="B17" s="3267" t="s">
        <v>1105</v>
      </c>
      <c r="C17" s="3267"/>
      <c r="D17" s="1304"/>
      <c r="E17" s="1304"/>
      <c r="F17" s="1305"/>
      <c r="G17" s="1306"/>
      <c r="H17" s="1316"/>
      <c r="I17" s="1317">
        <f>ROUND(D17*E17*F17*G17/10000,0)</f>
        <v>0</v>
      </c>
    </row>
    <row r="18" spans="1:9" ht="14.25">
      <c r="A18" s="3266"/>
      <c r="B18" s="3267" t="s">
        <v>1106</v>
      </c>
      <c r="C18" s="3267"/>
      <c r="D18" s="1304"/>
      <c r="E18" s="1304"/>
      <c r="F18" s="1305"/>
      <c r="G18" s="1306"/>
      <c r="H18" s="1316"/>
      <c r="I18" s="1317">
        <f>ROUND(D18*E18*F18*G18/10000,0)</f>
        <v>0</v>
      </c>
    </row>
    <row r="19" spans="1:9" ht="14.25">
      <c r="A19" s="3266"/>
      <c r="B19" s="3267" t="s">
        <v>1107</v>
      </c>
      <c r="C19" s="3267"/>
      <c r="D19" s="1304"/>
      <c r="E19" s="1304"/>
      <c r="F19" s="1305"/>
      <c r="G19" s="1306"/>
      <c r="H19" s="1316"/>
      <c r="I19" s="1317">
        <f>ROUND(D19*E19*F19*G19/10000,0)</f>
        <v>0</v>
      </c>
    </row>
    <row r="20" spans="1:9">
      <c r="A20" s="3266"/>
      <c r="B20" s="3268" t="s">
        <v>1091</v>
      </c>
      <c r="C20" s="3268"/>
      <c r="D20" s="1308">
        <f>SUM(D17:D19)</f>
        <v>0</v>
      </c>
      <c r="E20" s="1308"/>
      <c r="F20" s="1309"/>
      <c r="G20" s="1306"/>
      <c r="H20" s="1313"/>
      <c r="I20" s="1314">
        <f>SUM(I17:I19)</f>
        <v>0</v>
      </c>
    </row>
    <row r="21" spans="1:9">
      <c r="A21" s="3266" t="s">
        <v>1108</v>
      </c>
      <c r="B21" s="3270"/>
      <c r="C21" s="3270"/>
      <c r="D21" s="3270"/>
      <c r="E21" s="3270"/>
      <c r="F21" s="3270"/>
      <c r="G21" s="3270"/>
      <c r="H21" s="1765">
        <v>0.1</v>
      </c>
      <c r="I21" s="1311">
        <f>ROUND(I10*H21,0)</f>
        <v>1016</v>
      </c>
    </row>
    <row r="22" spans="1:9" ht="14.25">
      <c r="A22" s="3271" t="s">
        <v>1109</v>
      </c>
      <c r="B22" s="3272"/>
      <c r="C22" s="3273"/>
      <c r="D22" s="1318" t="s">
        <v>1110</v>
      </c>
      <c r="E22" s="1318" t="s">
        <v>1111</v>
      </c>
      <c r="F22" s="1319" t="s">
        <v>1112</v>
      </c>
      <c r="G22" s="1319" t="s">
        <v>1113</v>
      </c>
      <c r="H22" s="1312" t="s">
        <v>1114</v>
      </c>
      <c r="I22" s="1303" t="s">
        <v>1115</v>
      </c>
    </row>
    <row r="23" spans="1:9" ht="14.25" thickBot="1">
      <c r="A23" s="3274"/>
      <c r="B23" s="3275"/>
      <c r="C23" s="3276"/>
      <c r="D23" s="1320"/>
      <c r="E23" s="1320"/>
      <c r="F23" s="1320"/>
      <c r="G23" s="1321"/>
      <c r="H23" s="1322"/>
      <c r="I23" s="1323">
        <f>ROUND(E23*D23*F23*(1-G23)/10000,0)</f>
        <v>0</v>
      </c>
    </row>
    <row r="26" spans="1:9">
      <c r="A26" s="1324" t="s">
        <v>1116</v>
      </c>
      <c r="B26" s="1324"/>
      <c r="C26" s="1324"/>
      <c r="D26" s="1324"/>
      <c r="E26" s="3277">
        <f>C27-C30-C31-C32</f>
        <v>6149</v>
      </c>
      <c r="F26" s="3277"/>
      <c r="G26" s="3277"/>
      <c r="H26" s="1737" t="s">
        <v>1336</v>
      </c>
    </row>
    <row r="27" spans="1:9">
      <c r="A27" s="1325">
        <v>1</v>
      </c>
      <c r="B27" s="1326" t="s">
        <v>1117</v>
      </c>
      <c r="C27" s="1326">
        <f>C28+C29</f>
        <v>11180</v>
      </c>
      <c r="D27" s="1326"/>
      <c r="E27" s="3278"/>
      <c r="F27" s="3278"/>
      <c r="G27" s="3278"/>
    </row>
    <row r="28" spans="1:9">
      <c r="A28" s="1327" t="s">
        <v>1118</v>
      </c>
      <c r="B28" s="1326" t="s">
        <v>1119</v>
      </c>
      <c r="C28" s="1326">
        <f>I10</f>
        <v>10164</v>
      </c>
      <c r="D28" s="1326"/>
      <c r="E28" s="3278"/>
      <c r="F28" s="3278"/>
      <c r="G28" s="3278"/>
    </row>
    <row r="29" spans="1:9">
      <c r="A29" s="1327" t="s">
        <v>1120</v>
      </c>
      <c r="B29" s="1326" t="s">
        <v>1121</v>
      </c>
      <c r="C29" s="1326">
        <f>I21</f>
        <v>1016</v>
      </c>
      <c r="D29" s="1326"/>
      <c r="E29" s="1326" t="s">
        <v>1122</v>
      </c>
      <c r="F29" s="1326"/>
      <c r="G29" s="1326"/>
    </row>
    <row r="30" spans="1:9">
      <c r="A30" s="1325">
        <v>2</v>
      </c>
      <c r="B30" s="1326" t="s">
        <v>1123</v>
      </c>
      <c r="C30" s="1326">
        <f>C27*D30</f>
        <v>4472</v>
      </c>
      <c r="D30" s="1328">
        <v>0.4</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559</v>
      </c>
      <c r="D32" s="1328">
        <v>0.05</v>
      </c>
      <c r="E32" s="3269"/>
      <c r="F32" s="3269"/>
      <c r="G32" s="3269"/>
    </row>
    <row r="33" spans="1:7" hidden="1">
      <c r="A33" s="3279" t="s">
        <v>1128</v>
      </c>
      <c r="B33" s="3280"/>
      <c r="C33" s="3280"/>
      <c r="D33" s="3281"/>
      <c r="E33" s="3277"/>
      <c r="F33" s="3277"/>
      <c r="G33" s="3277"/>
    </row>
    <row r="34" spans="1:7" hidden="1">
      <c r="A34" s="1329">
        <v>1</v>
      </c>
      <c r="B34" s="1326" t="s">
        <v>1129</v>
      </c>
      <c r="C34" s="1326"/>
      <c r="D34" s="1326"/>
      <c r="E34" s="3278"/>
      <c r="F34" s="3278"/>
      <c r="G34" s="3278"/>
    </row>
    <row r="35" spans="1:7" hidden="1">
      <c r="A35" s="1329">
        <v>2</v>
      </c>
      <c r="B35" s="1326" t="s">
        <v>1130</v>
      </c>
      <c r="C35" s="1326"/>
      <c r="D35" s="1326"/>
      <c r="E35" s="3278"/>
      <c r="F35" s="3278"/>
      <c r="G35" s="3278"/>
    </row>
    <row r="36" spans="1:7" hidden="1">
      <c r="A36" s="1329">
        <v>3</v>
      </c>
      <c r="B36" s="1326" t="s">
        <v>1131</v>
      </c>
      <c r="C36" s="1326"/>
      <c r="D36" s="1326"/>
      <c r="E36" s="3278"/>
      <c r="F36" s="3278"/>
      <c r="G36" s="3278"/>
    </row>
    <row r="37" spans="1:7" hidden="1">
      <c r="A37" s="1329">
        <v>4</v>
      </c>
      <c r="B37" s="1326" t="s">
        <v>1132</v>
      </c>
      <c r="C37" s="1326"/>
      <c r="D37" s="1326"/>
      <c r="E37" s="3278"/>
      <c r="F37" s="3278"/>
      <c r="G37" s="3278"/>
    </row>
    <row r="38" spans="1:7" hidden="1">
      <c r="A38" s="3279" t="s">
        <v>1133</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581" t="s">
        <v>2483</v>
      </c>
      <c r="C1" s="1634" t="s">
        <v>2484</v>
      </c>
      <c r="D1" s="1621"/>
      <c r="E1" s="2582"/>
      <c r="F1" s="2583" t="s">
        <v>2485</v>
      </c>
      <c r="G1" s="1631" t="s">
        <v>2486</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9" t="e">
        <f ca="1">IF(C2="——",ROUND(C49*D3/10000,0),ROUND(C49*D3/10000,0)-D2)</f>
        <v>#DIV/0!</v>
      </c>
      <c r="C2" s="2585"/>
      <c r="D2" s="1366" t="e">
        <f ca="1">SUMIF(INDIRECT("'"&amp;F2&amp;"'"&amp;"!A:A"),"承租人权益价值",INDIRECT("'"&amp;F2&amp;"'"&amp;"!c:c"))</f>
        <v>#REF!</v>
      </c>
      <c r="E2" s="2586" t="s">
        <v>2487</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2488</v>
      </c>
      <c r="D3" s="399">
        <f>IF(D1="",'数据-汇总表'!E3,SUMIF('数据-汇总表'!$C19:$C33,D1,'数据-汇总表'!$E19:$E33))</f>
        <v>2188.58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1" t="s">
        <v>2489</v>
      </c>
      <c r="B4" s="402"/>
      <c r="C4" s="3182" t="s">
        <v>2490</v>
      </c>
      <c r="D4" s="3183"/>
      <c r="E4" s="3184" t="s">
        <v>2491</v>
      </c>
      <c r="F4" s="3185"/>
      <c r="G4" s="3182" t="s">
        <v>2492</v>
      </c>
      <c r="H4" s="3183"/>
      <c r="I4" s="3182" t="s">
        <v>2493</v>
      </c>
      <c r="J4" s="3183"/>
      <c r="K4" s="2595" t="s">
        <v>2494</v>
      </c>
      <c r="L4" s="1131"/>
      <c r="M4" s="1132"/>
      <c r="N4" s="1132"/>
      <c r="O4" s="1132"/>
      <c r="P4" s="3186" t="s">
        <v>2495</v>
      </c>
      <c r="Q4" s="3187"/>
      <c r="R4" s="3168" t="s">
        <v>2491</v>
      </c>
      <c r="S4" s="3169"/>
      <c r="T4" s="3168" t="s">
        <v>2492</v>
      </c>
      <c r="U4" s="3169"/>
      <c r="V4" s="3194" t="s">
        <v>2493</v>
      </c>
      <c r="W4" s="3194"/>
      <c r="X4" s="1813"/>
      <c r="Y4" s="3168" t="s">
        <v>2495</v>
      </c>
      <c r="Z4" s="3169"/>
      <c r="AA4" s="3163" t="s">
        <v>2491</v>
      </c>
      <c r="AB4" s="3163" t="s">
        <v>2492</v>
      </c>
      <c r="AC4" s="3163" t="s">
        <v>2493</v>
      </c>
    </row>
    <row r="5" spans="1:29" ht="15">
      <c r="A5" s="404"/>
      <c r="B5" s="405"/>
      <c r="C5" s="3178" t="s">
        <v>2496</v>
      </c>
      <c r="D5" s="3175"/>
      <c r="E5" s="3172" t="s">
        <v>2497</v>
      </c>
      <c r="F5" s="3173"/>
      <c r="G5" s="3178" t="s">
        <v>2498</v>
      </c>
      <c r="H5" s="3175"/>
      <c r="I5" s="3178" t="s">
        <v>2499</v>
      </c>
      <c r="J5" s="3175"/>
      <c r="K5" s="2596"/>
      <c r="L5" s="1131"/>
      <c r="M5" s="1132"/>
      <c r="N5" s="1132"/>
      <c r="O5" s="1132"/>
      <c r="P5" s="3188"/>
      <c r="Q5" s="3189"/>
      <c r="R5" s="3170"/>
      <c r="S5" s="3171"/>
      <c r="T5" s="3170"/>
      <c r="U5" s="3171"/>
      <c r="V5" s="3194"/>
      <c r="W5" s="3194"/>
      <c r="X5" s="1813"/>
      <c r="Y5" s="3170"/>
      <c r="Z5" s="3171"/>
      <c r="AA5" s="3164"/>
      <c r="AB5" s="3164"/>
      <c r="AC5" s="3164"/>
    </row>
    <row r="6" spans="1:29" ht="15.75" thickBot="1">
      <c r="A6" s="406"/>
      <c r="B6" s="407"/>
      <c r="C6" s="3176" t="s">
        <v>2500</v>
      </c>
      <c r="D6" s="3177"/>
      <c r="E6" s="3179" t="s">
        <v>2500</v>
      </c>
      <c r="F6" s="3180"/>
      <c r="G6" s="3176" t="s">
        <v>2500</v>
      </c>
      <c r="H6" s="3177"/>
      <c r="I6" s="3176" t="s">
        <v>2500</v>
      </c>
      <c r="J6" s="3177"/>
      <c r="K6" s="2596" t="s">
        <v>2501</v>
      </c>
      <c r="L6" s="1131"/>
      <c r="M6" s="1132"/>
      <c r="N6" s="1132"/>
      <c r="O6" s="1132"/>
      <c r="P6" s="3190"/>
      <c r="Q6" s="3191"/>
      <c r="R6" s="3170"/>
      <c r="S6" s="3171"/>
      <c r="T6" s="3192"/>
      <c r="U6" s="3193"/>
      <c r="V6" s="3194"/>
      <c r="W6" s="3194"/>
      <c r="X6" s="1813"/>
      <c r="Y6" s="3192"/>
      <c r="Z6" s="3193"/>
      <c r="AA6" s="3165"/>
      <c r="AB6" s="3165"/>
      <c r="AC6" s="3165"/>
    </row>
    <row r="7" spans="1:29" s="117" customFormat="1" ht="15.75" thickBot="1">
      <c r="A7" s="408" t="s">
        <v>2502</v>
      </c>
      <c r="B7" s="409"/>
      <c r="C7" s="410">
        <f>'数据-取费表'!B2</f>
        <v>43382</v>
      </c>
      <c r="D7" s="411">
        <v>100</v>
      </c>
      <c r="E7" s="412"/>
      <c r="F7" s="413">
        <f>SUMIF(58:58,YEAR(E7)&amp;"-"&amp;MONTH(E7),59:59)</f>
        <v>0</v>
      </c>
      <c r="G7" s="412"/>
      <c r="H7" s="411">
        <f>SUMIF(58:58,YEAR(G7)&amp;"-"&amp;MONTH(G7),59:59)</f>
        <v>0</v>
      </c>
      <c r="I7" s="412"/>
      <c r="J7" s="411">
        <f>SUMIF(58:58,YEAR(I7)&amp;"-"&amp;MONTH(I7),59:59)</f>
        <v>0</v>
      </c>
      <c r="K7" s="2597"/>
      <c r="L7" s="1133"/>
      <c r="M7" s="1134"/>
      <c r="N7" s="1134"/>
      <c r="O7" s="1134"/>
      <c r="P7" s="3166" t="s">
        <v>2503</v>
      </c>
      <c r="Q7" s="3195"/>
      <c r="R7" s="768" t="s">
        <v>23</v>
      </c>
      <c r="S7" s="769">
        <f t="shared" ref="S7:S15" si="0">F7</f>
        <v>0</v>
      </c>
      <c r="T7" s="768" t="s">
        <v>23</v>
      </c>
      <c r="U7" s="769">
        <f t="shared" ref="U7:U15" si="1">H7</f>
        <v>0</v>
      </c>
      <c r="V7" s="768" t="s">
        <v>23</v>
      </c>
      <c r="W7" s="769">
        <f t="shared" ref="W7:W15" si="2">J7</f>
        <v>0</v>
      </c>
      <c r="X7" s="770"/>
      <c r="Y7" s="3166" t="s">
        <v>2503</v>
      </c>
      <c r="Z7" s="3167"/>
      <c r="AA7" s="771" t="e">
        <f>D7/F7</f>
        <v>#DIV/0!</v>
      </c>
      <c r="AB7" s="771" t="e">
        <f>D7/H7</f>
        <v>#DIV/0!</v>
      </c>
      <c r="AC7" s="771" t="e">
        <f>D7/J7</f>
        <v>#DIV/0!</v>
      </c>
    </row>
    <row r="8" spans="1:29" s="117" customFormat="1" ht="15.75" thickBot="1">
      <c r="A8" s="408" t="s">
        <v>2504</v>
      </c>
      <c r="B8" s="409"/>
      <c r="C8" s="414" t="s">
        <v>2505</v>
      </c>
      <c r="D8" s="411">
        <v>100</v>
      </c>
      <c r="E8" s="2598"/>
      <c r="F8" s="413">
        <f>SUMIF(61:61,E8,62:62)-SUMIF(61:61,C8,62:62)+100</f>
        <v>0</v>
      </c>
      <c r="G8" s="414"/>
      <c r="H8" s="411">
        <f>SUMIF(61:61,G8,62:62)-SUMIF(61:61,C8,62:62)+100</f>
        <v>0</v>
      </c>
      <c r="I8" s="2598"/>
      <c r="J8" s="411">
        <f>SUMIF(61:61,I8,62:62)-SUMIF(61:61,C8,62:62)+100</f>
        <v>0</v>
      </c>
      <c r="K8" s="2597"/>
      <c r="L8" s="1133"/>
      <c r="M8" s="1134"/>
      <c r="N8" s="1134"/>
      <c r="O8" s="1134"/>
      <c r="P8" s="3166" t="s">
        <v>2506</v>
      </c>
      <c r="Q8" s="3167"/>
      <c r="R8" s="768" t="s">
        <v>23</v>
      </c>
      <c r="S8" s="769">
        <f t="shared" si="0"/>
        <v>0</v>
      </c>
      <c r="T8" s="768" t="s">
        <v>23</v>
      </c>
      <c r="U8" s="769">
        <f t="shared" si="1"/>
        <v>0</v>
      </c>
      <c r="V8" s="768" t="s">
        <v>23</v>
      </c>
      <c r="W8" s="769">
        <f t="shared" si="2"/>
        <v>0</v>
      </c>
      <c r="X8" s="770"/>
      <c r="Y8" s="3166" t="s">
        <v>2506</v>
      </c>
      <c r="Z8" s="3167"/>
      <c r="AA8" s="771" t="e">
        <f t="shared" ref="AA8:AA19" si="3">D8/F8</f>
        <v>#DIV/0!</v>
      </c>
      <c r="AB8" s="771" t="e">
        <f t="shared" ref="AB8:AB19" si="4">D8/H8</f>
        <v>#DIV/0!</v>
      </c>
      <c r="AC8" s="771" t="e">
        <f t="shared" ref="AC8:AC19" si="5">D8/J8</f>
        <v>#DIV/0!</v>
      </c>
    </row>
    <row r="9" spans="1:29" s="117" customFormat="1">
      <c r="A9" s="415" t="s">
        <v>2507</v>
      </c>
      <c r="B9" s="71" t="s">
        <v>2508</v>
      </c>
      <c r="C9" s="416"/>
      <c r="D9" s="135">
        <v>100</v>
      </c>
      <c r="E9" s="417"/>
      <c r="F9" s="418">
        <f>SUMIF(63:63,E9,64:64)-SUMIF(63:63,C9,64:64)+100</f>
        <v>100</v>
      </c>
      <c r="G9" s="419"/>
      <c r="H9" s="135">
        <f>SUMIF(63:63,G9,64:64)-SUMIF(63:63,C9,64:64)+100</f>
        <v>100</v>
      </c>
      <c r="I9" s="419"/>
      <c r="J9" s="135">
        <f>SUMIF(63:63,I9,64:64)-SUMIF(63:63,C9,64:64)+100</f>
        <v>100</v>
      </c>
      <c r="K9" s="2597"/>
      <c r="L9" s="1133"/>
      <c r="M9" s="1134"/>
      <c r="N9" s="1134"/>
      <c r="O9" s="1134"/>
      <c r="P9" s="3205" t="s">
        <v>2509</v>
      </c>
      <c r="Q9" s="1795" t="str">
        <f t="shared" ref="Q9:Q15" si="6">B9</f>
        <v>用途</v>
      </c>
      <c r="R9" s="768" t="s">
        <v>17</v>
      </c>
      <c r="S9" s="769">
        <f t="shared" si="0"/>
        <v>100</v>
      </c>
      <c r="T9" s="768" t="s">
        <v>17</v>
      </c>
      <c r="U9" s="769">
        <f t="shared" si="1"/>
        <v>100</v>
      </c>
      <c r="V9" s="768" t="s">
        <v>17</v>
      </c>
      <c r="W9" s="769">
        <f t="shared" si="2"/>
        <v>100</v>
      </c>
      <c r="X9" s="770"/>
      <c r="Y9" s="3043" t="s">
        <v>2510</v>
      </c>
      <c r="Z9" s="55" t="str">
        <f t="shared" ref="Z9:Z15" si="7">Q9</f>
        <v>用途</v>
      </c>
      <c r="AA9" s="771">
        <f t="shared" si="3"/>
        <v>1</v>
      </c>
      <c r="AB9" s="771">
        <f t="shared" si="4"/>
        <v>1</v>
      </c>
      <c r="AC9" s="771">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5"/>
      <c r="Q10" s="1795"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5"/>
      <c r="Q11" s="1795" t="str">
        <f t="shared" si="6"/>
        <v>容积率</v>
      </c>
      <c r="R11" s="768" t="s">
        <v>21</v>
      </c>
      <c r="S11" s="769" t="e">
        <f t="shared" si="0"/>
        <v>#N/A</v>
      </c>
      <c r="T11" s="768" t="s">
        <v>21</v>
      </c>
      <c r="U11" s="769" t="e">
        <f t="shared" si="1"/>
        <v>#N/A</v>
      </c>
      <c r="V11" s="768" t="s">
        <v>21</v>
      </c>
      <c r="W11" s="769" t="e">
        <f t="shared" si="2"/>
        <v>#N/A</v>
      </c>
      <c r="X11" s="770"/>
      <c r="Y11" s="3043"/>
      <c r="Z11" s="55" t="str">
        <f t="shared" si="7"/>
        <v>容积率</v>
      </c>
      <c r="AA11" s="771" t="e">
        <f t="shared" si="3"/>
        <v>#N/A</v>
      </c>
      <c r="AB11" s="771" t="e">
        <f t="shared" si="4"/>
        <v>#N/A</v>
      </c>
      <c r="AC11" s="771"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205"/>
      <c r="Q12" s="1795">
        <f t="shared" si="6"/>
        <v>111</v>
      </c>
      <c r="R12" s="768" t="s">
        <v>21</v>
      </c>
      <c r="S12" s="769">
        <f t="shared" si="0"/>
        <v>100</v>
      </c>
      <c r="T12" s="768" t="s">
        <v>21</v>
      </c>
      <c r="U12" s="769">
        <f t="shared" si="1"/>
        <v>100</v>
      </c>
      <c r="V12" s="768" t="s">
        <v>21</v>
      </c>
      <c r="W12" s="769">
        <f t="shared" si="2"/>
        <v>100</v>
      </c>
      <c r="X12" s="770"/>
      <c r="Y12" s="3043"/>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205"/>
      <c r="Q13" s="1795">
        <f t="shared" si="6"/>
        <v>111</v>
      </c>
      <c r="R13" s="768" t="s">
        <v>21</v>
      </c>
      <c r="S13" s="769">
        <f t="shared" si="0"/>
        <v>100</v>
      </c>
      <c r="T13" s="768" t="s">
        <v>21</v>
      </c>
      <c r="U13" s="769">
        <f t="shared" si="1"/>
        <v>100</v>
      </c>
      <c r="V13" s="768" t="s">
        <v>21</v>
      </c>
      <c r="W13" s="769">
        <f t="shared" si="2"/>
        <v>100</v>
      </c>
      <c r="X13" s="770"/>
      <c r="Y13" s="3043"/>
      <c r="Z13" s="55">
        <f t="shared" si="7"/>
        <v>111</v>
      </c>
      <c r="AA13" s="771">
        <f t="shared" si="3"/>
        <v>1</v>
      </c>
      <c r="AB13" s="771">
        <f t="shared" si="4"/>
        <v>1</v>
      </c>
      <c r="AC13" s="771">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205"/>
      <c r="Q14" s="1795">
        <f t="shared" si="6"/>
        <v>111</v>
      </c>
      <c r="R14" s="768" t="s">
        <v>21</v>
      </c>
      <c r="S14" s="769">
        <f t="shared" si="0"/>
        <v>100</v>
      </c>
      <c r="T14" s="768" t="s">
        <v>21</v>
      </c>
      <c r="U14" s="769">
        <f t="shared" si="1"/>
        <v>100</v>
      </c>
      <c r="V14" s="768" t="s">
        <v>21</v>
      </c>
      <c r="W14" s="769">
        <f t="shared" si="2"/>
        <v>100</v>
      </c>
      <c r="X14" s="770"/>
      <c r="Y14" s="3043"/>
      <c r="Z14" s="55">
        <f t="shared" si="7"/>
        <v>111</v>
      </c>
      <c r="AA14" s="771">
        <f t="shared" si="3"/>
        <v>1</v>
      </c>
      <c r="AB14" s="771">
        <f t="shared" si="4"/>
        <v>1</v>
      </c>
      <c r="AC14" s="771">
        <f t="shared" si="5"/>
        <v>1</v>
      </c>
    </row>
    <row r="15" spans="1:29" ht="15">
      <c r="A15" s="440" t="s">
        <v>2513</v>
      </c>
      <c r="B15" s="69" t="s">
        <v>2048</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42" t="s">
        <v>2514</v>
      </c>
      <c r="Q15" s="1810" t="str">
        <f t="shared" si="6"/>
        <v>居住社区成熟度</v>
      </c>
      <c r="R15" s="772" t="s">
        <v>21</v>
      </c>
      <c r="S15" s="773">
        <f t="shared" si="0"/>
        <v>100</v>
      </c>
      <c r="T15" s="772" t="s">
        <v>21</v>
      </c>
      <c r="U15" s="773">
        <f t="shared" si="1"/>
        <v>100</v>
      </c>
      <c r="V15" s="772" t="s">
        <v>21</v>
      </c>
      <c r="W15" s="773">
        <f t="shared" si="2"/>
        <v>100</v>
      </c>
      <c r="X15" s="1813"/>
      <c r="Y15" s="3196" t="s">
        <v>2514</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1"/>
      <c r="M16" s="1132"/>
      <c r="N16" s="1132"/>
      <c r="O16" s="1132"/>
      <c r="P16" s="3243"/>
      <c r="Q16" s="1810"/>
      <c r="R16" s="772"/>
      <c r="S16" s="773"/>
      <c r="T16" s="772"/>
      <c r="U16" s="773"/>
      <c r="V16" s="772"/>
      <c r="W16" s="773"/>
      <c r="X16" s="1813"/>
      <c r="Y16" s="3197"/>
      <c r="Z16" s="1814"/>
      <c r="AA16" s="1811">
        <v>1</v>
      </c>
      <c r="AB16" s="1811">
        <v>1</v>
      </c>
      <c r="AC16" s="1811">
        <v>1</v>
      </c>
    </row>
    <row r="17" spans="1:29" ht="99.75">
      <c r="A17" s="428"/>
      <c r="B17" s="451" t="s">
        <v>2054</v>
      </c>
      <c r="C17" s="2606"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43"/>
      <c r="Q17" s="1810" t="str">
        <f>B17</f>
        <v>交通便捷度</v>
      </c>
      <c r="R17" s="772" t="s">
        <v>21</v>
      </c>
      <c r="S17" s="773">
        <f>F17</f>
        <v>100</v>
      </c>
      <c r="T17" s="772" t="s">
        <v>21</v>
      </c>
      <c r="U17" s="773">
        <f>H17</f>
        <v>100</v>
      </c>
      <c r="V17" s="772" t="s">
        <v>21</v>
      </c>
      <c r="W17" s="773">
        <f>J17</f>
        <v>100</v>
      </c>
      <c r="X17" s="1813"/>
      <c r="Y17" s="319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1"/>
      <c r="M18" s="1132"/>
      <c r="N18" s="1132"/>
      <c r="O18" s="1132"/>
      <c r="P18" s="3243"/>
      <c r="Q18" s="1810"/>
      <c r="R18" s="772"/>
      <c r="S18" s="773"/>
      <c r="T18" s="772"/>
      <c r="U18" s="773"/>
      <c r="V18" s="772"/>
      <c r="W18" s="773"/>
      <c r="X18" s="1813"/>
      <c r="Y18" s="3197"/>
      <c r="Z18" s="1814"/>
      <c r="AA18" s="1811">
        <v>1</v>
      </c>
      <c r="AB18" s="1811">
        <v>1</v>
      </c>
      <c r="AC18" s="1811">
        <v>1</v>
      </c>
    </row>
    <row r="19" spans="1:29" ht="42.75">
      <c r="A19" s="428"/>
      <c r="B19" s="451" t="s">
        <v>2053</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43"/>
      <c r="Q19" s="1810" t="str">
        <f>B19</f>
        <v>公共配套设施</v>
      </c>
      <c r="R19" s="772" t="s">
        <v>21</v>
      </c>
      <c r="S19" s="773">
        <f>F19</f>
        <v>100</v>
      </c>
      <c r="T19" s="772" t="s">
        <v>21</v>
      </c>
      <c r="U19" s="773">
        <f>H19</f>
        <v>100</v>
      </c>
      <c r="V19" s="772" t="s">
        <v>21</v>
      </c>
      <c r="W19" s="773">
        <f>J19</f>
        <v>100</v>
      </c>
      <c r="X19" s="1813"/>
      <c r="Y19" s="319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1"/>
      <c r="M20" s="1132"/>
      <c r="N20" s="1132"/>
      <c r="O20" s="1132"/>
      <c r="P20" s="3243"/>
      <c r="Q20" s="1810"/>
      <c r="R20" s="772"/>
      <c r="S20" s="773"/>
      <c r="T20" s="772"/>
      <c r="U20" s="773"/>
      <c r="V20" s="772"/>
      <c r="W20" s="773"/>
      <c r="X20" s="1813"/>
      <c r="Y20" s="3197"/>
      <c r="Z20" s="1814"/>
      <c r="AA20" s="1811">
        <v>1</v>
      </c>
      <c r="AB20" s="1811">
        <v>1</v>
      </c>
      <c r="AC20" s="1811">
        <v>1</v>
      </c>
    </row>
    <row r="21" spans="1:29" ht="42.75">
      <c r="A21" s="428"/>
      <c r="B21" s="1385" t="s">
        <v>2055</v>
      </c>
      <c r="C21" s="2606"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43"/>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5"/>
      <c r="C22" s="2607"/>
      <c r="D22" s="448"/>
      <c r="E22" s="447"/>
      <c r="F22" s="448"/>
      <c r="G22" s="2610"/>
      <c r="H22" s="448"/>
      <c r="I22" s="447"/>
      <c r="J22" s="448"/>
      <c r="K22" s="2611"/>
      <c r="L22" s="1141"/>
      <c r="M22" s="1132"/>
      <c r="N22" s="1132"/>
      <c r="O22" s="1132"/>
      <c r="P22" s="3243"/>
      <c r="Q22" s="1810"/>
      <c r="R22" s="772"/>
      <c r="S22" s="773"/>
      <c r="T22" s="772"/>
      <c r="U22" s="773"/>
      <c r="V22" s="772"/>
      <c r="W22" s="773"/>
      <c r="X22" s="1813"/>
      <c r="Y22" s="3197"/>
      <c r="Z22" s="1814"/>
      <c r="AA22" s="1811">
        <v>1</v>
      </c>
      <c r="AB22" s="1811">
        <v>1</v>
      </c>
      <c r="AC22" s="1811">
        <v>1</v>
      </c>
    </row>
    <row r="23" spans="1:29" ht="57">
      <c r="A23" s="428"/>
      <c r="B23" s="451" t="s">
        <v>2057</v>
      </c>
      <c r="C23" s="2606" t="str">
        <f>估价对象房地状况!C9</f>
        <v>区域自然环境及人文环境较好；综合评价环境状况较好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43"/>
      <c r="Q23" s="1810" t="str">
        <f>B23</f>
        <v>自然及人文环境</v>
      </c>
      <c r="R23" s="772" t="s">
        <v>21</v>
      </c>
      <c r="S23" s="773">
        <f>F23</f>
        <v>100</v>
      </c>
      <c r="T23" s="772" t="s">
        <v>21</v>
      </c>
      <c r="U23" s="773">
        <f>H23</f>
        <v>100</v>
      </c>
      <c r="V23" s="772" t="s">
        <v>21</v>
      </c>
      <c r="W23" s="773">
        <f>J23</f>
        <v>100</v>
      </c>
      <c r="X23" s="1813"/>
      <c r="Y23" s="319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1"/>
      <c r="M24" s="1132"/>
      <c r="N24" s="1132"/>
      <c r="O24" s="1132"/>
      <c r="P24" s="3243"/>
      <c r="Q24" s="1810"/>
      <c r="R24" s="772"/>
      <c r="S24" s="773"/>
      <c r="T24" s="772"/>
      <c r="U24" s="773"/>
      <c r="V24" s="772"/>
      <c r="W24" s="773"/>
      <c r="X24" s="1813"/>
      <c r="Y24" s="3197"/>
      <c r="Z24" s="1814"/>
      <c r="AA24" s="1811">
        <v>1</v>
      </c>
      <c r="AB24" s="1811">
        <v>1</v>
      </c>
      <c r="AC24" s="1811">
        <v>1</v>
      </c>
    </row>
    <row r="25" spans="1:29" ht="15">
      <c r="A25" s="428"/>
      <c r="B25" s="422" t="s">
        <v>2515</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243"/>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197"/>
      <c r="Z25" s="1814" t="str">
        <f>Q25</f>
        <v>楼层-1</v>
      </c>
      <c r="AA25" s="1811">
        <f t="shared" ref="AA25:AA46" si="15">D25/F25</f>
        <v>1</v>
      </c>
      <c r="AB25" s="1811">
        <f t="shared" ref="AB25:AB46" si="16">D25/H25</f>
        <v>1</v>
      </c>
      <c r="AC25" s="1811">
        <f t="shared" ref="AC25:AC46" si="17">D25/J25</f>
        <v>1</v>
      </c>
    </row>
    <row r="26" spans="1:29" ht="15">
      <c r="A26" s="428"/>
      <c r="B26" s="422" t="s">
        <v>2516</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243"/>
      <c r="Q26" s="1810" t="str">
        <f t="shared" si="11"/>
        <v>朝向</v>
      </c>
      <c r="R26" s="772" t="s">
        <v>21</v>
      </c>
      <c r="S26" s="773">
        <f t="shared" si="12"/>
        <v>100</v>
      </c>
      <c r="T26" s="772" t="s">
        <v>21</v>
      </c>
      <c r="U26" s="773">
        <f t="shared" si="13"/>
        <v>100</v>
      </c>
      <c r="V26" s="772" t="s">
        <v>21</v>
      </c>
      <c r="W26" s="773">
        <f t="shared" si="14"/>
        <v>100</v>
      </c>
      <c r="X26" s="1813"/>
      <c r="Y26" s="3197"/>
      <c r="Z26" s="1814" t="str">
        <f>Q26</f>
        <v>朝向</v>
      </c>
      <c r="AA26" s="1811">
        <f t="shared" si="15"/>
        <v>1</v>
      </c>
      <c r="AB26" s="1811">
        <f t="shared" si="16"/>
        <v>1</v>
      </c>
      <c r="AC26" s="1811">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3"/>
      <c r="M27" s="1134"/>
      <c r="N27" s="1134"/>
      <c r="O27" s="1134"/>
      <c r="P27" s="3243"/>
      <c r="Q27" s="1795">
        <f t="shared" si="11"/>
        <v>111</v>
      </c>
      <c r="R27" s="768" t="s">
        <v>21</v>
      </c>
      <c r="S27" s="769">
        <f t="shared" si="12"/>
        <v>100</v>
      </c>
      <c r="T27" s="768" t="s">
        <v>21</v>
      </c>
      <c r="U27" s="769">
        <f t="shared" si="13"/>
        <v>100</v>
      </c>
      <c r="V27" s="768" t="s">
        <v>21</v>
      </c>
      <c r="W27" s="769">
        <f t="shared" si="14"/>
        <v>100</v>
      </c>
      <c r="X27" s="770"/>
      <c r="Y27" s="3197"/>
      <c r="Z27" s="55">
        <f>Q27</f>
        <v>111</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1"/>
      <c r="M28" s="1132"/>
      <c r="N28" s="1132"/>
      <c r="O28" s="1132"/>
      <c r="P28" s="3243"/>
      <c r="Q28" s="1810">
        <f t="shared" si="11"/>
        <v>111</v>
      </c>
      <c r="R28" s="772" t="s">
        <v>21</v>
      </c>
      <c r="S28" s="773">
        <f t="shared" si="12"/>
        <v>100</v>
      </c>
      <c r="T28" s="772" t="s">
        <v>21</v>
      </c>
      <c r="U28" s="773">
        <f t="shared" si="13"/>
        <v>100</v>
      </c>
      <c r="V28" s="772" t="s">
        <v>21</v>
      </c>
      <c r="W28" s="773">
        <f t="shared" si="14"/>
        <v>100</v>
      </c>
      <c r="X28" s="1813"/>
      <c r="Y28" s="3197"/>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243"/>
      <c r="Q29" s="1810">
        <f t="shared" si="11"/>
        <v>111</v>
      </c>
      <c r="R29" s="772" t="s">
        <v>21</v>
      </c>
      <c r="S29" s="773">
        <f t="shared" si="12"/>
        <v>100</v>
      </c>
      <c r="T29" s="772" t="s">
        <v>21</v>
      </c>
      <c r="U29" s="773">
        <f t="shared" si="13"/>
        <v>100</v>
      </c>
      <c r="V29" s="772" t="s">
        <v>21</v>
      </c>
      <c r="W29" s="773">
        <f t="shared" si="14"/>
        <v>100</v>
      </c>
      <c r="X29" s="1813"/>
      <c r="Y29" s="3197"/>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243"/>
      <c r="Q30" s="1810">
        <f t="shared" si="11"/>
        <v>111</v>
      </c>
      <c r="R30" s="772" t="s">
        <v>21</v>
      </c>
      <c r="S30" s="773">
        <f t="shared" si="12"/>
        <v>100</v>
      </c>
      <c r="T30" s="772" t="s">
        <v>21</v>
      </c>
      <c r="U30" s="773">
        <f t="shared" si="13"/>
        <v>100</v>
      </c>
      <c r="V30" s="772" t="s">
        <v>21</v>
      </c>
      <c r="W30" s="773">
        <f t="shared" si="14"/>
        <v>100</v>
      </c>
      <c r="X30" s="1813"/>
      <c r="Y30" s="3197"/>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243"/>
      <c r="Q31" s="1810">
        <f t="shared" si="11"/>
        <v>111</v>
      </c>
      <c r="R31" s="772" t="s">
        <v>21</v>
      </c>
      <c r="S31" s="773">
        <f t="shared" si="12"/>
        <v>100</v>
      </c>
      <c r="T31" s="772" t="s">
        <v>21</v>
      </c>
      <c r="U31" s="773">
        <f t="shared" si="13"/>
        <v>100</v>
      </c>
      <c r="V31" s="772" t="s">
        <v>21</v>
      </c>
      <c r="W31" s="773">
        <f t="shared" si="14"/>
        <v>100</v>
      </c>
      <c r="X31" s="1813"/>
      <c r="Y31" s="3197"/>
      <c r="Z31" s="1814">
        <f t="shared" si="18"/>
        <v>111</v>
      </c>
      <c r="AA31" s="1811">
        <f t="shared" si="15"/>
        <v>1</v>
      </c>
      <c r="AB31" s="1811">
        <f t="shared" si="16"/>
        <v>1</v>
      </c>
      <c r="AC31" s="1811">
        <f t="shared" si="17"/>
        <v>1</v>
      </c>
    </row>
    <row r="32" spans="1:29" ht="15">
      <c r="A32" s="440" t="s">
        <v>2517</v>
      </c>
      <c r="B32" s="71" t="s">
        <v>2518</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1"/>
      <c r="M32" s="1132"/>
      <c r="N32" s="1132"/>
      <c r="O32" s="1132"/>
      <c r="P32" s="3244" t="s">
        <v>2519</v>
      </c>
      <c r="Q32" s="1810" t="str">
        <f t="shared" si="11"/>
        <v>建筑类型</v>
      </c>
      <c r="R32" s="772" t="s">
        <v>21</v>
      </c>
      <c r="S32" s="773">
        <f t="shared" si="12"/>
        <v>100</v>
      </c>
      <c r="T32" s="772" t="s">
        <v>21</v>
      </c>
      <c r="U32" s="773">
        <f t="shared" si="13"/>
        <v>100</v>
      </c>
      <c r="V32" s="772" t="s">
        <v>21</v>
      </c>
      <c r="W32" s="773">
        <f t="shared" si="14"/>
        <v>100</v>
      </c>
      <c r="X32" s="1813"/>
      <c r="Y32" s="3199" t="s">
        <v>2519</v>
      </c>
      <c r="Z32" s="1814" t="str">
        <f t="shared" si="18"/>
        <v>建筑类型</v>
      </c>
      <c r="AA32" s="1811">
        <f t="shared" si="15"/>
        <v>1</v>
      </c>
      <c r="AB32" s="1811">
        <f t="shared" si="16"/>
        <v>1</v>
      </c>
      <c r="AC32" s="1811">
        <f t="shared" si="17"/>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9"/>
      <c r="M33" s="1142"/>
      <c r="N33" s="1142"/>
      <c r="O33" s="1142"/>
      <c r="P33" s="3245"/>
      <c r="Q33" s="774" t="str">
        <f t="shared" si="11"/>
        <v>项目建筑规模</v>
      </c>
      <c r="R33" s="775" t="s">
        <v>21</v>
      </c>
      <c r="S33" s="776" t="e">
        <f t="shared" si="12"/>
        <v>#N/A</v>
      </c>
      <c r="T33" s="775" t="s">
        <v>21</v>
      </c>
      <c r="U33" s="776" t="e">
        <f t="shared" si="13"/>
        <v>#N/A</v>
      </c>
      <c r="V33" s="775" t="s">
        <v>21</v>
      </c>
      <c r="W33" s="776" t="e">
        <f t="shared" si="14"/>
        <v>#N/A</v>
      </c>
      <c r="X33" s="777"/>
      <c r="Y33" s="3199"/>
      <c r="Z33" s="778" t="str">
        <f t="shared" si="18"/>
        <v>项目建筑规模</v>
      </c>
      <c r="AA33" s="1811" t="e">
        <f t="shared" si="15"/>
        <v>#N/A</v>
      </c>
      <c r="AB33" s="1811" t="e">
        <f t="shared" si="16"/>
        <v>#N/A</v>
      </c>
      <c r="AC33" s="1811" t="e">
        <f t="shared" si="17"/>
        <v>#N/A</v>
      </c>
    </row>
    <row r="34" spans="1:29" ht="15">
      <c r="A34" s="472"/>
      <c r="B34" s="422" t="s">
        <v>2521</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1"/>
      <c r="M34" s="1132"/>
      <c r="N34" s="1132"/>
      <c r="O34" s="1132"/>
      <c r="P34" s="3245"/>
      <c r="Q34" s="1810" t="str">
        <f t="shared" si="11"/>
        <v>建筑结构</v>
      </c>
      <c r="R34" s="772" t="s">
        <v>21</v>
      </c>
      <c r="S34" s="773">
        <f t="shared" si="12"/>
        <v>100</v>
      </c>
      <c r="T34" s="772" t="s">
        <v>21</v>
      </c>
      <c r="U34" s="773">
        <f t="shared" si="13"/>
        <v>100</v>
      </c>
      <c r="V34" s="772" t="s">
        <v>21</v>
      </c>
      <c r="W34" s="773">
        <f t="shared" si="14"/>
        <v>100</v>
      </c>
      <c r="X34" s="1813"/>
      <c r="Y34" s="3199"/>
      <c r="Z34" s="1814" t="str">
        <f t="shared" si="18"/>
        <v>建筑结构</v>
      </c>
      <c r="AA34" s="1811">
        <f t="shared" si="15"/>
        <v>1</v>
      </c>
      <c r="AB34" s="1811">
        <f t="shared" si="16"/>
        <v>1</v>
      </c>
      <c r="AC34" s="1811">
        <f t="shared" si="17"/>
        <v>1</v>
      </c>
    </row>
    <row r="35" spans="1:29" ht="15">
      <c r="A35" s="472"/>
      <c r="B35" s="422" t="s">
        <v>2522</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245"/>
      <c r="Q35" s="1810" t="str">
        <f t="shared" si="11"/>
        <v>建筑品质</v>
      </c>
      <c r="R35" s="772" t="s">
        <v>21</v>
      </c>
      <c r="S35" s="773">
        <f t="shared" si="12"/>
        <v>100</v>
      </c>
      <c r="T35" s="772" t="s">
        <v>21</v>
      </c>
      <c r="U35" s="773">
        <f t="shared" si="13"/>
        <v>100</v>
      </c>
      <c r="V35" s="772" t="s">
        <v>21</v>
      </c>
      <c r="W35" s="773">
        <f t="shared" si="14"/>
        <v>100</v>
      </c>
      <c r="X35" s="1813"/>
      <c r="Y35" s="3199"/>
      <c r="Z35" s="1814" t="str">
        <f t="shared" si="18"/>
        <v>建筑品质</v>
      </c>
      <c r="AA35" s="1811">
        <f t="shared" si="15"/>
        <v>1</v>
      </c>
      <c r="AB35" s="1811">
        <f t="shared" si="16"/>
        <v>1</v>
      </c>
      <c r="AC35" s="1811">
        <f t="shared" si="17"/>
        <v>1</v>
      </c>
    </row>
    <row r="36" spans="1:29" ht="15">
      <c r="A36" s="472"/>
      <c r="B36" s="422" t="s">
        <v>2523</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1"/>
      <c r="M36" s="1132"/>
      <c r="N36" s="1132"/>
      <c r="O36" s="1132"/>
      <c r="P36" s="3245"/>
      <c r="Q36" s="1810" t="str">
        <f t="shared" si="11"/>
        <v>公共部分装修</v>
      </c>
      <c r="R36" s="772" t="s">
        <v>21</v>
      </c>
      <c r="S36" s="773">
        <f t="shared" si="12"/>
        <v>100</v>
      </c>
      <c r="T36" s="772" t="s">
        <v>21</v>
      </c>
      <c r="U36" s="773">
        <f t="shared" si="13"/>
        <v>100</v>
      </c>
      <c r="V36" s="772" t="s">
        <v>21</v>
      </c>
      <c r="W36" s="773">
        <f t="shared" si="14"/>
        <v>100</v>
      </c>
      <c r="X36" s="1813"/>
      <c r="Y36" s="3199"/>
      <c r="Z36" s="1814" t="str">
        <f t="shared" si="18"/>
        <v>公共部分装修</v>
      </c>
      <c r="AA36" s="1811">
        <f t="shared" si="15"/>
        <v>1</v>
      </c>
      <c r="AB36" s="1811">
        <f t="shared" si="16"/>
        <v>1</v>
      </c>
      <c r="AC36" s="1811">
        <f t="shared" si="17"/>
        <v>1</v>
      </c>
    </row>
    <row r="37" spans="1:29" s="117" customFormat="1" ht="15">
      <c r="A37" s="473"/>
      <c r="B37" s="422" t="s">
        <v>2524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45"/>
      <c r="Q37" s="1795" t="str">
        <f t="shared" si="11"/>
        <v>成新度</v>
      </c>
      <c r="R37" s="768" t="s">
        <v>21</v>
      </c>
      <c r="S37" s="769" t="e">
        <f t="shared" si="12"/>
        <v>#N/A</v>
      </c>
      <c r="T37" s="768" t="s">
        <v>21</v>
      </c>
      <c r="U37" s="769" t="e">
        <f t="shared" si="13"/>
        <v>#N/A</v>
      </c>
      <c r="V37" s="768" t="s">
        <v>21</v>
      </c>
      <c r="W37" s="769" t="e">
        <f t="shared" si="14"/>
        <v>#N/A</v>
      </c>
      <c r="X37" s="770"/>
      <c r="Y37" s="3199"/>
      <c r="Z37" s="55" t="str">
        <f t="shared" si="18"/>
        <v>成新度</v>
      </c>
      <c r="AA37" s="771" t="e">
        <f t="shared" si="15"/>
        <v>#N/A</v>
      </c>
      <c r="AB37" s="771" t="e">
        <f t="shared" si="16"/>
        <v>#N/A</v>
      </c>
      <c r="AC37" s="771" t="e">
        <f t="shared" si="17"/>
        <v>#N/A</v>
      </c>
    </row>
    <row r="38" spans="1:29" ht="15">
      <c r="A38" s="472"/>
      <c r="B38" s="422" t="s">
        <v>2525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1"/>
      <c r="M38" s="1132"/>
      <c r="N38" s="1132"/>
      <c r="O38" s="1132"/>
      <c r="P38" s="3245" t="s">
        <v>2519</v>
      </c>
      <c r="Q38" s="1810" t="str">
        <f t="shared" si="11"/>
        <v>物业管理</v>
      </c>
      <c r="R38" s="772" t="s">
        <v>21</v>
      </c>
      <c r="S38" s="773">
        <f t="shared" si="12"/>
        <v>100</v>
      </c>
      <c r="T38" s="772" t="s">
        <v>21</v>
      </c>
      <c r="U38" s="773">
        <f t="shared" si="13"/>
        <v>100</v>
      </c>
      <c r="V38" s="772" t="s">
        <v>21</v>
      </c>
      <c r="W38" s="773">
        <f t="shared" si="14"/>
        <v>100</v>
      </c>
      <c r="X38" s="1813"/>
      <c r="Y38" s="3199" t="s">
        <v>2519</v>
      </c>
      <c r="Z38" s="1814" t="str">
        <f t="shared" si="18"/>
        <v>物业管理</v>
      </c>
      <c r="AA38" s="1811">
        <f t="shared" si="15"/>
        <v>1</v>
      </c>
      <c r="AB38" s="1811">
        <f t="shared" si="16"/>
        <v>1</v>
      </c>
      <c r="AC38" s="1811">
        <f t="shared" si="17"/>
        <v>1</v>
      </c>
    </row>
    <row r="39" spans="1:29" ht="15">
      <c r="A39" s="472"/>
      <c r="B39" s="422" t="s">
        <v>2526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1"/>
      <c r="M39" s="1132"/>
      <c r="N39" s="1132"/>
      <c r="O39" s="1132"/>
      <c r="P39" s="3245"/>
      <c r="Q39" s="1810" t="str">
        <f t="shared" si="11"/>
        <v>市政基础设施</v>
      </c>
      <c r="R39" s="772" t="s">
        <v>21</v>
      </c>
      <c r="S39" s="773">
        <f t="shared" si="12"/>
        <v>100</v>
      </c>
      <c r="T39" s="772" t="s">
        <v>21</v>
      </c>
      <c r="U39" s="773">
        <f t="shared" si="13"/>
        <v>100</v>
      </c>
      <c r="V39" s="772" t="s">
        <v>21</v>
      </c>
      <c r="W39" s="773">
        <f t="shared" si="14"/>
        <v>100</v>
      </c>
      <c r="X39" s="1813"/>
      <c r="Y39" s="3199"/>
      <c r="Z39" s="1814" t="str">
        <f t="shared" si="18"/>
        <v>市政基础设施</v>
      </c>
      <c r="AA39" s="1811">
        <f t="shared" si="15"/>
        <v>1</v>
      </c>
      <c r="AB39" s="1811">
        <f t="shared" si="16"/>
        <v>1</v>
      </c>
      <c r="AC39" s="1811">
        <f t="shared" si="17"/>
        <v>1</v>
      </c>
    </row>
    <row r="40" spans="1:29" ht="15">
      <c r="A40" s="472"/>
      <c r="B40" s="422" t="s">
        <v>2527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245"/>
      <c r="Q40" s="1810" t="str">
        <f t="shared" si="11"/>
        <v>房型</v>
      </c>
      <c r="R40" s="772" t="s">
        <v>21</v>
      </c>
      <c r="S40" s="773">
        <f t="shared" si="12"/>
        <v>100</v>
      </c>
      <c r="T40" s="772" t="s">
        <v>21</v>
      </c>
      <c r="U40" s="773">
        <f t="shared" si="13"/>
        <v>100</v>
      </c>
      <c r="V40" s="772" t="s">
        <v>21</v>
      </c>
      <c r="W40" s="773">
        <f t="shared" si="14"/>
        <v>100</v>
      </c>
      <c r="X40" s="1813"/>
      <c r="Y40" s="3199"/>
      <c r="Z40" s="1814" t="str">
        <f t="shared" si="18"/>
        <v>房型</v>
      </c>
      <c r="AA40" s="1811">
        <f t="shared" si="15"/>
        <v>1</v>
      </c>
      <c r="AB40" s="1811">
        <f t="shared" si="16"/>
        <v>1</v>
      </c>
      <c r="AC40" s="1811">
        <f t="shared" si="17"/>
        <v>1</v>
      </c>
    </row>
    <row r="41" spans="1:29" s="471" customFormat="1" ht="28.5">
      <c r="A41" s="468"/>
      <c r="B41" s="422" t="s">
        <v>2528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245"/>
      <c r="Q41" s="774" t="str">
        <f t="shared" si="11"/>
        <v>单套/主力户型建筑面积</v>
      </c>
      <c r="R41" s="775" t="s">
        <v>21</v>
      </c>
      <c r="S41" s="776">
        <f t="shared" si="12"/>
        <v>100</v>
      </c>
      <c r="T41" s="775" t="s">
        <v>21</v>
      </c>
      <c r="U41" s="776">
        <f t="shared" si="13"/>
        <v>100</v>
      </c>
      <c r="V41" s="775" t="s">
        <v>21</v>
      </c>
      <c r="W41" s="776">
        <f t="shared" si="14"/>
        <v>100</v>
      </c>
      <c r="X41" s="777"/>
      <c r="Y41" s="3199"/>
      <c r="Z41" s="778" t="str">
        <f t="shared" si="18"/>
        <v>单套/主力户型建筑面积</v>
      </c>
      <c r="AA41" s="1811">
        <f t="shared" si="15"/>
        <v>1</v>
      </c>
      <c r="AB41" s="1811">
        <f t="shared" si="16"/>
        <v>1</v>
      </c>
      <c r="AC41" s="1811">
        <f t="shared" si="17"/>
        <v>1</v>
      </c>
    </row>
    <row r="42" spans="1:29" ht="15">
      <c r="A42" s="472"/>
      <c r="B42" s="422" t="s">
        <v>2529</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1"/>
      <c r="M42" s="1132"/>
      <c r="N42" s="1132"/>
      <c r="O42" s="1132"/>
      <c r="P42" s="3245"/>
      <c r="Q42" s="1810" t="str">
        <f t="shared" si="11"/>
        <v>内部装修</v>
      </c>
      <c r="R42" s="772" t="s">
        <v>21</v>
      </c>
      <c r="S42" s="773">
        <f t="shared" si="12"/>
        <v>100</v>
      </c>
      <c r="T42" s="772" t="s">
        <v>21</v>
      </c>
      <c r="U42" s="773">
        <f t="shared" si="13"/>
        <v>100</v>
      </c>
      <c r="V42" s="772" t="s">
        <v>21</v>
      </c>
      <c r="W42" s="773">
        <f t="shared" si="14"/>
        <v>100</v>
      </c>
      <c r="X42" s="1813"/>
      <c r="Y42" s="3199"/>
      <c r="Z42" s="1814" t="str">
        <f t="shared" si="18"/>
        <v>内部装修</v>
      </c>
      <c r="AA42" s="1811">
        <f t="shared" si="15"/>
        <v>1</v>
      </c>
      <c r="AB42" s="1811">
        <f t="shared" si="16"/>
        <v>1</v>
      </c>
      <c r="AC42" s="1811">
        <f t="shared" si="17"/>
        <v>1</v>
      </c>
    </row>
    <row r="43" spans="1:29" ht="15">
      <c r="A43" s="472"/>
      <c r="B43" s="422" t="s">
        <v>2530</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1"/>
      <c r="M43" s="1132"/>
      <c r="N43" s="1132"/>
      <c r="O43" s="1132"/>
      <c r="P43" s="3245"/>
      <c r="Q43" s="1810" t="str">
        <f t="shared" si="11"/>
        <v>内部装修维护情况</v>
      </c>
      <c r="R43" s="772" t="s">
        <v>21</v>
      </c>
      <c r="S43" s="773">
        <f t="shared" si="12"/>
        <v>100</v>
      </c>
      <c r="T43" s="772" t="s">
        <v>21</v>
      </c>
      <c r="U43" s="773">
        <f t="shared" si="13"/>
        <v>100</v>
      </c>
      <c r="V43" s="772" t="s">
        <v>21</v>
      </c>
      <c r="W43" s="773">
        <f t="shared" si="14"/>
        <v>100</v>
      </c>
      <c r="X43" s="1813"/>
      <c r="Y43" s="3199"/>
      <c r="Z43" s="1814" t="str">
        <f t="shared" si="18"/>
        <v>内部装修维护情况</v>
      </c>
      <c r="AA43" s="1811">
        <f t="shared" si="15"/>
        <v>1</v>
      </c>
      <c r="AB43" s="1811">
        <f t="shared" si="16"/>
        <v>1</v>
      </c>
      <c r="AC43" s="1811">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3"/>
      <c r="M44" s="1134"/>
      <c r="N44" s="1134"/>
      <c r="O44" s="1134"/>
      <c r="P44" s="3245"/>
      <c r="Q44" s="1795">
        <f t="shared" si="11"/>
        <v>111</v>
      </c>
      <c r="R44" s="768" t="s">
        <v>21</v>
      </c>
      <c r="S44" s="769">
        <f t="shared" si="12"/>
        <v>100</v>
      </c>
      <c r="T44" s="768" t="s">
        <v>21</v>
      </c>
      <c r="U44" s="769">
        <f t="shared" si="13"/>
        <v>100</v>
      </c>
      <c r="V44" s="768" t="s">
        <v>21</v>
      </c>
      <c r="W44" s="769">
        <f t="shared" si="14"/>
        <v>100</v>
      </c>
      <c r="X44" s="770"/>
      <c r="Y44" s="3199"/>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245"/>
      <c r="Q45" s="1810">
        <f t="shared" si="11"/>
        <v>111</v>
      </c>
      <c r="R45" s="772" t="s">
        <v>21</v>
      </c>
      <c r="S45" s="773">
        <f t="shared" si="12"/>
        <v>100</v>
      </c>
      <c r="T45" s="772" t="s">
        <v>21</v>
      </c>
      <c r="U45" s="773">
        <f t="shared" si="13"/>
        <v>100</v>
      </c>
      <c r="V45" s="772" t="s">
        <v>21</v>
      </c>
      <c r="W45" s="773">
        <f t="shared" si="14"/>
        <v>100</v>
      </c>
      <c r="X45" s="1813"/>
      <c r="Y45" s="3199"/>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246"/>
      <c r="Q46" s="1810">
        <f t="shared" si="11"/>
        <v>111</v>
      </c>
      <c r="R46" s="772" t="s">
        <v>20</v>
      </c>
      <c r="S46" s="773">
        <f t="shared" si="12"/>
        <v>100</v>
      </c>
      <c r="T46" s="772" t="s">
        <v>20</v>
      </c>
      <c r="U46" s="773">
        <f t="shared" si="13"/>
        <v>100</v>
      </c>
      <c r="V46" s="772" t="s">
        <v>20</v>
      </c>
      <c r="W46" s="773">
        <f t="shared" si="14"/>
        <v>100</v>
      </c>
      <c r="X46" s="1813"/>
      <c r="Y46" s="3247"/>
      <c r="Z46" s="1814">
        <f t="shared" si="18"/>
        <v>111</v>
      </c>
      <c r="AA46" s="1811">
        <f t="shared" si="15"/>
        <v>1</v>
      </c>
      <c r="AB46" s="1811">
        <f t="shared" si="16"/>
        <v>1</v>
      </c>
      <c r="AC46" s="1811">
        <f t="shared" si="17"/>
        <v>1</v>
      </c>
    </row>
    <row r="47" spans="1:29" ht="15">
      <c r="A47" s="479" t="s">
        <v>2531</v>
      </c>
      <c r="B47" s="480"/>
      <c r="C47" s="1408" t="s">
        <v>19</v>
      </c>
      <c r="D47" s="1409"/>
      <c r="E47" s="1410"/>
      <c r="F47" s="1411"/>
      <c r="G47" s="1412"/>
      <c r="H47" s="1413"/>
      <c r="I47" s="1410"/>
      <c r="J47" s="1413"/>
      <c r="K47" s="2620"/>
      <c r="L47" s="1144"/>
      <c r="M47" s="1145"/>
      <c r="N47" s="1132"/>
      <c r="O47" s="1145"/>
      <c r="P47" s="3181" t="str">
        <f>A47</f>
        <v>成交单价（元/平方米）</v>
      </c>
      <c r="Q47" s="3181"/>
      <c r="R47" s="3248">
        <f>E47</f>
        <v>0</v>
      </c>
      <c r="S47" s="3248"/>
      <c r="T47" s="3248">
        <f>G47</f>
        <v>0</v>
      </c>
      <c r="U47" s="3248"/>
      <c r="V47" s="3248">
        <f>I47</f>
        <v>0</v>
      </c>
      <c r="W47" s="3248"/>
      <c r="X47" s="757"/>
      <c r="Y47" s="779"/>
      <c r="Z47" s="757"/>
      <c r="AA47" s="757"/>
      <c r="AB47" s="757"/>
      <c r="AC47" s="757"/>
    </row>
    <row r="48" spans="1:29" ht="15.75" thickBot="1">
      <c r="A48" s="486" t="s">
        <v>2532</v>
      </c>
      <c r="B48" s="487"/>
      <c r="C48" s="1414" t="e">
        <f>R49</f>
        <v>#DIV/0!</v>
      </c>
      <c r="D48" s="1415"/>
      <c r="E48" s="1416" t="e">
        <f>R48</f>
        <v>#DIV/0!</v>
      </c>
      <c r="F48" s="1416"/>
      <c r="G48" s="1414" t="e">
        <f>T48</f>
        <v>#DIV/0!</v>
      </c>
      <c r="H48" s="1415"/>
      <c r="I48" s="1416" t="e">
        <f>V48</f>
        <v>#DIV/0!</v>
      </c>
      <c r="J48" s="1415"/>
      <c r="K48" s="2621"/>
      <c r="L48" s="1144"/>
      <c r="M48" s="1145"/>
      <c r="N48" s="1145"/>
      <c r="O48" s="1145"/>
      <c r="P48" s="3181" t="str">
        <f>A48</f>
        <v>比较价值（元/平方米）</v>
      </c>
      <c r="Q48" s="3181"/>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7"/>
      <c r="Y48" s="757"/>
      <c r="Z48" s="757"/>
      <c r="AA48" s="757"/>
      <c r="AB48" s="757"/>
      <c r="AC48" s="757"/>
    </row>
    <row r="49" spans="1:29" ht="15.75" thickBot="1">
      <c r="A49" s="492" t="s">
        <v>2533</v>
      </c>
      <c r="B49" s="493"/>
      <c r="C49" s="1417" t="e">
        <f>R49</f>
        <v>#DIV/0!</v>
      </c>
      <c r="D49" s="1418"/>
      <c r="E49" s="1418"/>
      <c r="F49" s="1418"/>
      <c r="G49" s="1418"/>
      <c r="H49" s="1418"/>
      <c r="I49" s="1418"/>
      <c r="J49" s="1418"/>
      <c r="K49" s="2622"/>
      <c r="L49" s="1144"/>
      <c r="M49" s="1145"/>
      <c r="N49" s="1145"/>
      <c r="O49" s="1145"/>
      <c r="P49" s="3201" t="str">
        <f>A49</f>
        <v>估价对象XX用房的比较价值（楼面单价，元/平方米）</v>
      </c>
      <c r="Q49" s="3202"/>
      <c r="R49" s="3254" t="e">
        <f>IF(F1="售价",ROUND(AVERAGE(R48:V48),0),ROUND(AVERAGE(R48:V48),1))</f>
        <v>#DIV/0!</v>
      </c>
      <c r="S49" s="3254"/>
      <c r="T49" s="3254"/>
      <c r="U49" s="3254"/>
      <c r="V49" s="3254"/>
      <c r="W49" s="3254"/>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2536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2537</v>
      </c>
      <c r="B57" s="757"/>
      <c r="C57" s="762"/>
      <c r="D57" s="762"/>
      <c r="E57" s="762"/>
      <c r="F57" s="763"/>
      <c r="G57" s="763"/>
      <c r="H57" s="762"/>
      <c r="I57" s="762"/>
      <c r="J57" s="762"/>
      <c r="K57" s="1161"/>
      <c r="L57" s="1162"/>
      <c r="M57" s="1160"/>
      <c r="N57" s="1160"/>
      <c r="O57" s="1160"/>
      <c r="P57" s="2625"/>
      <c r="Q57" s="504"/>
    </row>
    <row r="58" spans="1:29" s="508" customFormat="1" ht="15">
      <c r="A58" s="505" t="s">
        <v>2538</v>
      </c>
      <c r="B58" s="506"/>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2539</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2541</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2542</v>
      </c>
      <c r="B63" s="528" t="s">
        <v>2508</v>
      </c>
      <c r="C63" s="529">
        <f>C9</f>
        <v>0</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2511</v>
      </c>
      <c r="C65" s="539" t="s">
        <v>2543</v>
      </c>
      <c r="D65" s="539" t="s">
        <v>2544</v>
      </c>
      <c r="E65" s="539" t="s">
        <v>2545</v>
      </c>
      <c r="F65" s="539" t="s">
        <v>2546</v>
      </c>
      <c r="G65" s="539" t="s">
        <v>2547</v>
      </c>
      <c r="H65" s="539" t="s">
        <v>2548</v>
      </c>
      <c r="I65" s="539" t="s">
        <v>2549</v>
      </c>
      <c r="J65" s="539"/>
      <c r="K65" s="540"/>
      <c r="L65" s="541"/>
      <c r="M65" s="542"/>
      <c r="N65" s="1153"/>
      <c r="O65" s="1153"/>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9"/>
      <c r="Q67" s="504"/>
    </row>
    <row r="68" spans="1:17" ht="15">
      <c r="A68" s="534"/>
      <c r="B68" s="548"/>
      <c r="C68" s="549"/>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60"/>
      <c r="E73" s="560"/>
      <c r="F73" s="560"/>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2513</v>
      </c>
      <c r="B76" s="528" t="s">
        <v>2550</v>
      </c>
      <c r="C76" s="573" t="s">
        <v>2551</v>
      </c>
      <c r="D76" s="573" t="s">
        <v>2552</v>
      </c>
      <c r="E76" s="573" t="s">
        <v>2553</v>
      </c>
      <c r="F76" s="573" t="s">
        <v>2554</v>
      </c>
      <c r="G76" s="573" t="s">
        <v>2555</v>
      </c>
      <c r="H76" s="529"/>
      <c r="I76" s="529"/>
      <c r="J76" s="529"/>
      <c r="K76" s="574"/>
      <c r="L76" s="575"/>
      <c r="M76" s="576"/>
      <c r="N76" s="1153"/>
      <c r="O76" s="1153"/>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3"/>
      <c r="O78" s="1153"/>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3"/>
      <c r="O80" s="1153"/>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75" thickTop="1">
      <c r="A82" s="534"/>
      <c r="B82" s="546" t="s">
        <v>2055</v>
      </c>
      <c r="C82" s="539" t="s">
        <v>2558</v>
      </c>
      <c r="D82" s="539" t="s">
        <v>2559</v>
      </c>
      <c r="E82" s="539" t="s">
        <v>2560</v>
      </c>
      <c r="F82" s="539" t="s">
        <v>2561</v>
      </c>
      <c r="G82" s="539" t="s">
        <v>2562</v>
      </c>
      <c r="H82" s="539"/>
      <c r="I82" s="539"/>
      <c r="J82" s="539"/>
      <c r="K82" s="539"/>
      <c r="L82" s="539"/>
      <c r="M82" s="1383"/>
      <c r="N82" s="1154"/>
      <c r="O82" s="1154"/>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9"/>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3"/>
      <c r="O84" s="1153"/>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75" thickTop="1">
      <c r="A86" s="579"/>
      <c r="B86" s="538" t="s">
        <v>2564</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75" thickTop="1">
      <c r="A88" s="579"/>
      <c r="B88" s="538" t="s">
        <v>2565</v>
      </c>
      <c r="C88" s="554"/>
      <c r="D88" s="554"/>
      <c r="E88" s="554"/>
      <c r="F88" s="2634"/>
      <c r="G88" s="554"/>
      <c r="H88" s="554"/>
      <c r="I88" s="554"/>
      <c r="J88" s="554"/>
      <c r="K88" s="554"/>
      <c r="L88" s="554"/>
      <c r="M88" s="581"/>
      <c r="N88" s="1152"/>
      <c r="O88" s="1152"/>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5.75" thickTop="1">
      <c r="A90" s="553"/>
      <c r="B90" s="538">
        <f>B27</f>
        <v>111</v>
      </c>
      <c r="C90" s="554"/>
      <c r="D90" s="554"/>
      <c r="E90" s="554"/>
      <c r="F90" s="554"/>
      <c r="G90" s="554"/>
      <c r="H90" s="555"/>
      <c r="I90" s="555"/>
      <c r="J90" s="555"/>
      <c r="K90" s="555"/>
      <c r="L90" s="556"/>
      <c r="M90" s="557"/>
      <c r="N90" s="1155"/>
      <c r="O90" s="1155"/>
      <c r="P90" s="2630"/>
      <c r="Q90" s="559"/>
    </row>
    <row r="91" spans="1:17" s="471" customFormat="1" ht="15.75" thickBot="1">
      <c r="A91" s="553"/>
      <c r="B91" s="543"/>
      <c r="C91" s="560"/>
      <c r="D91" s="560"/>
      <c r="E91" s="560"/>
      <c r="F91" s="560"/>
      <c r="G91" s="560"/>
      <c r="H91" s="562"/>
      <c r="I91" s="562"/>
      <c r="J91" s="562"/>
      <c r="K91" s="562"/>
      <c r="L91" s="562"/>
      <c r="M91" s="563"/>
      <c r="N91" s="1155"/>
      <c r="O91" s="1155"/>
      <c r="P91" s="2630"/>
      <c r="Q91" s="559"/>
    </row>
    <row r="92" spans="1:17" ht="15.75" thickTop="1">
      <c r="A92" s="534"/>
      <c r="B92" s="538">
        <f>B28</f>
        <v>111</v>
      </c>
      <c r="C92" s="554"/>
      <c r="D92" s="554"/>
      <c r="E92" s="554"/>
      <c r="F92" s="554"/>
      <c r="G92" s="583"/>
      <c r="H92" s="583"/>
      <c r="I92" s="583"/>
      <c r="J92" s="583"/>
      <c r="K92" s="584"/>
      <c r="L92" s="585"/>
      <c r="M92" s="586"/>
      <c r="N92" s="1153"/>
      <c r="O92" s="1153"/>
      <c r="P92" s="2629"/>
      <c r="Q92" s="504"/>
    </row>
    <row r="93" spans="1:17" ht="15.75" thickBot="1">
      <c r="A93" s="534"/>
      <c r="B93" s="543"/>
      <c r="C93" s="560"/>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60"/>
      <c r="E95" s="560"/>
      <c r="F95" s="560"/>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70"/>
      <c r="D97" s="570"/>
      <c r="E97" s="570"/>
      <c r="F97" s="570"/>
      <c r="G97" s="536"/>
      <c r="H97" s="536"/>
      <c r="I97" s="536"/>
      <c r="J97" s="536"/>
      <c r="K97" s="536"/>
      <c r="L97" s="536"/>
      <c r="M97" s="537"/>
      <c r="N97" s="1154"/>
      <c r="O97" s="1154"/>
      <c r="P97" s="2629"/>
      <c r="Q97" s="504"/>
    </row>
    <row r="98" spans="1:17" ht="15.75" thickTop="1">
      <c r="A98" s="534"/>
      <c r="B98" s="546">
        <f>B31</f>
        <v>111</v>
      </c>
      <c r="C98" s="587"/>
      <c r="D98" s="587"/>
      <c r="E98" s="587"/>
      <c r="F98" s="587"/>
      <c r="G98" s="587"/>
      <c r="H98" s="587"/>
      <c r="I98" s="587"/>
      <c r="J98" s="587"/>
      <c r="K98" s="588"/>
      <c r="L98" s="589"/>
      <c r="M98" s="590"/>
      <c r="N98" s="1153"/>
      <c r="O98" s="1153"/>
      <c r="P98" s="2629"/>
      <c r="Q98" s="504"/>
    </row>
    <row r="99" spans="1:17" ht="15.75" thickBot="1">
      <c r="A99" s="2635"/>
      <c r="B99" s="569"/>
      <c r="C99" s="591"/>
      <c r="D99" s="591"/>
      <c r="E99" s="591"/>
      <c r="F99" s="591"/>
      <c r="G99" s="591"/>
      <c r="H99" s="591"/>
      <c r="I99" s="591"/>
      <c r="J99" s="591"/>
      <c r="K99" s="591"/>
      <c r="L99" s="591"/>
      <c r="M99" s="592"/>
      <c r="N99" s="1154"/>
      <c r="O99" s="1154"/>
      <c r="P99" s="2629"/>
      <c r="Q99" s="504"/>
    </row>
    <row r="100" spans="1:17">
      <c r="A100" s="527" t="s">
        <v>2517</v>
      </c>
      <c r="B100" s="528" t="s">
        <v>2566</v>
      </c>
      <c r="C100" s="530"/>
      <c r="D100" s="530"/>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9"/>
      <c r="Q101" s="504"/>
    </row>
    <row r="102" spans="1:17" ht="15.75" thickTop="1">
      <c r="A102" s="534"/>
      <c r="B102" s="538" t="s">
        <v>2567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2568</v>
      </c>
      <c r="C105" s="554"/>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9"/>
      <c r="Q106" s="504"/>
    </row>
    <row r="107" spans="1:17" ht="15" thickTop="1">
      <c r="A107" s="599"/>
      <c r="B107" s="538" t="s">
        <v>2569</v>
      </c>
      <c r="C107" s="583"/>
      <c r="D107" s="583"/>
      <c r="E107" s="583"/>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9"/>
      <c r="Q108" s="504"/>
    </row>
    <row r="109" spans="1:17" ht="15" thickTop="1">
      <c r="A109" s="599"/>
      <c r="B109" s="538" t="s">
        <v>2570</v>
      </c>
      <c r="C109" s="554"/>
      <c r="D109" s="554"/>
      <c r="E109" s="554"/>
      <c r="F109" s="583"/>
      <c r="G109" s="583"/>
      <c r="H109" s="583"/>
      <c r="I109" s="583"/>
      <c r="J109" s="583"/>
      <c r="K109" s="584"/>
      <c r="L109" s="585"/>
      <c r="M109" s="586"/>
      <c r="N109" s="1153"/>
      <c r="O109" s="1153"/>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9"/>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0"/>
      <c r="Q113" s="559"/>
    </row>
    <row r="114" spans="1:17" ht="15" thickTop="1">
      <c r="A114" s="599"/>
      <c r="B114" s="538" t="s">
        <v>2571</v>
      </c>
      <c r="C114" s="554"/>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9"/>
      <c r="Q115" s="504"/>
    </row>
    <row r="116" spans="1:17" ht="15" thickTop="1">
      <c r="A116" s="599"/>
      <c r="B116" s="538" t="s">
        <v>2572</v>
      </c>
      <c r="C116" s="554"/>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2573</v>
      </c>
      <c r="C118" s="583"/>
      <c r="D118" s="583"/>
      <c r="E118" s="583"/>
      <c r="F118" s="583"/>
      <c r="G118" s="583"/>
      <c r="H118" s="583"/>
      <c r="I118" s="583"/>
      <c r="J118" s="583"/>
      <c r="K118" s="584"/>
      <c r="L118" s="585"/>
      <c r="M118" s="586"/>
      <c r="N118" s="1153"/>
      <c r="O118" s="1153"/>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9"/>
      <c r="Q119" s="504"/>
    </row>
    <row r="120" spans="1:17" s="471" customFormat="1" ht="28.5" thickTop="1">
      <c r="A120" s="593"/>
      <c r="B120" s="538" t="s">
        <v>2528</v>
      </c>
      <c r="C120" s="554"/>
      <c r="D120" s="554"/>
      <c r="E120" s="554"/>
      <c r="F120" s="554"/>
      <c r="G120" s="554"/>
      <c r="H120" s="554"/>
      <c r="I120" s="554"/>
      <c r="J120" s="554"/>
      <c r="K120" s="554"/>
      <c r="L120" s="580"/>
      <c r="M120" s="581"/>
      <c r="N120" s="1155"/>
      <c r="O120" s="1155"/>
      <c r="P120" s="2630"/>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0"/>
      <c r="Q121" s="559"/>
    </row>
    <row r="122" spans="1:17" ht="15" thickTop="1">
      <c r="A122" s="599"/>
      <c r="B122" s="538" t="s">
        <v>2574</v>
      </c>
      <c r="C122" s="554"/>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9"/>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60"/>
      <c r="E129" s="560"/>
      <c r="F129" s="560"/>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2576</v>
      </c>
    </row>
    <row r="137" spans="1:17" ht="15">
      <c r="B137" s="2637" t="s">
        <v>2577</v>
      </c>
      <c r="C137" s="2638"/>
      <c r="D137" s="2638"/>
      <c r="E137" s="2638"/>
      <c r="F137" s="2638"/>
      <c r="G137" s="2639"/>
      <c r="H137" s="2640"/>
      <c r="I137" s="2641" t="s">
        <v>2578</v>
      </c>
      <c r="J137" s="2638"/>
      <c r="K137" s="2642"/>
    </row>
    <row r="138" spans="1:17" ht="15">
      <c r="B138" s="2643"/>
      <c r="C138" s="146" t="s">
        <v>2579</v>
      </c>
      <c r="D138" s="146" t="s">
        <v>2580</v>
      </c>
      <c r="E138" s="2644" t="s">
        <v>2581</v>
      </c>
      <c r="F138" s="2645" t="s">
        <v>2582</v>
      </c>
      <c r="G138" s="146" t="s">
        <v>2580</v>
      </c>
      <c r="H138" s="147" t="s">
        <v>2581</v>
      </c>
      <c r="I138" s="2646"/>
      <c r="J138" s="146" t="s">
        <v>2583</v>
      </c>
      <c r="K138" s="147" t="s">
        <v>2584</v>
      </c>
    </row>
    <row r="139" spans="1:17" ht="15">
      <c r="B139" s="1085">
        <v>6</v>
      </c>
      <c r="C139" s="1086">
        <v>96</v>
      </c>
      <c r="D139" s="2647" t="s">
        <v>2585</v>
      </c>
      <c r="E139" s="1087">
        <v>100</v>
      </c>
      <c r="F139" s="1088">
        <v>102.5</v>
      </c>
      <c r="G139" s="2647" t="s">
        <v>2585</v>
      </c>
      <c r="H139" s="1089">
        <v>105</v>
      </c>
      <c r="I139" s="2648" t="s">
        <v>2586</v>
      </c>
      <c r="J139" s="1086">
        <v>20</v>
      </c>
      <c r="K139" s="1090">
        <f>C145/(J139-2)</f>
        <v>4.0555555555555553E-3</v>
      </c>
    </row>
    <row r="140" spans="1:17" ht="15">
      <c r="B140" s="1091">
        <v>5</v>
      </c>
      <c r="C140" s="1092">
        <v>100</v>
      </c>
      <c r="D140" s="1092"/>
      <c r="E140" s="1093"/>
      <c r="F140" s="1094">
        <v>102</v>
      </c>
      <c r="G140" s="1092"/>
      <c r="H140" s="1095"/>
      <c r="I140" s="2649" t="s">
        <v>2587</v>
      </c>
      <c r="J140" s="315">
        <f>ROUNDUP((J139-1)/2,0)</f>
        <v>10</v>
      </c>
      <c r="K140" s="1096">
        <v>100</v>
      </c>
    </row>
    <row r="141" spans="1:17" ht="15">
      <c r="B141" s="1091">
        <v>4</v>
      </c>
      <c r="C141" s="1092">
        <v>102</v>
      </c>
      <c r="D141" s="1092"/>
      <c r="E141" s="1093"/>
      <c r="F141" s="1094">
        <v>101.5</v>
      </c>
      <c r="G141" s="1092"/>
      <c r="H141" s="1095"/>
      <c r="I141" s="2649" t="s">
        <v>2588</v>
      </c>
      <c r="J141" s="315">
        <v>1</v>
      </c>
      <c r="K141" s="1097">
        <f>ROUND(100+(J141-J140)*K139*100,1)</f>
        <v>96.4</v>
      </c>
    </row>
    <row r="142" spans="1:17" ht="15">
      <c r="B142" s="1091">
        <v>3</v>
      </c>
      <c r="C142" s="1092">
        <v>103</v>
      </c>
      <c r="D142" s="1092"/>
      <c r="E142" s="1093"/>
      <c r="F142" s="1094">
        <v>101</v>
      </c>
      <c r="G142" s="1092"/>
      <c r="H142" s="1095"/>
      <c r="I142" s="2649" t="s">
        <v>2589</v>
      </c>
      <c r="J142" s="315">
        <f>J139</f>
        <v>20</v>
      </c>
      <c r="K142" s="1098">
        <v>95</v>
      </c>
    </row>
    <row r="143" spans="1:17" ht="15">
      <c r="B143" s="1091">
        <v>2</v>
      </c>
      <c r="C143" s="1092">
        <v>100</v>
      </c>
      <c r="D143" s="1092"/>
      <c r="E143" s="1093"/>
      <c r="F143" s="1094">
        <v>100.5</v>
      </c>
      <c r="G143" s="1092"/>
      <c r="H143" s="1095"/>
      <c r="I143" s="2649" t="s">
        <v>2590</v>
      </c>
      <c r="J143" s="1092">
        <v>15</v>
      </c>
      <c r="K143" s="1097">
        <f>ROUND(100+(J143-J140)*K139*100,1)</f>
        <v>102</v>
      </c>
    </row>
    <row r="144" spans="1:17" ht="15">
      <c r="B144" s="1091">
        <v>1</v>
      </c>
      <c r="C144" s="1092">
        <v>98</v>
      </c>
      <c r="D144" s="2650" t="s">
        <v>2591</v>
      </c>
      <c r="E144" s="1093">
        <v>102</v>
      </c>
      <c r="F144" s="1099">
        <v>100</v>
      </c>
      <c r="G144" s="2650" t="s">
        <v>2591</v>
      </c>
      <c r="H144" s="1095">
        <v>105</v>
      </c>
      <c r="I144" s="2649" t="s">
        <v>2590</v>
      </c>
      <c r="J144" s="1092">
        <v>18</v>
      </c>
      <c r="K144" s="1097">
        <f>ROUND(100+(J144-J140)*K139*100,1)</f>
        <v>103.2</v>
      </c>
    </row>
    <row r="145" spans="2:11" ht="15.75" thickBot="1">
      <c r="B145" s="2651" t="s">
        <v>2592</v>
      </c>
      <c r="C145" s="1100">
        <f>ROUND(MAX(C139:C144)/MIN(C139:C144)-1,3)</f>
        <v>7.2999999999999995E-2</v>
      </c>
      <c r="D145" s="1101"/>
      <c r="E145" s="1101"/>
      <c r="F145" s="2652" t="s">
        <v>2593</v>
      </c>
      <c r="G145" s="2653"/>
      <c r="H145" s="2654"/>
      <c r="I145" s="2655" t="s">
        <v>2590</v>
      </c>
      <c r="J145" s="1102">
        <v>8</v>
      </c>
      <c r="K145" s="1103">
        <f>ROUND(100+(J145-J140)*K139*100,1)</f>
        <v>99.2</v>
      </c>
    </row>
    <row r="147" spans="2:11">
      <c r="B147" s="2636" t="s">
        <v>2594</v>
      </c>
    </row>
    <row r="148" spans="2:11">
      <c r="B148" s="2636"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1" priority="15" stopIfTrue="1" operator="containsText" text="超过">
      <formula>NOT(ISERROR(SEARCH("超过",F52)))</formula>
    </cfRule>
  </conditionalFormatting>
  <conditionalFormatting sqref="J54">
    <cfRule type="containsText" dxfId="70" priority="14" stopIfTrue="1" operator="containsText" text="超过">
      <formula>NOT(ISERROR(SEARCH("超过",J54)))</formula>
    </cfRule>
  </conditionalFormatting>
  <conditionalFormatting sqref="H54">
    <cfRule type="containsText" dxfId="69" priority="13" stopIfTrue="1" operator="containsText" text="超过">
      <formula>NOT(ISERROR(SEARCH("超过",H54)))</formula>
    </cfRule>
  </conditionalFormatting>
  <conditionalFormatting sqref="F54">
    <cfRule type="containsText" dxfId="68" priority="12" stopIfTrue="1" operator="containsText" text="超过">
      <formula>NOT(ISERROR(SEARCH("超过",F54)))</formula>
    </cfRule>
  </conditionalFormatting>
  <conditionalFormatting sqref="F53 H53 J53">
    <cfRule type="containsText" dxfId="67" priority="11" stopIfTrue="1" operator="containsText" text="超过">
      <formula>NOT(ISERROR(SEARCH("超过",F53)))</formula>
    </cfRule>
  </conditionalFormatting>
  <conditionalFormatting sqref="E52">
    <cfRule type="expression" dxfId="66" priority="10" stopIfTrue="1">
      <formula>$F$52="超过30%"</formula>
    </cfRule>
  </conditionalFormatting>
  <conditionalFormatting sqref="G54">
    <cfRule type="expression" dxfId="65" priority="8" stopIfTrue="1">
      <formula>$H$54="超过30%"</formula>
    </cfRule>
  </conditionalFormatting>
  <conditionalFormatting sqref="E53">
    <cfRule type="expression" dxfId="64" priority="7" stopIfTrue="1">
      <formula>$F$53="超过20%"</formula>
    </cfRule>
  </conditionalFormatting>
  <conditionalFormatting sqref="E54">
    <cfRule type="expression" dxfId="63" priority="6" stopIfTrue="1">
      <formula>$F$54="超过30%"</formula>
    </cfRule>
  </conditionalFormatting>
  <conditionalFormatting sqref="G52">
    <cfRule type="expression" dxfId="62" priority="5" stopIfTrue="1">
      <formula>$H$52="超过30%"</formula>
    </cfRule>
  </conditionalFormatting>
  <conditionalFormatting sqref="G53">
    <cfRule type="expression" dxfId="61" priority="4" stopIfTrue="1">
      <formula>$H$53="超过20%"</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2482</v>
      </c>
      <c r="B1" s="2668" t="s">
        <v>2656</v>
      </c>
      <c r="C1" s="1620" t="s">
        <v>2484</v>
      </c>
      <c r="D1" s="1621"/>
      <c r="E1" s="1630"/>
      <c r="F1" s="2583"/>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 ca="1">IF(C2="——",ROUND(C43*D3/10000,0),ROUND(C43*D3/10000,0)-D2)</f>
        <v>#DIV/0!</v>
      </c>
      <c r="C2" s="2585"/>
      <c r="D2" s="1125" t="e">
        <f ca="1">SUMIF(INDIRECT("'"&amp;F2&amp;"'"&amp;"!A:A"),"承租人权益价值",INDIRECT("'"&amp;F2&amp;"'"&amp;"!c:c"))</f>
        <v>#REF!</v>
      </c>
      <c r="E2" s="2586" t="s">
        <v>2282</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2283</v>
      </c>
      <c r="B3" s="609" t="e">
        <f ca="1">IF(C2="——",C43,ROUND(B2*10000/D3,0))</f>
        <v>#DIV/0!</v>
      </c>
      <c r="C3" s="400" t="s">
        <v>2598</v>
      </c>
      <c r="D3" s="399">
        <f>IF(D1="",'数据-汇总表'!E3,SUMIF('数据-汇总表'!$C19:$C33,D1,'数据-汇总表'!$E19:$E33))</f>
        <v>2188.58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2599</v>
      </c>
      <c r="B4" s="402"/>
      <c r="C4" s="3182" t="s">
        <v>2600</v>
      </c>
      <c r="D4" s="3183"/>
      <c r="E4" s="3184" t="s">
        <v>2601</v>
      </c>
      <c r="F4" s="3185"/>
      <c r="G4" s="3182" t="s">
        <v>2602</v>
      </c>
      <c r="H4" s="3183"/>
      <c r="I4" s="3182" t="s">
        <v>2603</v>
      </c>
      <c r="J4" s="3183"/>
      <c r="K4" s="610" t="s">
        <v>2604</v>
      </c>
      <c r="L4" s="1131"/>
      <c r="M4" s="1132"/>
      <c r="N4" s="1132"/>
      <c r="O4" s="1132"/>
      <c r="P4" s="3186" t="s">
        <v>2605</v>
      </c>
      <c r="Q4" s="3187"/>
      <c r="R4" s="3168" t="s">
        <v>2601</v>
      </c>
      <c r="S4" s="3169"/>
      <c r="T4" s="3168" t="s">
        <v>2602</v>
      </c>
      <c r="U4" s="3169"/>
      <c r="V4" s="3194" t="s">
        <v>2603</v>
      </c>
      <c r="W4" s="3194"/>
      <c r="X4" s="1813"/>
      <c r="Y4" s="3168" t="s">
        <v>2605</v>
      </c>
      <c r="Z4" s="3169"/>
      <c r="AA4" s="3163" t="s">
        <v>2601</v>
      </c>
      <c r="AB4" s="3164" t="s">
        <v>2602</v>
      </c>
      <c r="AC4" s="3163" t="s">
        <v>2603</v>
      </c>
    </row>
    <row r="5" spans="1:29" ht="15">
      <c r="A5" s="404"/>
      <c r="B5" s="405"/>
      <c r="C5" s="3178" t="s">
        <v>2496</v>
      </c>
      <c r="D5" s="3175"/>
      <c r="E5" s="3172" t="s">
        <v>2497</v>
      </c>
      <c r="F5" s="3173"/>
      <c r="G5" s="3178" t="s">
        <v>2498</v>
      </c>
      <c r="H5" s="3175"/>
      <c r="I5" s="3178" t="s">
        <v>2499</v>
      </c>
      <c r="J5" s="3175"/>
      <c r="K5" s="610"/>
      <c r="L5" s="1131"/>
      <c r="M5" s="1132"/>
      <c r="N5" s="1132"/>
      <c r="O5" s="1132"/>
      <c r="P5" s="3188"/>
      <c r="Q5" s="3189"/>
      <c r="R5" s="3170"/>
      <c r="S5" s="3171"/>
      <c r="T5" s="3170"/>
      <c r="U5" s="3171"/>
      <c r="V5" s="3194"/>
      <c r="W5" s="3194"/>
      <c r="X5" s="1813"/>
      <c r="Y5" s="3170"/>
      <c r="Z5" s="3171"/>
      <c r="AA5" s="3164"/>
      <c r="AB5" s="3164"/>
      <c r="AC5" s="3164"/>
    </row>
    <row r="6" spans="1:29" ht="15.75" thickBot="1">
      <c r="A6" s="406"/>
      <c r="B6" s="407"/>
      <c r="C6" s="3176" t="s">
        <v>2500</v>
      </c>
      <c r="D6" s="3177"/>
      <c r="E6" s="3179" t="s">
        <v>2500</v>
      </c>
      <c r="F6" s="3180"/>
      <c r="G6" s="3176" t="s">
        <v>2500</v>
      </c>
      <c r="H6" s="3177"/>
      <c r="I6" s="3176" t="s">
        <v>2500</v>
      </c>
      <c r="J6" s="3177"/>
      <c r="K6" s="610" t="s">
        <v>2501</v>
      </c>
      <c r="L6" s="1131"/>
      <c r="M6" s="1132"/>
      <c r="N6" s="1132"/>
      <c r="O6" s="1132"/>
      <c r="P6" s="3190"/>
      <c r="Q6" s="3191"/>
      <c r="R6" s="3170"/>
      <c r="S6" s="3171"/>
      <c r="T6" s="3192"/>
      <c r="U6" s="3193"/>
      <c r="V6" s="3194"/>
      <c r="W6" s="3194"/>
      <c r="X6" s="1813"/>
      <c r="Y6" s="3192"/>
      <c r="Z6" s="3193"/>
      <c r="AA6" s="3165"/>
      <c r="AB6" s="3165"/>
      <c r="AC6" s="3165"/>
    </row>
    <row r="7" spans="1:29" s="117" customFormat="1" ht="15.75" thickBot="1">
      <c r="A7" s="408" t="s">
        <v>2502</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66" t="s">
        <v>2503</v>
      </c>
      <c r="Q7" s="3195"/>
      <c r="R7" s="768" t="s">
        <v>17</v>
      </c>
      <c r="S7" s="769">
        <f t="shared" ref="S7:S15" si="0">F7</f>
        <v>0</v>
      </c>
      <c r="T7" s="768" t="s">
        <v>17</v>
      </c>
      <c r="U7" s="769">
        <f t="shared" ref="U7:U15" si="1">H7</f>
        <v>0</v>
      </c>
      <c r="V7" s="768" t="s">
        <v>17</v>
      </c>
      <c r="W7" s="769">
        <f t="shared" ref="W7:W15" si="2">J7</f>
        <v>0</v>
      </c>
      <c r="X7" s="770"/>
      <c r="Y7" s="3166" t="s">
        <v>2503</v>
      </c>
      <c r="Z7" s="3167"/>
      <c r="AA7" s="771" t="e">
        <f>D7/F7</f>
        <v>#DIV/0!</v>
      </c>
      <c r="AB7" s="771" t="e">
        <f>D7/H7</f>
        <v>#DIV/0!</v>
      </c>
      <c r="AC7" s="771"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66" t="s">
        <v>2506</v>
      </c>
      <c r="Q8" s="3167"/>
      <c r="R8" s="768" t="s">
        <v>17</v>
      </c>
      <c r="S8" s="769">
        <f t="shared" si="0"/>
        <v>0</v>
      </c>
      <c r="T8" s="768" t="s">
        <v>17</v>
      </c>
      <c r="U8" s="769">
        <f t="shared" si="1"/>
        <v>0</v>
      </c>
      <c r="V8" s="768" t="s">
        <v>17</v>
      </c>
      <c r="W8" s="769">
        <f t="shared" si="2"/>
        <v>0</v>
      </c>
      <c r="X8" s="770"/>
      <c r="Y8" s="3166" t="s">
        <v>2506</v>
      </c>
      <c r="Z8" s="3167"/>
      <c r="AA8" s="771" t="e">
        <f t="shared" ref="AA8:AA40" si="3">D8/F8</f>
        <v>#DIV/0!</v>
      </c>
      <c r="AB8" s="771" t="e">
        <f t="shared" ref="AB8:AB40" si="4">D8/H8</f>
        <v>#DIV/0!</v>
      </c>
      <c r="AC8" s="771"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81" t="s">
        <v>2509</v>
      </c>
      <c r="Q9" s="1795" t="str">
        <f t="shared" ref="Q9:Q15" si="6">B9</f>
        <v>用途</v>
      </c>
      <c r="R9" s="768" t="s">
        <v>17</v>
      </c>
      <c r="S9" s="769">
        <f t="shared" si="0"/>
        <v>100</v>
      </c>
      <c r="T9" s="768" t="s">
        <v>17</v>
      </c>
      <c r="U9" s="769">
        <f t="shared" si="1"/>
        <v>100</v>
      </c>
      <c r="V9" s="768" t="s">
        <v>17</v>
      </c>
      <c r="W9" s="769">
        <f t="shared" si="2"/>
        <v>100</v>
      </c>
      <c r="X9" s="770"/>
      <c r="Y9" s="3043" t="s">
        <v>2510</v>
      </c>
      <c r="Z9" s="55" t="str">
        <f t="shared" ref="Z9:Z15" si="7">Q9</f>
        <v>用途</v>
      </c>
      <c r="AA9" s="771">
        <f t="shared" si="3"/>
        <v>1</v>
      </c>
      <c r="AB9" s="771">
        <f t="shared" si="4"/>
        <v>1</v>
      </c>
      <c r="AC9" s="771">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81"/>
      <c r="Q10" s="1795"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81"/>
      <c r="Q11" s="1795"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181"/>
      <c r="Q12" s="1795">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181"/>
      <c r="Q13" s="1795">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181"/>
      <c r="Q14" s="1795">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15">
      <c r="A15" s="440" t="s">
        <v>2513</v>
      </c>
      <c r="B15" s="69" t="s">
        <v>2657</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96" t="s">
        <v>2514</v>
      </c>
      <c r="Q15" s="1810" t="str">
        <f t="shared" si="6"/>
        <v>产业集聚程度</v>
      </c>
      <c r="R15" s="772" t="s">
        <v>17</v>
      </c>
      <c r="S15" s="773">
        <f t="shared" si="0"/>
        <v>100</v>
      </c>
      <c r="T15" s="772" t="s">
        <v>17</v>
      </c>
      <c r="U15" s="773">
        <f t="shared" si="1"/>
        <v>100</v>
      </c>
      <c r="V15" s="772" t="s">
        <v>17</v>
      </c>
      <c r="W15" s="773">
        <f t="shared" si="2"/>
        <v>100</v>
      </c>
      <c r="X15" s="1813"/>
      <c r="Y15" s="3196" t="s">
        <v>2514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97"/>
      <c r="Q16" s="1810"/>
      <c r="R16" s="772"/>
      <c r="S16" s="773"/>
      <c r="T16" s="772"/>
      <c r="U16" s="773"/>
      <c r="V16" s="772"/>
      <c r="W16" s="773"/>
      <c r="X16" s="1813"/>
      <c r="Y16" s="3197"/>
      <c r="Z16" s="1814"/>
      <c r="AA16" s="1811">
        <v>1</v>
      </c>
      <c r="AB16" s="1811">
        <v>1</v>
      </c>
      <c r="AC16" s="1811">
        <v>1</v>
      </c>
    </row>
    <row r="17" spans="1:29" ht="15">
      <c r="A17" s="428"/>
      <c r="B17" s="451" t="s">
        <v>2054</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97"/>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1"/>
      <c r="M18" s="1132"/>
      <c r="N18" s="1132"/>
      <c r="O18" s="1140"/>
      <c r="P18" s="3197"/>
      <c r="Q18" s="1810"/>
      <c r="R18" s="772"/>
      <c r="S18" s="773"/>
      <c r="T18" s="772"/>
      <c r="U18" s="773"/>
      <c r="V18" s="772"/>
      <c r="W18" s="773"/>
      <c r="X18" s="1813"/>
      <c r="Y18" s="3197"/>
      <c r="Z18" s="1814"/>
      <c r="AA18" s="1811">
        <v>1</v>
      </c>
      <c r="AB18" s="1811">
        <v>1</v>
      </c>
      <c r="AC18" s="1811">
        <v>1</v>
      </c>
    </row>
    <row r="19" spans="1:29" ht="15">
      <c r="A19" s="428"/>
      <c r="B19" s="451" t="s">
        <v>2642</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97"/>
      <c r="Q19" s="1810" t="str">
        <f>B19</f>
        <v>公共配套设施</v>
      </c>
      <c r="R19" s="772" t="s">
        <v>17</v>
      </c>
      <c r="S19" s="773">
        <f>F19</f>
        <v>100</v>
      </c>
      <c r="T19" s="772" t="s">
        <v>17</v>
      </c>
      <c r="U19" s="773">
        <f>H19</f>
        <v>100</v>
      </c>
      <c r="V19" s="772" t="s">
        <v>17</v>
      </c>
      <c r="W19" s="773">
        <f>J19</f>
        <v>100</v>
      </c>
      <c r="X19" s="1813"/>
      <c r="Y19" s="319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1"/>
      <c r="M20" s="1132"/>
      <c r="N20" s="1132"/>
      <c r="O20" s="1140"/>
      <c r="P20" s="3197"/>
      <c r="Q20" s="1810"/>
      <c r="R20" s="772"/>
      <c r="S20" s="773"/>
      <c r="T20" s="772"/>
      <c r="U20" s="773"/>
      <c r="V20" s="772"/>
      <c r="W20" s="773"/>
      <c r="X20" s="1813"/>
      <c r="Y20" s="3197"/>
      <c r="Z20" s="1814"/>
      <c r="AA20" s="1811">
        <v>1</v>
      </c>
      <c r="AB20" s="1811">
        <v>1</v>
      </c>
      <c r="AC20" s="1811">
        <v>1</v>
      </c>
    </row>
    <row r="21" spans="1:29" ht="15">
      <c r="A21" s="428"/>
      <c r="B21" s="1385" t="s">
        <v>2643</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97"/>
      <c r="Q21" s="1810" t="str">
        <f>B21</f>
        <v>基础设施水平</v>
      </c>
      <c r="R21" s="772" t="s">
        <v>17</v>
      </c>
      <c r="S21" s="773">
        <f>F21</f>
        <v>100</v>
      </c>
      <c r="T21" s="772" t="s">
        <v>17</v>
      </c>
      <c r="U21" s="773">
        <f>H21</f>
        <v>100</v>
      </c>
      <c r="V21" s="772" t="s">
        <v>17</v>
      </c>
      <c r="W21" s="773">
        <f>J21</f>
        <v>100</v>
      </c>
      <c r="X21" s="1813"/>
      <c r="Y21" s="3197"/>
      <c r="Z21" s="1814" t="str">
        <f>Q21</f>
        <v>基础设施水平</v>
      </c>
      <c r="AA21" s="1811">
        <f t="shared" ref="AA21" si="8">D21/F21</f>
        <v>1</v>
      </c>
      <c r="AB21" s="1811">
        <f t="shared" ref="AB21" si="9">D21/H21</f>
        <v>1</v>
      </c>
      <c r="AC21" s="1811">
        <f t="shared" ref="AC21" si="10">D21/J21</f>
        <v>1</v>
      </c>
    </row>
    <row r="22" spans="1:29" ht="15">
      <c r="A22" s="428"/>
      <c r="B22" s="1385"/>
      <c r="C22" s="2607"/>
      <c r="D22" s="448"/>
      <c r="E22" s="447"/>
      <c r="F22" s="449"/>
      <c r="G22" s="447"/>
      <c r="H22" s="448"/>
      <c r="I22" s="447"/>
      <c r="J22" s="448"/>
      <c r="K22" s="1384"/>
      <c r="L22" s="1141"/>
      <c r="M22" s="1132"/>
      <c r="N22" s="1132"/>
      <c r="O22" s="1140"/>
      <c r="P22" s="3197"/>
      <c r="Q22" s="1810"/>
      <c r="R22" s="772"/>
      <c r="S22" s="773"/>
      <c r="T22" s="772"/>
      <c r="U22" s="773"/>
      <c r="V22" s="772"/>
      <c r="W22" s="773"/>
      <c r="X22" s="1813"/>
      <c r="Y22" s="3197"/>
      <c r="Z22" s="1814"/>
      <c r="AA22" s="1811">
        <v>1</v>
      </c>
      <c r="AB22" s="1811">
        <v>1</v>
      </c>
      <c r="AC22" s="1811">
        <v>1</v>
      </c>
    </row>
    <row r="23" spans="1:29" ht="15">
      <c r="A23" s="428"/>
      <c r="B23" s="451" t="s">
        <v>2644</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97"/>
      <c r="Q23" s="1810" t="str">
        <f>B23</f>
        <v>环境质量</v>
      </c>
      <c r="R23" s="772" t="s">
        <v>17</v>
      </c>
      <c r="S23" s="773">
        <f>F23</f>
        <v>100</v>
      </c>
      <c r="T23" s="772" t="s">
        <v>17</v>
      </c>
      <c r="U23" s="773">
        <f>H23</f>
        <v>100</v>
      </c>
      <c r="V23" s="772" t="s">
        <v>17</v>
      </c>
      <c r="W23" s="773">
        <f>J23</f>
        <v>100</v>
      </c>
      <c r="X23" s="1813"/>
      <c r="Y23" s="3197"/>
      <c r="Z23" s="1814" t="str">
        <f>Q23</f>
        <v>环境质量</v>
      </c>
      <c r="AA23" s="1811">
        <f t="shared" si="3"/>
        <v>1</v>
      </c>
      <c r="AB23" s="1811">
        <f t="shared" si="4"/>
        <v>1</v>
      </c>
      <c r="AC23" s="1811">
        <f t="shared" si="5"/>
        <v>1</v>
      </c>
    </row>
    <row r="24" spans="1:29" ht="15">
      <c r="A24" s="428"/>
      <c r="B24" s="1385"/>
      <c r="C24" s="447"/>
      <c r="D24" s="448"/>
      <c r="E24" s="2604"/>
      <c r="F24" s="449"/>
      <c r="G24" s="2603"/>
      <c r="H24" s="448"/>
      <c r="I24" s="2604"/>
      <c r="J24" s="448"/>
      <c r="K24" s="615"/>
      <c r="L24" s="1141"/>
      <c r="M24" s="1132"/>
      <c r="N24" s="1132"/>
      <c r="O24" s="1140"/>
      <c r="P24" s="3197"/>
      <c r="Q24" s="1810"/>
      <c r="R24" s="772"/>
      <c r="S24" s="773"/>
      <c r="T24" s="772"/>
      <c r="U24" s="773"/>
      <c r="V24" s="772"/>
      <c r="W24" s="773"/>
      <c r="X24" s="1813"/>
      <c r="Y24" s="3197"/>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97"/>
      <c r="Q25" s="1810">
        <f>B25</f>
        <v>111</v>
      </c>
      <c r="R25" s="772" t="s">
        <v>17</v>
      </c>
      <c r="S25" s="773">
        <f>F25</f>
        <v>100</v>
      </c>
      <c r="T25" s="772" t="s">
        <v>17</v>
      </c>
      <c r="U25" s="773">
        <f>H25</f>
        <v>100</v>
      </c>
      <c r="V25" s="772" t="s">
        <v>17</v>
      </c>
      <c r="W25" s="773">
        <f>J25</f>
        <v>100</v>
      </c>
      <c r="X25" s="1813"/>
      <c r="Y25" s="3197"/>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97"/>
      <c r="Q26" s="1810">
        <f t="shared" ref="Q26:Q40" si="11">B26</f>
        <v>111</v>
      </c>
      <c r="R26" s="772" t="s">
        <v>17</v>
      </c>
      <c r="S26" s="773">
        <f>F26</f>
        <v>100</v>
      </c>
      <c r="T26" s="772" t="s">
        <v>17</v>
      </c>
      <c r="U26" s="773">
        <f>H26</f>
        <v>100</v>
      </c>
      <c r="V26" s="772" t="s">
        <v>17</v>
      </c>
      <c r="W26" s="773">
        <f>J26</f>
        <v>100</v>
      </c>
      <c r="X26" s="1813"/>
      <c r="Y26" s="3197"/>
      <c r="Z26" s="1814">
        <f>Q26</f>
        <v>111</v>
      </c>
      <c r="AA26" s="1811">
        <f t="shared" si="3"/>
        <v>1</v>
      </c>
      <c r="AB26" s="1811">
        <f t="shared" si="4"/>
        <v>1</v>
      </c>
      <c r="AC26" s="1811">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97"/>
      <c r="Q27" s="1795">
        <f t="shared" si="11"/>
        <v>111</v>
      </c>
      <c r="R27" s="768" t="s">
        <v>17</v>
      </c>
      <c r="S27" s="769">
        <f>F27</f>
        <v>100</v>
      </c>
      <c r="T27" s="768" t="s">
        <v>17</v>
      </c>
      <c r="U27" s="769">
        <f>H27</f>
        <v>100</v>
      </c>
      <c r="V27" s="768" t="s">
        <v>17</v>
      </c>
      <c r="W27" s="769">
        <f>J27</f>
        <v>100</v>
      </c>
      <c r="X27" s="770"/>
      <c r="Y27" s="3197"/>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97"/>
      <c r="Q28" s="1810">
        <f t="shared" si="11"/>
        <v>111</v>
      </c>
      <c r="R28" s="772" t="s">
        <v>17</v>
      </c>
      <c r="S28" s="773">
        <f t="shared" ref="S28:S40" si="12">F28</f>
        <v>100</v>
      </c>
      <c r="T28" s="772" t="s">
        <v>17</v>
      </c>
      <c r="U28" s="773">
        <f t="shared" ref="U28:U40" si="13">H28</f>
        <v>100</v>
      </c>
      <c r="V28" s="772" t="s">
        <v>17</v>
      </c>
      <c r="W28" s="773">
        <f t="shared" ref="W28:W40" si="14">J28</f>
        <v>100</v>
      </c>
      <c r="X28" s="1813"/>
      <c r="Y28" s="3197"/>
      <c r="Z28" s="1814">
        <f t="shared" ref="Z28:Z40" si="15">Q28</f>
        <v>111</v>
      </c>
      <c r="AA28" s="1811">
        <f t="shared" si="3"/>
        <v>1</v>
      </c>
      <c r="AB28" s="1811">
        <f t="shared" si="4"/>
        <v>1</v>
      </c>
      <c r="AC28" s="1811">
        <f t="shared" si="5"/>
        <v>1</v>
      </c>
    </row>
    <row r="29" spans="1:29" ht="28.5">
      <c r="A29" s="466" t="s">
        <v>2517</v>
      </c>
      <c r="B29" s="71" t="s">
        <v>2647</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198" t="s">
        <v>2519</v>
      </c>
      <c r="Q29" s="1810" t="str">
        <f t="shared" si="11"/>
        <v>建筑类型</v>
      </c>
      <c r="R29" s="772" t="s">
        <v>17</v>
      </c>
      <c r="S29" s="773">
        <f t="shared" si="12"/>
        <v>100</v>
      </c>
      <c r="T29" s="772" t="s">
        <v>17</v>
      </c>
      <c r="U29" s="773">
        <f t="shared" si="13"/>
        <v>100</v>
      </c>
      <c r="V29" s="772" t="s">
        <v>17</v>
      </c>
      <c r="W29" s="773">
        <f t="shared" si="14"/>
        <v>100</v>
      </c>
      <c r="X29" s="1813"/>
      <c r="Y29" s="3199" t="s">
        <v>2519</v>
      </c>
      <c r="Z29" s="1814" t="str">
        <f t="shared" si="15"/>
        <v>建筑类型</v>
      </c>
      <c r="AA29" s="1811">
        <f t="shared" si="3"/>
        <v>1</v>
      </c>
      <c r="AB29" s="1811">
        <f t="shared" si="4"/>
        <v>1</v>
      </c>
      <c r="AC29" s="1811">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99"/>
      <c r="Q30" s="774" t="str">
        <f t="shared" si="11"/>
        <v>项目建筑规模</v>
      </c>
      <c r="R30" s="775" t="s">
        <v>17</v>
      </c>
      <c r="S30" s="776" t="e">
        <f t="shared" si="12"/>
        <v>#N/A</v>
      </c>
      <c r="T30" s="775" t="s">
        <v>17</v>
      </c>
      <c r="U30" s="776" t="e">
        <f t="shared" si="13"/>
        <v>#N/A</v>
      </c>
      <c r="V30" s="775" t="s">
        <v>17</v>
      </c>
      <c r="W30" s="776" t="e">
        <f t="shared" si="14"/>
        <v>#N/A</v>
      </c>
      <c r="X30" s="777"/>
      <c r="Y30" s="3199"/>
      <c r="Z30" s="778" t="str">
        <f t="shared" si="15"/>
        <v>项目建筑规模</v>
      </c>
      <c r="AA30" s="1811" t="e">
        <f t="shared" si="3"/>
        <v>#N/A</v>
      </c>
      <c r="AB30" s="1811" t="e">
        <f t="shared" si="4"/>
        <v>#N/A</v>
      </c>
      <c r="AC30" s="1811"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99"/>
      <c r="Q31" s="1810" t="str">
        <f t="shared" si="11"/>
        <v>建筑结构</v>
      </c>
      <c r="R31" s="772" t="s">
        <v>17</v>
      </c>
      <c r="S31" s="773">
        <f t="shared" si="12"/>
        <v>100</v>
      </c>
      <c r="T31" s="772" t="s">
        <v>17</v>
      </c>
      <c r="U31" s="773">
        <f t="shared" si="13"/>
        <v>100</v>
      </c>
      <c r="V31" s="772" t="s">
        <v>17</v>
      </c>
      <c r="W31" s="773">
        <f t="shared" si="14"/>
        <v>100</v>
      </c>
      <c r="X31" s="1813"/>
      <c r="Y31" s="3199"/>
      <c r="Z31" s="1814" t="str">
        <f t="shared" si="15"/>
        <v>建筑结构</v>
      </c>
      <c r="AA31" s="1811">
        <f t="shared" si="3"/>
        <v>1</v>
      </c>
      <c r="AB31" s="1811">
        <f t="shared" si="4"/>
        <v>1</v>
      </c>
      <c r="AC31" s="1811">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99"/>
      <c r="Q32" s="1810" t="str">
        <f t="shared" si="11"/>
        <v>公共部分装修</v>
      </c>
      <c r="R32" s="772" t="s">
        <v>17</v>
      </c>
      <c r="S32" s="773">
        <f t="shared" si="12"/>
        <v>100</v>
      </c>
      <c r="T32" s="772" t="s">
        <v>17</v>
      </c>
      <c r="U32" s="773">
        <f t="shared" si="13"/>
        <v>100</v>
      </c>
      <c r="V32" s="772" t="s">
        <v>17</v>
      </c>
      <c r="W32" s="773">
        <f t="shared" si="14"/>
        <v>100</v>
      </c>
      <c r="X32" s="1813"/>
      <c r="Y32" s="3199"/>
      <c r="Z32" s="1814" t="str">
        <f t="shared" si="15"/>
        <v>公共部分装修</v>
      </c>
      <c r="AA32" s="1811">
        <f t="shared" si="3"/>
        <v>1</v>
      </c>
      <c r="AB32" s="1811">
        <f t="shared" si="4"/>
        <v>1</v>
      </c>
      <c r="AC32" s="1811">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99"/>
      <c r="Q33" s="1810" t="str">
        <f t="shared" si="11"/>
        <v>成新度</v>
      </c>
      <c r="R33" s="772" t="s">
        <v>17</v>
      </c>
      <c r="S33" s="773" t="e">
        <f t="shared" si="12"/>
        <v>#N/A</v>
      </c>
      <c r="T33" s="772" t="s">
        <v>17</v>
      </c>
      <c r="U33" s="773" t="e">
        <f t="shared" si="13"/>
        <v>#N/A</v>
      </c>
      <c r="V33" s="772" t="s">
        <v>17</v>
      </c>
      <c r="W33" s="773" t="e">
        <f t="shared" si="14"/>
        <v>#N/A</v>
      </c>
      <c r="X33" s="1813"/>
      <c r="Y33" s="3199"/>
      <c r="Z33" s="1814" t="str">
        <f t="shared" si="15"/>
        <v>成新度</v>
      </c>
      <c r="AA33" s="1811" t="e">
        <f t="shared" si="3"/>
        <v>#N/A</v>
      </c>
      <c r="AB33" s="1811" t="e">
        <f t="shared" si="4"/>
        <v>#N/A</v>
      </c>
      <c r="AC33" s="1811"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99"/>
      <c r="Q34" s="1795" t="str">
        <f t="shared" si="11"/>
        <v>物业管理</v>
      </c>
      <c r="R34" s="768" t="s">
        <v>17</v>
      </c>
      <c r="S34" s="769">
        <f t="shared" si="12"/>
        <v>100</v>
      </c>
      <c r="T34" s="768" t="s">
        <v>17</v>
      </c>
      <c r="U34" s="769">
        <f t="shared" si="13"/>
        <v>100</v>
      </c>
      <c r="V34" s="768" t="s">
        <v>17</v>
      </c>
      <c r="W34" s="769">
        <f t="shared" si="14"/>
        <v>100</v>
      </c>
      <c r="X34" s="770"/>
      <c r="Y34" s="3199"/>
      <c r="Z34" s="55" t="str">
        <f t="shared" si="15"/>
        <v>物业管理</v>
      </c>
      <c r="AA34" s="771">
        <f t="shared" si="3"/>
        <v>1</v>
      </c>
      <c r="AB34" s="771">
        <f t="shared" si="4"/>
        <v>1</v>
      </c>
      <c r="AC34" s="771">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99" t="s">
        <v>2519</v>
      </c>
      <c r="Q35" s="1810" t="str">
        <f t="shared" si="11"/>
        <v>市政基础设施</v>
      </c>
      <c r="R35" s="772" t="s">
        <v>17</v>
      </c>
      <c r="S35" s="773">
        <f t="shared" si="12"/>
        <v>100</v>
      </c>
      <c r="T35" s="772" t="s">
        <v>17</v>
      </c>
      <c r="U35" s="773">
        <f t="shared" si="13"/>
        <v>100</v>
      </c>
      <c r="V35" s="772" t="s">
        <v>17</v>
      </c>
      <c r="W35" s="773">
        <f t="shared" si="14"/>
        <v>100</v>
      </c>
      <c r="X35" s="1813"/>
      <c r="Y35" s="3199" t="s">
        <v>2519</v>
      </c>
      <c r="Z35" s="1814" t="str">
        <f t="shared" si="15"/>
        <v>市政基础设施</v>
      </c>
      <c r="AA35" s="1811">
        <f t="shared" si="3"/>
        <v>1</v>
      </c>
      <c r="AB35" s="1811">
        <f t="shared" si="4"/>
        <v>1</v>
      </c>
      <c r="AC35" s="1811">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99"/>
      <c r="Q36" s="1810" t="str">
        <f t="shared" si="11"/>
        <v>内部装修</v>
      </c>
      <c r="R36" s="772" t="s">
        <v>17</v>
      </c>
      <c r="S36" s="773">
        <f t="shared" si="12"/>
        <v>100</v>
      </c>
      <c r="T36" s="772" t="s">
        <v>17</v>
      </c>
      <c r="U36" s="773">
        <f t="shared" si="13"/>
        <v>100</v>
      </c>
      <c r="V36" s="772" t="s">
        <v>17</v>
      </c>
      <c r="W36" s="773">
        <f t="shared" si="14"/>
        <v>100</v>
      </c>
      <c r="X36" s="1813"/>
      <c r="Y36" s="3199"/>
      <c r="Z36" s="1814" t="str">
        <f t="shared" si="15"/>
        <v>内部装修</v>
      </c>
      <c r="AA36" s="1811">
        <f t="shared" si="3"/>
        <v>1</v>
      </c>
      <c r="AB36" s="1811">
        <f t="shared" si="4"/>
        <v>1</v>
      </c>
      <c r="AC36" s="1811">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99"/>
      <c r="Q37" s="1810" t="str">
        <f t="shared" si="11"/>
        <v>内部装修状况</v>
      </c>
      <c r="R37" s="772" t="s">
        <v>17</v>
      </c>
      <c r="S37" s="773">
        <f t="shared" si="12"/>
        <v>100</v>
      </c>
      <c r="T37" s="772" t="s">
        <v>17</v>
      </c>
      <c r="U37" s="773">
        <f t="shared" si="13"/>
        <v>100</v>
      </c>
      <c r="V37" s="772" t="s">
        <v>17</v>
      </c>
      <c r="W37" s="773">
        <f t="shared" si="14"/>
        <v>100</v>
      </c>
      <c r="X37" s="1813"/>
      <c r="Y37" s="3199"/>
      <c r="Z37" s="1814" t="str">
        <f t="shared" si="15"/>
        <v>内部装修状况</v>
      </c>
      <c r="AA37" s="1811">
        <f t="shared" si="3"/>
        <v>1</v>
      </c>
      <c r="AB37" s="1811">
        <f t="shared" si="4"/>
        <v>1</v>
      </c>
      <c r="AC37" s="1811">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99"/>
      <c r="Q38" s="774">
        <f t="shared" si="11"/>
        <v>111</v>
      </c>
      <c r="R38" s="775" t="s">
        <v>17</v>
      </c>
      <c r="S38" s="776">
        <f t="shared" si="12"/>
        <v>100</v>
      </c>
      <c r="T38" s="775" t="s">
        <v>17</v>
      </c>
      <c r="U38" s="776">
        <f t="shared" si="13"/>
        <v>100</v>
      </c>
      <c r="V38" s="775" t="s">
        <v>17</v>
      </c>
      <c r="W38" s="776">
        <f t="shared" si="14"/>
        <v>100</v>
      </c>
      <c r="X38" s="777"/>
      <c r="Y38" s="3199"/>
      <c r="Z38" s="778">
        <f t="shared" si="15"/>
        <v>111</v>
      </c>
      <c r="AA38" s="1811">
        <f t="shared" si="3"/>
        <v>1</v>
      </c>
      <c r="AB38" s="1811">
        <f t="shared" si="4"/>
        <v>1</v>
      </c>
      <c r="AC38" s="1811">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99"/>
      <c r="Q39" s="1810">
        <f t="shared" si="11"/>
        <v>111</v>
      </c>
      <c r="R39" s="772" t="s">
        <v>17</v>
      </c>
      <c r="S39" s="773">
        <f t="shared" si="12"/>
        <v>100</v>
      </c>
      <c r="T39" s="772" t="s">
        <v>17</v>
      </c>
      <c r="U39" s="773">
        <f t="shared" si="13"/>
        <v>100</v>
      </c>
      <c r="V39" s="772" t="s">
        <v>17</v>
      </c>
      <c r="W39" s="773">
        <f t="shared" si="14"/>
        <v>100</v>
      </c>
      <c r="X39" s="1813"/>
      <c r="Y39" s="3199"/>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47"/>
      <c r="Q40" s="1810">
        <f t="shared" si="11"/>
        <v>111</v>
      </c>
      <c r="R40" s="772" t="s">
        <v>17</v>
      </c>
      <c r="S40" s="773">
        <f t="shared" si="12"/>
        <v>100</v>
      </c>
      <c r="T40" s="772" t="s">
        <v>17</v>
      </c>
      <c r="U40" s="773">
        <f t="shared" si="13"/>
        <v>100</v>
      </c>
      <c r="V40" s="772" t="s">
        <v>17</v>
      </c>
      <c r="W40" s="773">
        <f t="shared" si="14"/>
        <v>100</v>
      </c>
      <c r="X40" s="1813"/>
      <c r="Y40" s="3247"/>
      <c r="Z40" s="1814">
        <f t="shared" si="15"/>
        <v>111</v>
      </c>
      <c r="AA40" s="1811">
        <f t="shared" si="3"/>
        <v>1</v>
      </c>
      <c r="AB40" s="1811">
        <f t="shared" si="4"/>
        <v>1</v>
      </c>
      <c r="AC40" s="1811">
        <f t="shared" si="5"/>
        <v>1</v>
      </c>
    </row>
    <row r="41" spans="1:29" ht="15">
      <c r="A41" s="479" t="s">
        <v>2531</v>
      </c>
      <c r="B41" s="480"/>
      <c r="C41" s="1408" t="s">
        <v>1</v>
      </c>
      <c r="D41" s="1409"/>
      <c r="E41" s="1410"/>
      <c r="F41" s="1411"/>
      <c r="G41" s="1412"/>
      <c r="H41" s="1413"/>
      <c r="I41" s="1410"/>
      <c r="J41" s="1413"/>
      <c r="K41" s="781"/>
      <c r="L41" s="1144"/>
      <c r="M41" s="1145"/>
      <c r="N41" s="1132"/>
      <c r="O41" s="1145"/>
      <c r="P41" s="3181" t="str">
        <f>A41</f>
        <v>成交单价（元/平方米）</v>
      </c>
      <c r="Q41" s="3181"/>
      <c r="R41" s="3248">
        <f>E41</f>
        <v>0</v>
      </c>
      <c r="S41" s="3248"/>
      <c r="T41" s="3248">
        <f>G41</f>
        <v>0</v>
      </c>
      <c r="U41" s="3248"/>
      <c r="V41" s="3248">
        <f>I41</f>
        <v>0</v>
      </c>
      <c r="W41" s="3248"/>
      <c r="X41" s="757"/>
      <c r="Y41" s="779"/>
      <c r="Z41" s="757"/>
      <c r="AA41" s="757"/>
      <c r="AB41" s="757"/>
      <c r="AC41" s="757"/>
    </row>
    <row r="42" spans="1:29" ht="15.75" thickBot="1">
      <c r="A42" s="486" t="s">
        <v>2623</v>
      </c>
      <c r="B42" s="487"/>
      <c r="C42" s="1414" t="e">
        <f>R43</f>
        <v>#DIV/0!</v>
      </c>
      <c r="D42" s="1415"/>
      <c r="E42" s="1416" t="e">
        <f>R42</f>
        <v>#DIV/0!</v>
      </c>
      <c r="F42" s="1416"/>
      <c r="G42" s="1414" t="e">
        <f>T42</f>
        <v>#DIV/0!</v>
      </c>
      <c r="H42" s="1415"/>
      <c r="I42" s="1416" t="e">
        <f>V42</f>
        <v>#DIV/0!</v>
      </c>
      <c r="J42" s="1415"/>
      <c r="K42" s="782"/>
      <c r="L42" s="1144"/>
      <c r="M42" s="1145"/>
      <c r="N42" s="1132"/>
      <c r="O42" s="1145"/>
      <c r="P42" s="3181" t="str">
        <f>A42</f>
        <v>比较价值（元/平方米）</v>
      </c>
      <c r="Q42" s="3181"/>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7"/>
      <c r="Y42" s="757"/>
      <c r="Z42" s="757"/>
      <c r="AA42" s="757"/>
      <c r="AB42" s="757"/>
      <c r="AC42" s="757"/>
    </row>
    <row r="43" spans="1:29" ht="15.75" thickBot="1">
      <c r="A43" s="492" t="s">
        <v>2624</v>
      </c>
      <c r="B43" s="493"/>
      <c r="C43" s="1418" t="e">
        <f>R43</f>
        <v>#DIV/0!</v>
      </c>
      <c r="D43" s="1418"/>
      <c r="E43" s="1418"/>
      <c r="F43" s="1418"/>
      <c r="G43" s="1418"/>
      <c r="H43" s="1418"/>
      <c r="I43" s="1418"/>
      <c r="J43" s="1418"/>
      <c r="K43" s="783"/>
      <c r="L43" s="1144"/>
      <c r="M43" s="1145"/>
      <c r="N43" s="1145"/>
      <c r="O43" s="1145"/>
      <c r="P43" s="3201" t="str">
        <f>A43</f>
        <v>估价对象XX用房的比较价值（楼面单价，元/平方米）</v>
      </c>
      <c r="Q43" s="3202"/>
      <c r="R43" s="3254" t="e">
        <f>IF(F1="售价",ROUND(AVERAGE(R42:V42),0),ROUND(AVERAGE(R42:V42),1))</f>
        <v>#DIV/0!</v>
      </c>
      <c r="S43" s="3254"/>
      <c r="T43" s="3254"/>
      <c r="U43" s="3254"/>
      <c r="V43" s="3254"/>
      <c r="W43" s="3254"/>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2628</v>
      </c>
      <c r="B51" s="757"/>
      <c r="C51" s="762"/>
      <c r="D51" s="762"/>
      <c r="E51" s="762"/>
      <c r="F51" s="763"/>
      <c r="G51" s="763"/>
      <c r="H51" s="762"/>
      <c r="I51" s="762"/>
      <c r="J51" s="762"/>
      <c r="K51" s="1161"/>
      <c r="L51" s="1162"/>
      <c r="M51" s="1160"/>
      <c r="N51" s="1160"/>
      <c r="O51" s="1160"/>
      <c r="P51" s="503"/>
      <c r="Q51" s="504"/>
    </row>
    <row r="52" spans="1:17" s="508" customFormat="1" ht="15">
      <c r="A52" s="505" t="s">
        <v>2502</v>
      </c>
      <c r="B52" s="506"/>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2606</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2542</v>
      </c>
      <c r="B57" s="528" t="s">
        <v>2508</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2511</v>
      </c>
      <c r="C59" s="539" t="s">
        <v>2543</v>
      </c>
      <c r="D59" s="539" t="s">
        <v>2544</v>
      </c>
      <c r="E59" s="539" t="s">
        <v>2545</v>
      </c>
      <c r="F59" s="539" t="s">
        <v>2546</v>
      </c>
      <c r="G59" s="539" t="s">
        <v>2547</v>
      </c>
      <c r="H59" s="539" t="s">
        <v>2548</v>
      </c>
      <c r="I59" s="539" t="s">
        <v>2549</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2513</v>
      </c>
      <c r="B70" s="528" t="s">
        <v>2659</v>
      </c>
      <c r="C70" s="573" t="s">
        <v>2551</v>
      </c>
      <c r="D70" s="573" t="s">
        <v>2552</v>
      </c>
      <c r="E70" s="573" t="s">
        <v>2553</v>
      </c>
      <c r="F70" s="573" t="s">
        <v>2554</v>
      </c>
      <c r="G70" s="573" t="s">
        <v>2555</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5"/>
      <c r="B87" s="569"/>
      <c r="C87" s="570"/>
      <c r="D87" s="570"/>
      <c r="E87" s="570"/>
      <c r="F87" s="570"/>
      <c r="G87" s="591"/>
      <c r="H87" s="591"/>
      <c r="I87" s="591"/>
      <c r="J87" s="591"/>
      <c r="K87" s="591"/>
      <c r="L87" s="591"/>
      <c r="M87" s="592"/>
      <c r="N87" s="1154"/>
      <c r="O87" s="1154"/>
      <c r="P87" s="45"/>
      <c r="Q87" s="504"/>
    </row>
    <row r="88" spans="1:17">
      <c r="A88" s="527" t="s">
        <v>2517</v>
      </c>
      <c r="B88" s="528" t="s">
        <v>2566</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2568</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2570</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2571</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2572</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2574</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2661</v>
      </c>
      <c r="B1" s="1619"/>
      <c r="C1" s="1620" t="s">
        <v>2484</v>
      </c>
      <c r="D1" s="1621"/>
      <c r="E1" s="1622"/>
      <c r="F1" s="2583"/>
      <c r="G1" s="1623" t="s">
        <v>2597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2281</v>
      </c>
      <c r="B2" s="1419" t="e">
        <f ca="1">IF(C2="——",IF(B37="元/平方米",ROUND(C39*D3/10000,0),ROUND(F3*C39/10000,0)),IF(B37="元/平方米",ROUND(C39*D3/10000,0),ROUND(F3*C39/10000,0))-D2)</f>
        <v>#DIV/0!</v>
      </c>
      <c r="C2" s="2585"/>
      <c r="D2" s="1125" t="e">
        <f ca="1">SUMIF(INDIRECT("'"&amp;F2&amp;"'"&amp;"!A:A"),"承租人权益价值",INDIRECT("'"&amp;F2&amp;"'"&amp;"!c:c"))</f>
        <v>#REF!</v>
      </c>
      <c r="E2" s="2586" t="s">
        <v>2282</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2283</v>
      </c>
      <c r="B3" s="609" t="e">
        <f ca="1">IF(AND(C2="——",B37="元/平方米"),C39,ROUND(B2*10000/D3,0))</f>
        <v>#DIV/0!</v>
      </c>
      <c r="C3" s="400" t="s">
        <v>2598</v>
      </c>
      <c r="D3" s="399">
        <f>SUMIF('数据-汇总表'!$C19:$C33,D1,'数据-汇总表'!$E19:$E33)</f>
        <v>0</v>
      </c>
      <c r="E3" s="400" t="s">
        <v>2662</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2599</v>
      </c>
      <c r="B4" s="402"/>
      <c r="C4" s="3182" t="s">
        <v>2600</v>
      </c>
      <c r="D4" s="3183"/>
      <c r="E4" s="3184" t="s">
        <v>2601</v>
      </c>
      <c r="F4" s="3185"/>
      <c r="G4" s="3182" t="s">
        <v>2602</v>
      </c>
      <c r="H4" s="3183"/>
      <c r="I4" s="3182" t="s">
        <v>2603</v>
      </c>
      <c r="J4" s="3183"/>
      <c r="K4" s="610" t="s">
        <v>2604</v>
      </c>
      <c r="L4" s="1131"/>
      <c r="M4" s="1132"/>
      <c r="N4" s="1132"/>
      <c r="O4" s="1132"/>
      <c r="P4" s="3186" t="s">
        <v>2605</v>
      </c>
      <c r="Q4" s="3187"/>
      <c r="R4" s="3168" t="s">
        <v>2601</v>
      </c>
      <c r="S4" s="3169"/>
      <c r="T4" s="3168" t="s">
        <v>2602</v>
      </c>
      <c r="U4" s="3169"/>
      <c r="V4" s="3194" t="s">
        <v>2603</v>
      </c>
      <c r="W4" s="3194"/>
      <c r="X4" s="1813"/>
      <c r="Y4" s="3168" t="s">
        <v>2605</v>
      </c>
      <c r="Z4" s="3169"/>
      <c r="AA4" s="3163" t="s">
        <v>2601</v>
      </c>
      <c r="AB4" s="3164" t="s">
        <v>2602</v>
      </c>
      <c r="AC4" s="3163" t="s">
        <v>2603</v>
      </c>
    </row>
    <row r="5" spans="1:29" ht="15">
      <c r="A5" s="404"/>
      <c r="B5" s="405"/>
      <c r="C5" s="3178" t="s">
        <v>2496</v>
      </c>
      <c r="D5" s="3175"/>
      <c r="E5" s="3172" t="s">
        <v>2497</v>
      </c>
      <c r="F5" s="3173"/>
      <c r="G5" s="3178" t="s">
        <v>2498</v>
      </c>
      <c r="H5" s="3175"/>
      <c r="I5" s="3178" t="s">
        <v>2499</v>
      </c>
      <c r="J5" s="3175"/>
      <c r="K5" s="610"/>
      <c r="L5" s="1131"/>
      <c r="M5" s="1132"/>
      <c r="N5" s="1132"/>
      <c r="O5" s="1132"/>
      <c r="P5" s="3188"/>
      <c r="Q5" s="3189"/>
      <c r="R5" s="3170"/>
      <c r="S5" s="3171"/>
      <c r="T5" s="3170"/>
      <c r="U5" s="3171"/>
      <c r="V5" s="3194"/>
      <c r="W5" s="3194"/>
      <c r="X5" s="1813"/>
      <c r="Y5" s="3170"/>
      <c r="Z5" s="3171"/>
      <c r="AA5" s="3164"/>
      <c r="AB5" s="3164"/>
      <c r="AC5" s="3164"/>
    </row>
    <row r="6" spans="1:29" ht="15.75" thickBot="1">
      <c r="A6" s="406"/>
      <c r="B6" s="407"/>
      <c r="C6" s="3176" t="s">
        <v>2500</v>
      </c>
      <c r="D6" s="3177"/>
      <c r="E6" s="3179" t="s">
        <v>2500</v>
      </c>
      <c r="F6" s="3180"/>
      <c r="G6" s="3176" t="s">
        <v>2500</v>
      </c>
      <c r="H6" s="3177"/>
      <c r="I6" s="3176" t="s">
        <v>2500</v>
      </c>
      <c r="J6" s="3177"/>
      <c r="K6" s="610" t="s">
        <v>2501</v>
      </c>
      <c r="L6" s="1131"/>
      <c r="M6" s="1132"/>
      <c r="N6" s="1132"/>
      <c r="O6" s="1132"/>
      <c r="P6" s="3190"/>
      <c r="Q6" s="3191"/>
      <c r="R6" s="3170"/>
      <c r="S6" s="3171"/>
      <c r="T6" s="3192"/>
      <c r="U6" s="3193"/>
      <c r="V6" s="3194"/>
      <c r="W6" s="3194"/>
      <c r="X6" s="1813"/>
      <c r="Y6" s="3192"/>
      <c r="Z6" s="3193"/>
      <c r="AA6" s="3165"/>
      <c r="AB6" s="3165"/>
      <c r="AC6" s="3165"/>
    </row>
    <row r="7" spans="1:29" s="117" customFormat="1" ht="15.75" thickBot="1">
      <c r="A7" s="408" t="s">
        <v>2502</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66" t="s">
        <v>2503</v>
      </c>
      <c r="Q7" s="3195"/>
      <c r="R7" s="768" t="s">
        <v>17</v>
      </c>
      <c r="S7" s="769">
        <f t="shared" ref="S7:S14" si="0">F7</f>
        <v>0</v>
      </c>
      <c r="T7" s="768" t="s">
        <v>17</v>
      </c>
      <c r="U7" s="769">
        <f t="shared" ref="U7:U14" si="1">H7</f>
        <v>0</v>
      </c>
      <c r="V7" s="768" t="s">
        <v>17</v>
      </c>
      <c r="W7" s="769">
        <f t="shared" ref="W7:W14" si="2">J7</f>
        <v>0</v>
      </c>
      <c r="X7" s="770"/>
      <c r="Y7" s="3166" t="s">
        <v>2503</v>
      </c>
      <c r="Z7" s="3167"/>
      <c r="AA7" s="771" t="e">
        <f>D7/F7</f>
        <v>#DIV/0!</v>
      </c>
      <c r="AB7" s="771" t="e">
        <f>D7/H7</f>
        <v>#DIV/0!</v>
      </c>
      <c r="AC7" s="771" t="e">
        <f>D7/J7</f>
        <v>#DIV/0!</v>
      </c>
    </row>
    <row r="8" spans="1:29" s="117" customFormat="1" ht="15.75" thickBot="1">
      <c r="A8" s="408" t="s">
        <v>2504</v>
      </c>
      <c r="B8" s="409"/>
      <c r="C8" s="414" t="s">
        <v>2606</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66" t="s">
        <v>2506</v>
      </c>
      <c r="Q8" s="3167"/>
      <c r="R8" s="768" t="s">
        <v>17</v>
      </c>
      <c r="S8" s="769">
        <f t="shared" si="0"/>
        <v>0</v>
      </c>
      <c r="T8" s="768" t="s">
        <v>17</v>
      </c>
      <c r="U8" s="769">
        <f t="shared" si="1"/>
        <v>0</v>
      </c>
      <c r="V8" s="768" t="s">
        <v>17</v>
      </c>
      <c r="W8" s="769">
        <f t="shared" si="2"/>
        <v>0</v>
      </c>
      <c r="X8" s="770"/>
      <c r="Y8" s="3166" t="s">
        <v>2506</v>
      </c>
      <c r="Z8" s="3167"/>
      <c r="AA8" s="771" t="e">
        <f t="shared" ref="AA8:AA36" si="3">D8/F8</f>
        <v>#DIV/0!</v>
      </c>
      <c r="AB8" s="771" t="e">
        <f t="shared" ref="AB8:AB36" si="4">D8/H8</f>
        <v>#DIV/0!</v>
      </c>
      <c r="AC8" s="771" t="e">
        <f t="shared" ref="AC8:AC36" si="5">D8/J8</f>
        <v>#DIV/0!</v>
      </c>
    </row>
    <row r="9" spans="1:29" s="117" customFormat="1">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81" t="s">
        <v>2509</v>
      </c>
      <c r="Q9" s="1795" t="str">
        <f t="shared" ref="Q9:Q14" si="6">B9</f>
        <v>用途</v>
      </c>
      <c r="R9" s="768" t="s">
        <v>17</v>
      </c>
      <c r="S9" s="769">
        <f t="shared" si="0"/>
        <v>100</v>
      </c>
      <c r="T9" s="768" t="s">
        <v>17</v>
      </c>
      <c r="U9" s="769">
        <f t="shared" si="1"/>
        <v>100</v>
      </c>
      <c r="V9" s="768" t="s">
        <v>17</v>
      </c>
      <c r="W9" s="769">
        <f t="shared" si="2"/>
        <v>100</v>
      </c>
      <c r="X9" s="770"/>
      <c r="Y9" s="3043" t="s">
        <v>2510</v>
      </c>
      <c r="Z9" s="55" t="str">
        <f t="shared" ref="Z9:Z14" si="7">Q9</f>
        <v>用途</v>
      </c>
      <c r="AA9" s="771">
        <f t="shared" si="3"/>
        <v>1</v>
      </c>
      <c r="AB9" s="771">
        <f t="shared" si="4"/>
        <v>1</v>
      </c>
      <c r="AC9" s="771">
        <f t="shared" si="5"/>
        <v>1</v>
      </c>
    </row>
    <row r="10" spans="1:29" s="427" customFormat="1" ht="27">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81"/>
      <c r="Q10" s="1795"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81"/>
      <c r="Q11" s="1795">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81"/>
      <c r="Q12" s="1795">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81"/>
      <c r="Q13" s="1795">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99.75">
      <c r="A14" s="401" t="s">
        <v>2513</v>
      </c>
      <c r="B14" s="629" t="s">
        <v>2663</v>
      </c>
      <c r="C14" s="2692"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96" t="s">
        <v>2514</v>
      </c>
      <c r="Q14" s="1810" t="str">
        <f t="shared" si="6"/>
        <v>交通便捷度</v>
      </c>
      <c r="R14" s="772" t="s">
        <v>17</v>
      </c>
      <c r="S14" s="773">
        <f t="shared" si="0"/>
        <v>100</v>
      </c>
      <c r="T14" s="772" t="s">
        <v>17</v>
      </c>
      <c r="U14" s="773">
        <f t="shared" si="1"/>
        <v>100</v>
      </c>
      <c r="V14" s="772" t="s">
        <v>17</v>
      </c>
      <c r="W14" s="773">
        <f t="shared" si="2"/>
        <v>100</v>
      </c>
      <c r="X14" s="1813"/>
      <c r="Y14" s="3196" t="s">
        <v>2514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97"/>
      <c r="Q15" s="1810"/>
      <c r="R15" s="772"/>
      <c r="S15" s="773"/>
      <c r="T15" s="772"/>
      <c r="U15" s="773"/>
      <c r="V15" s="772"/>
      <c r="W15" s="773"/>
      <c r="X15" s="1813"/>
      <c r="Y15" s="3197"/>
      <c r="Z15" s="1814"/>
      <c r="AA15" s="1811">
        <v>1</v>
      </c>
      <c r="AB15" s="1811">
        <v>1</v>
      </c>
      <c r="AC15" s="1811">
        <v>1</v>
      </c>
    </row>
    <row r="16" spans="1:29" ht="42.75">
      <c r="A16" s="404"/>
      <c r="B16" s="631" t="s">
        <v>2642</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97"/>
      <c r="Q16" s="1810" t="str">
        <f>B16</f>
        <v>公共配套设施</v>
      </c>
      <c r="R16" s="772" t="s">
        <v>17</v>
      </c>
      <c r="S16" s="773">
        <f>F16</f>
        <v>100</v>
      </c>
      <c r="T16" s="772" t="s">
        <v>17</v>
      </c>
      <c r="U16" s="773">
        <f>H16</f>
        <v>100</v>
      </c>
      <c r="V16" s="772" t="s">
        <v>17</v>
      </c>
      <c r="W16" s="773">
        <f>J16</f>
        <v>100</v>
      </c>
      <c r="X16" s="1813"/>
      <c r="Y16" s="319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1"/>
      <c r="M17" s="1132"/>
      <c r="N17" s="1132"/>
      <c r="O17" s="1132"/>
      <c r="P17" s="3197"/>
      <c r="Q17" s="1810"/>
      <c r="R17" s="772"/>
      <c r="S17" s="773"/>
      <c r="T17" s="772"/>
      <c r="U17" s="773"/>
      <c r="V17" s="772"/>
      <c r="W17" s="773"/>
      <c r="X17" s="1813"/>
      <c r="Y17" s="3197"/>
      <c r="Z17" s="1814"/>
      <c r="AA17" s="1811">
        <v>1</v>
      </c>
      <c r="AB17" s="1811">
        <v>1</v>
      </c>
      <c r="AC17" s="1811">
        <v>1</v>
      </c>
    </row>
    <row r="18" spans="1:29" ht="42.75">
      <c r="A18" s="404"/>
      <c r="B18" s="633" t="s">
        <v>2643</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97"/>
      <c r="Q18" s="1810" t="str">
        <f>B18</f>
        <v>基础设施水平</v>
      </c>
      <c r="R18" s="772" t="s">
        <v>17</v>
      </c>
      <c r="S18" s="773">
        <f>F18</f>
        <v>100</v>
      </c>
      <c r="T18" s="772" t="s">
        <v>17</v>
      </c>
      <c r="U18" s="773">
        <f>H18</f>
        <v>100</v>
      </c>
      <c r="V18" s="772" t="s">
        <v>17</v>
      </c>
      <c r="W18" s="773">
        <f>J18</f>
        <v>100</v>
      </c>
      <c r="X18" s="1813"/>
      <c r="Y18" s="319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4"/>
      <c r="L19" s="1141"/>
      <c r="M19" s="1132"/>
      <c r="N19" s="1132"/>
      <c r="O19" s="1132"/>
      <c r="P19" s="3197"/>
      <c r="Q19" s="1810"/>
      <c r="R19" s="772"/>
      <c r="S19" s="773"/>
      <c r="T19" s="772"/>
      <c r="U19" s="773"/>
      <c r="V19" s="772"/>
      <c r="W19" s="773"/>
      <c r="X19" s="1813"/>
      <c r="Y19" s="3197"/>
      <c r="Z19" s="1814"/>
      <c r="AA19" s="1811">
        <v>1</v>
      </c>
      <c r="AB19" s="1811">
        <v>1</v>
      </c>
      <c r="AC19" s="1811">
        <v>1</v>
      </c>
    </row>
    <row r="20" spans="1:29" ht="57">
      <c r="A20" s="404"/>
      <c r="B20" s="631" t="s">
        <v>2664</v>
      </c>
      <c r="C20" s="2606" t="str">
        <f>IF(B1="工业",估价对象房地状况!G7,估价对象房地状况!C9)</f>
        <v>区域自然环境及人文环境较好；综合评价环境状况较好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97"/>
      <c r="Q20" s="1810" t="str">
        <f>B20</f>
        <v>自然及人文环境</v>
      </c>
      <c r="R20" s="772" t="s">
        <v>17</v>
      </c>
      <c r="S20" s="773">
        <f>F20</f>
        <v>100</v>
      </c>
      <c r="T20" s="772" t="s">
        <v>17</v>
      </c>
      <c r="U20" s="773">
        <f>H20</f>
        <v>100</v>
      </c>
      <c r="V20" s="772" t="s">
        <v>17</v>
      </c>
      <c r="W20" s="773">
        <f>J20</f>
        <v>100</v>
      </c>
      <c r="X20" s="1813"/>
      <c r="Y20" s="319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97"/>
      <c r="Q21" s="1810"/>
      <c r="R21" s="772"/>
      <c r="S21" s="773"/>
      <c r="T21" s="772"/>
      <c r="U21" s="773"/>
      <c r="V21" s="772"/>
      <c r="W21" s="773"/>
      <c r="X21" s="1813"/>
      <c r="Y21" s="3197"/>
      <c r="Z21" s="1814"/>
      <c r="AA21" s="1811">
        <v>1</v>
      </c>
      <c r="AB21" s="1811">
        <v>1</v>
      </c>
      <c r="AC21" s="1811">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97"/>
      <c r="Q22" s="1810" t="str">
        <f>B22</f>
        <v>楼层</v>
      </c>
      <c r="R22" s="772" t="s">
        <v>17</v>
      </c>
      <c r="S22" s="773">
        <f>F22</f>
        <v>100</v>
      </c>
      <c r="T22" s="772" t="s">
        <v>17</v>
      </c>
      <c r="U22" s="773">
        <f>H22</f>
        <v>100</v>
      </c>
      <c r="V22" s="772" t="s">
        <v>17</v>
      </c>
      <c r="W22" s="773">
        <f>J22</f>
        <v>100</v>
      </c>
      <c r="X22" s="1813"/>
      <c r="Y22" s="319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97"/>
      <c r="Q23" s="1810">
        <f>B23</f>
        <v>111</v>
      </c>
      <c r="R23" s="772" t="s">
        <v>17</v>
      </c>
      <c r="S23" s="773">
        <f>F23</f>
        <v>100</v>
      </c>
      <c r="T23" s="772" t="s">
        <v>17</v>
      </c>
      <c r="U23" s="773">
        <f>H23</f>
        <v>100</v>
      </c>
      <c r="V23" s="772" t="s">
        <v>17</v>
      </c>
      <c r="W23" s="773">
        <f>J23</f>
        <v>100</v>
      </c>
      <c r="X23" s="1813"/>
      <c r="Y23" s="319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97"/>
      <c r="Q24" s="1810">
        <f t="shared" ref="Q24:Q36" si="11">B24</f>
        <v>111</v>
      </c>
      <c r="R24" s="772" t="s">
        <v>17</v>
      </c>
      <c r="S24" s="773">
        <f>F24</f>
        <v>100</v>
      </c>
      <c r="T24" s="772" t="s">
        <v>17</v>
      </c>
      <c r="U24" s="773">
        <f>H24</f>
        <v>100</v>
      </c>
      <c r="V24" s="772" t="s">
        <v>17</v>
      </c>
      <c r="W24" s="773">
        <f>J24</f>
        <v>100</v>
      </c>
      <c r="X24" s="1813"/>
      <c r="Y24" s="319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97"/>
      <c r="Q25" s="1795">
        <f t="shared" si="11"/>
        <v>111</v>
      </c>
      <c r="R25" s="768" t="s">
        <v>17</v>
      </c>
      <c r="S25" s="769">
        <f>F25</f>
        <v>100</v>
      </c>
      <c r="T25" s="768" t="s">
        <v>17</v>
      </c>
      <c r="U25" s="769">
        <f>H25</f>
        <v>100</v>
      </c>
      <c r="V25" s="768" t="s">
        <v>17</v>
      </c>
      <c r="W25" s="769">
        <f>J25</f>
        <v>100</v>
      </c>
      <c r="X25" s="770"/>
      <c r="Y25" s="3197"/>
      <c r="Z25" s="55">
        <f>Q25</f>
        <v>111</v>
      </c>
      <c r="AA25" s="1811">
        <f>D25/F25</f>
        <v>1</v>
      </c>
      <c r="AB25" s="1811">
        <f>D25/H25</f>
        <v>1</v>
      </c>
      <c r="AC25" s="1811">
        <f>D25/J25</f>
        <v>1</v>
      </c>
    </row>
    <row r="26" spans="1:29" ht="28.5">
      <c r="A26" s="652" t="s">
        <v>2517</v>
      </c>
      <c r="B26" s="70" t="s">
        <v>2666</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98" t="s">
        <v>2519</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199" t="s">
        <v>2519</v>
      </c>
      <c r="Z26" s="1814" t="str">
        <f t="shared" ref="Z26:Z36" si="15">Q26</f>
        <v>配套类型</v>
      </c>
      <c r="AA26" s="1811">
        <f t="shared" si="3"/>
        <v>1</v>
      </c>
      <c r="AB26" s="1811">
        <f t="shared" si="4"/>
        <v>1</v>
      </c>
      <c r="AC26" s="1811">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99"/>
      <c r="Q27" s="774" t="str">
        <f t="shared" si="11"/>
        <v>项目停车位配比</v>
      </c>
      <c r="R27" s="775" t="s">
        <v>17</v>
      </c>
      <c r="S27" s="776">
        <f t="shared" si="12"/>
        <v>100</v>
      </c>
      <c r="T27" s="775" t="s">
        <v>17</v>
      </c>
      <c r="U27" s="776">
        <f t="shared" si="13"/>
        <v>100</v>
      </c>
      <c r="V27" s="775" t="s">
        <v>17</v>
      </c>
      <c r="W27" s="776">
        <f t="shared" si="14"/>
        <v>100</v>
      </c>
      <c r="X27" s="777"/>
      <c r="Y27" s="3199"/>
      <c r="Z27" s="778" t="str">
        <f t="shared" si="15"/>
        <v>项目停车位配比</v>
      </c>
      <c r="AA27" s="1811">
        <f t="shared" si="3"/>
        <v>1</v>
      </c>
      <c r="AB27" s="1811">
        <f t="shared" si="4"/>
        <v>1</v>
      </c>
      <c r="AC27" s="1811">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99"/>
      <c r="Q28" s="1810" t="str">
        <f t="shared" si="11"/>
        <v>公共部分装修</v>
      </c>
      <c r="R28" s="772" t="s">
        <v>17</v>
      </c>
      <c r="S28" s="773">
        <f t="shared" si="12"/>
        <v>100</v>
      </c>
      <c r="T28" s="772" t="s">
        <v>17</v>
      </c>
      <c r="U28" s="773">
        <f t="shared" si="13"/>
        <v>100</v>
      </c>
      <c r="V28" s="772" t="s">
        <v>17</v>
      </c>
      <c r="W28" s="773">
        <f t="shared" si="14"/>
        <v>100</v>
      </c>
      <c r="X28" s="1813"/>
      <c r="Y28" s="3199"/>
      <c r="Z28" s="1814" t="str">
        <f t="shared" si="15"/>
        <v>公共部分装修</v>
      </c>
      <c r="AA28" s="1811">
        <f t="shared" si="3"/>
        <v>1</v>
      </c>
      <c r="AB28" s="1811">
        <f t="shared" si="4"/>
        <v>1</v>
      </c>
      <c r="AC28" s="1811">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99"/>
      <c r="Q29" s="1810" t="str">
        <f t="shared" si="11"/>
        <v>成新率</v>
      </c>
      <c r="R29" s="772" t="s">
        <v>17</v>
      </c>
      <c r="S29" s="773" t="e">
        <f t="shared" si="12"/>
        <v>#N/A</v>
      </c>
      <c r="T29" s="772" t="s">
        <v>17</v>
      </c>
      <c r="U29" s="773" t="e">
        <f t="shared" si="13"/>
        <v>#N/A</v>
      </c>
      <c r="V29" s="772" t="s">
        <v>17</v>
      </c>
      <c r="W29" s="773" t="e">
        <f t="shared" si="14"/>
        <v>#N/A</v>
      </c>
      <c r="X29" s="1813"/>
      <c r="Y29" s="3199"/>
      <c r="Z29" s="1814" t="str">
        <f t="shared" si="15"/>
        <v>成新率</v>
      </c>
      <c r="AA29" s="1811" t="e">
        <f t="shared" si="3"/>
        <v>#N/A</v>
      </c>
      <c r="AB29" s="1811" t="e">
        <f t="shared" si="4"/>
        <v>#N/A</v>
      </c>
      <c r="AC29" s="1811"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99"/>
      <c r="Q30" s="1810" t="str">
        <f t="shared" si="11"/>
        <v>物业等级</v>
      </c>
      <c r="R30" s="772" t="s">
        <v>17</v>
      </c>
      <c r="S30" s="773">
        <f t="shared" si="12"/>
        <v>100</v>
      </c>
      <c r="T30" s="772" t="s">
        <v>17</v>
      </c>
      <c r="U30" s="773">
        <f t="shared" si="13"/>
        <v>100</v>
      </c>
      <c r="V30" s="772" t="s">
        <v>17</v>
      </c>
      <c r="W30" s="773">
        <f t="shared" si="14"/>
        <v>100</v>
      </c>
      <c r="X30" s="1813"/>
      <c r="Y30" s="3199"/>
      <c r="Z30" s="1814" t="str">
        <f t="shared" si="15"/>
        <v>物业等级</v>
      </c>
      <c r="AA30" s="1811">
        <f t="shared" si="3"/>
        <v>1</v>
      </c>
      <c r="AB30" s="1811">
        <f t="shared" si="4"/>
        <v>1</v>
      </c>
      <c r="AC30" s="1811">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99"/>
      <c r="Q31" s="1795" t="str">
        <f t="shared" si="11"/>
        <v>停车位面积</v>
      </c>
      <c r="R31" s="768" t="s">
        <v>17</v>
      </c>
      <c r="S31" s="769" t="e">
        <f t="shared" si="12"/>
        <v>#N/A</v>
      </c>
      <c r="T31" s="768" t="s">
        <v>17</v>
      </c>
      <c r="U31" s="769" t="e">
        <f t="shared" si="13"/>
        <v>#N/A</v>
      </c>
      <c r="V31" s="768" t="s">
        <v>17</v>
      </c>
      <c r="W31" s="769" t="e">
        <f t="shared" si="14"/>
        <v>#N/A</v>
      </c>
      <c r="X31" s="770"/>
      <c r="Y31" s="3199"/>
      <c r="Z31" s="55" t="str">
        <f t="shared" si="15"/>
        <v>停车位面积</v>
      </c>
      <c r="AA31" s="771" t="e">
        <f t="shared" si="3"/>
        <v>#N/A</v>
      </c>
      <c r="AB31" s="771" t="e">
        <f t="shared" si="4"/>
        <v>#N/A</v>
      </c>
      <c r="AC31" s="771"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99" t="s">
        <v>2519</v>
      </c>
      <c r="Q32" s="1810" t="str">
        <f t="shared" si="11"/>
        <v>车位类型</v>
      </c>
      <c r="R32" s="772" t="s">
        <v>17</v>
      </c>
      <c r="S32" s="773">
        <f t="shared" si="12"/>
        <v>100</v>
      </c>
      <c r="T32" s="772" t="s">
        <v>17</v>
      </c>
      <c r="U32" s="773">
        <f t="shared" si="13"/>
        <v>100</v>
      </c>
      <c r="V32" s="772" t="s">
        <v>17</v>
      </c>
      <c r="W32" s="773">
        <f t="shared" si="14"/>
        <v>100</v>
      </c>
      <c r="X32" s="1813"/>
      <c r="Y32" s="3199" t="s">
        <v>2519</v>
      </c>
      <c r="Z32" s="1814" t="str">
        <f t="shared" si="15"/>
        <v>车位类型</v>
      </c>
      <c r="AA32" s="1811">
        <f t="shared" si="3"/>
        <v>1</v>
      </c>
      <c r="AB32" s="1811">
        <f t="shared" si="4"/>
        <v>1</v>
      </c>
      <c r="AC32" s="1811">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99"/>
      <c r="Q33" s="1810" t="str">
        <f t="shared" si="11"/>
        <v>是否直接入户</v>
      </c>
      <c r="R33" s="772" t="s">
        <v>17</v>
      </c>
      <c r="S33" s="773">
        <f t="shared" si="12"/>
        <v>100</v>
      </c>
      <c r="T33" s="772" t="s">
        <v>17</v>
      </c>
      <c r="U33" s="773">
        <f t="shared" si="13"/>
        <v>100</v>
      </c>
      <c r="V33" s="772" t="s">
        <v>17</v>
      </c>
      <c r="W33" s="773">
        <f t="shared" si="14"/>
        <v>100</v>
      </c>
      <c r="X33" s="1813"/>
      <c r="Y33" s="319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99"/>
      <c r="Q34" s="1810">
        <f t="shared" si="11"/>
        <v>111</v>
      </c>
      <c r="R34" s="772" t="s">
        <v>17</v>
      </c>
      <c r="S34" s="773">
        <f t="shared" si="12"/>
        <v>100</v>
      </c>
      <c r="T34" s="772" t="s">
        <v>17</v>
      </c>
      <c r="U34" s="773">
        <f t="shared" si="13"/>
        <v>100</v>
      </c>
      <c r="V34" s="772" t="s">
        <v>17</v>
      </c>
      <c r="W34" s="773">
        <f t="shared" si="14"/>
        <v>100</v>
      </c>
      <c r="X34" s="1813"/>
      <c r="Y34" s="319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99"/>
      <c r="Q35" s="774">
        <f t="shared" si="11"/>
        <v>111</v>
      </c>
      <c r="R35" s="775" t="s">
        <v>17</v>
      </c>
      <c r="S35" s="776">
        <f t="shared" si="12"/>
        <v>100</v>
      </c>
      <c r="T35" s="775" t="s">
        <v>17</v>
      </c>
      <c r="U35" s="776">
        <f t="shared" si="13"/>
        <v>100</v>
      </c>
      <c r="V35" s="775" t="s">
        <v>17</v>
      </c>
      <c r="W35" s="776">
        <f t="shared" si="14"/>
        <v>100</v>
      </c>
      <c r="X35" s="777"/>
      <c r="Y35" s="3199"/>
      <c r="Z35" s="778">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99"/>
      <c r="Q36" s="1810">
        <f t="shared" si="11"/>
        <v>111</v>
      </c>
      <c r="R36" s="772" t="s">
        <v>17</v>
      </c>
      <c r="S36" s="773">
        <f t="shared" si="12"/>
        <v>100</v>
      </c>
      <c r="T36" s="772" t="s">
        <v>17</v>
      </c>
      <c r="U36" s="773">
        <f t="shared" si="13"/>
        <v>100</v>
      </c>
      <c r="V36" s="772" t="s">
        <v>17</v>
      </c>
      <c r="W36" s="773">
        <f t="shared" si="14"/>
        <v>100</v>
      </c>
      <c r="X36" s="1813"/>
      <c r="Y36" s="3199"/>
      <c r="Z36" s="1814">
        <f t="shared" si="15"/>
        <v>111</v>
      </c>
      <c r="AA36" s="1811">
        <f t="shared" si="3"/>
        <v>1</v>
      </c>
      <c r="AB36" s="1811">
        <f t="shared" si="4"/>
        <v>1</v>
      </c>
      <c r="AC36" s="1811">
        <f t="shared" si="5"/>
        <v>1</v>
      </c>
    </row>
    <row r="37" spans="1:29" ht="15">
      <c r="A37" s="479" t="s">
        <v>2674</v>
      </c>
      <c r="B37" s="2694" t="s">
        <v>2675</v>
      </c>
      <c r="C37" s="1408" t="s">
        <v>1</v>
      </c>
      <c r="D37" s="1409"/>
      <c r="E37" s="1410"/>
      <c r="F37" s="1411"/>
      <c r="G37" s="1412"/>
      <c r="H37" s="1413"/>
      <c r="I37" s="1410"/>
      <c r="J37" s="1413"/>
      <c r="K37" s="619"/>
      <c r="L37" s="1144"/>
      <c r="M37" s="1145"/>
      <c r="N37" s="1132"/>
      <c r="O37" s="1145"/>
      <c r="P37" s="3181" t="str">
        <f>A37</f>
        <v>成交单价</v>
      </c>
      <c r="Q37" s="3181"/>
      <c r="R37" s="3248">
        <f>E37</f>
        <v>0</v>
      </c>
      <c r="S37" s="3248"/>
      <c r="T37" s="3248">
        <f>G37</f>
        <v>0</v>
      </c>
      <c r="U37" s="3248"/>
      <c r="V37" s="3248">
        <f>I37</f>
        <v>0</v>
      </c>
      <c r="W37" s="3248"/>
      <c r="X37" s="757"/>
      <c r="Y37" s="779"/>
      <c r="Z37" s="757"/>
      <c r="AA37" s="757"/>
      <c r="AB37" s="757"/>
      <c r="AC37" s="757"/>
    </row>
    <row r="38" spans="1:29" ht="15.75" thickBot="1">
      <c r="A38" s="486" t="s">
        <v>2676</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81" t="str">
        <f>A38</f>
        <v>比较价值（元/平方米）</v>
      </c>
      <c r="Q38" s="3181"/>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7"/>
      <c r="Y38" s="757"/>
      <c r="Z38" s="757"/>
      <c r="AA38" s="757"/>
      <c r="AB38" s="757"/>
      <c r="AC38" s="757"/>
    </row>
    <row r="39" spans="1:29" ht="15.75" thickBot="1">
      <c r="A39" s="492" t="s">
        <v>2677</v>
      </c>
      <c r="B39" s="493"/>
      <c r="C39" s="1418" t="e">
        <f>R39</f>
        <v>#DIV/0!</v>
      </c>
      <c r="D39" s="1418"/>
      <c r="E39" s="1418"/>
      <c r="F39" s="1418"/>
      <c r="G39" s="1418"/>
      <c r="H39" s="1418"/>
      <c r="I39" s="1418"/>
      <c r="J39" s="1418"/>
      <c r="K39" s="621"/>
      <c r="L39" s="1144"/>
      <c r="M39" s="1145"/>
      <c r="N39" s="1145"/>
      <c r="O39" s="1145"/>
      <c r="P39" s="3201" t="str">
        <f>A39</f>
        <v>估价对象XX用房的比较价值（楼面单价，元/平方米）</v>
      </c>
      <c r="Q39" s="3202"/>
      <c r="R39" s="3254" t="e">
        <f>IF(F1="售价",ROUND(AVERAGE(R38:V38),0),ROUND(AVERAGE(R38:V38),1))</f>
        <v>#DIV/0!</v>
      </c>
      <c r="S39" s="3254"/>
      <c r="T39" s="3254"/>
      <c r="U39" s="3254"/>
      <c r="V39" s="3254"/>
      <c r="W39" s="3254"/>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2681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2682</v>
      </c>
      <c r="B48" s="506"/>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2539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2504</v>
      </c>
      <c r="B51" s="510"/>
      <c r="C51" s="522" t="s">
        <v>2606</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2542</v>
      </c>
      <c r="B53" s="528" t="s">
        <v>2508</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2511</v>
      </c>
      <c r="C55" s="539" t="s">
        <v>2543</v>
      </c>
      <c r="D55" s="539" t="s">
        <v>2544</v>
      </c>
      <c r="E55" s="539" t="s">
        <v>2545</v>
      </c>
      <c r="F55" s="539" t="s">
        <v>2546</v>
      </c>
      <c r="G55" s="539" t="s">
        <v>2547</v>
      </c>
      <c r="H55" s="539" t="s">
        <v>2548</v>
      </c>
      <c r="I55" s="539" t="s">
        <v>2549</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2513</v>
      </c>
      <c r="B63" s="528" t="s">
        <v>2556</v>
      </c>
      <c r="C63" s="573" t="s">
        <v>2551</v>
      </c>
      <c r="D63" s="573" t="s">
        <v>2552</v>
      </c>
      <c r="E63" s="573" t="s">
        <v>2553</v>
      </c>
      <c r="F63" s="573" t="s">
        <v>2554</v>
      </c>
      <c r="G63" s="573" t="s">
        <v>2555</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2557</v>
      </c>
      <c r="C65" s="578" t="s">
        <v>2551</v>
      </c>
      <c r="D65" s="578" t="s">
        <v>2552</v>
      </c>
      <c r="E65" s="578" t="s">
        <v>2553</v>
      </c>
      <c r="F65" s="578" t="s">
        <v>2554</v>
      </c>
      <c r="G65" s="578" t="s">
        <v>2555</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2643</v>
      </c>
      <c r="C67" s="660" t="s">
        <v>2629</v>
      </c>
      <c r="D67" s="660" t="s">
        <v>2630</v>
      </c>
      <c r="E67" s="660" t="s">
        <v>2631</v>
      </c>
      <c r="F67" s="660" t="s">
        <v>2632</v>
      </c>
      <c r="G67" s="660" t="s">
        <v>2633</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2563</v>
      </c>
      <c r="C69" s="578" t="s">
        <v>2551</v>
      </c>
      <c r="D69" s="578" t="s">
        <v>2552</v>
      </c>
      <c r="E69" s="578" t="s">
        <v>2553</v>
      </c>
      <c r="F69" s="578" t="s">
        <v>2554</v>
      </c>
      <c r="G69" s="578" t="s">
        <v>2555</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2683</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2517</v>
      </c>
      <c r="B79" s="528" t="s">
        <v>2684</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2685</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2570</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2687</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2689</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2690</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2661</v>
      </c>
      <c r="B1" s="1619"/>
      <c r="C1" s="1620" t="s">
        <v>2484</v>
      </c>
      <c r="D1" s="1621"/>
      <c r="E1" s="1630"/>
      <c r="F1" s="2583"/>
      <c r="G1" s="1631" t="s">
        <v>2597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2281</v>
      </c>
      <c r="B2" s="1419" t="e">
        <f ca="1">IF(C2="——",ROUND(C37*D3/10000,0),ROUND(C37*D3/10000,0)-D2)</f>
        <v>#DIV/0!</v>
      </c>
      <c r="C2" s="2585"/>
      <c r="D2" s="1125" t="e">
        <f ca="1">SUMIF(INDIRECT("'"&amp;F2&amp;"'"&amp;"!A:A"),"承租人权益价值",INDIRECT("'"&amp;F2&amp;"'"&amp;"!c:c"))</f>
        <v>#REF!</v>
      </c>
      <c r="E2" s="2586" t="s">
        <v>2282</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 ca="1">IF(C2="——",C37,ROUND(B2*10000/D3,0))</f>
        <v>#DIV/0!</v>
      </c>
      <c r="C3" s="400" t="s">
        <v>2598</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2599</v>
      </c>
      <c r="B4" s="402"/>
      <c r="C4" s="3182" t="s">
        <v>2600</v>
      </c>
      <c r="D4" s="3183"/>
      <c r="E4" s="3184" t="s">
        <v>2601</v>
      </c>
      <c r="F4" s="3185"/>
      <c r="G4" s="3182" t="s">
        <v>2602</v>
      </c>
      <c r="H4" s="3183"/>
      <c r="I4" s="3182" t="s">
        <v>2603</v>
      </c>
      <c r="J4" s="3183"/>
      <c r="K4" s="610" t="s">
        <v>2604</v>
      </c>
      <c r="L4" s="1131"/>
      <c r="M4" s="1132"/>
      <c r="N4" s="1132"/>
      <c r="O4" s="1132"/>
      <c r="P4" s="3186" t="s">
        <v>2605</v>
      </c>
      <c r="Q4" s="3187"/>
      <c r="R4" s="3168" t="s">
        <v>2601</v>
      </c>
      <c r="S4" s="3169"/>
      <c r="T4" s="3168" t="s">
        <v>2602</v>
      </c>
      <c r="U4" s="3169"/>
      <c r="V4" s="3194" t="s">
        <v>2603</v>
      </c>
      <c r="W4" s="3194"/>
      <c r="X4" s="1813"/>
      <c r="Y4" s="3168" t="s">
        <v>2605</v>
      </c>
      <c r="Z4" s="3169"/>
      <c r="AA4" s="3163" t="s">
        <v>2601</v>
      </c>
      <c r="AB4" s="3164" t="s">
        <v>2602</v>
      </c>
      <c r="AC4" s="3163" t="s">
        <v>2603</v>
      </c>
    </row>
    <row r="5" spans="1:29" ht="15">
      <c r="A5" s="404"/>
      <c r="B5" s="405"/>
      <c r="C5" s="3178" t="s">
        <v>2496</v>
      </c>
      <c r="D5" s="3175"/>
      <c r="E5" s="3172" t="s">
        <v>2497</v>
      </c>
      <c r="F5" s="3173"/>
      <c r="G5" s="3178" t="s">
        <v>2498</v>
      </c>
      <c r="H5" s="3175"/>
      <c r="I5" s="3178" t="s">
        <v>2499</v>
      </c>
      <c r="J5" s="3175"/>
      <c r="K5" s="610"/>
      <c r="L5" s="1131"/>
      <c r="M5" s="1132"/>
      <c r="N5" s="1132"/>
      <c r="O5" s="1132"/>
      <c r="P5" s="3188"/>
      <c r="Q5" s="3189"/>
      <c r="R5" s="3170"/>
      <c r="S5" s="3171"/>
      <c r="T5" s="3170"/>
      <c r="U5" s="3171"/>
      <c r="V5" s="3194"/>
      <c r="W5" s="3194"/>
      <c r="X5" s="1813"/>
      <c r="Y5" s="3170"/>
      <c r="Z5" s="3171"/>
      <c r="AA5" s="3164"/>
      <c r="AB5" s="3164"/>
      <c r="AC5" s="3164"/>
    </row>
    <row r="6" spans="1:29" ht="15.75" thickBot="1">
      <c r="A6" s="406"/>
      <c r="B6" s="407"/>
      <c r="C6" s="3176" t="s">
        <v>2500</v>
      </c>
      <c r="D6" s="3177"/>
      <c r="E6" s="3179" t="s">
        <v>2500</v>
      </c>
      <c r="F6" s="3180"/>
      <c r="G6" s="3176" t="s">
        <v>2500</v>
      </c>
      <c r="H6" s="3177"/>
      <c r="I6" s="3176" t="s">
        <v>2500</v>
      </c>
      <c r="J6" s="3177"/>
      <c r="K6" s="610" t="s">
        <v>2501</v>
      </c>
      <c r="L6" s="1131"/>
      <c r="M6" s="1132"/>
      <c r="N6" s="1132"/>
      <c r="O6" s="1132"/>
      <c r="P6" s="3190"/>
      <c r="Q6" s="3191"/>
      <c r="R6" s="3170"/>
      <c r="S6" s="3171"/>
      <c r="T6" s="3192"/>
      <c r="U6" s="3193"/>
      <c r="V6" s="3194"/>
      <c r="W6" s="3194"/>
      <c r="X6" s="1813"/>
      <c r="Y6" s="3192"/>
      <c r="Z6" s="3193"/>
      <c r="AA6" s="3165"/>
      <c r="AB6" s="3165"/>
      <c r="AC6" s="3165"/>
    </row>
    <row r="7" spans="1:29" s="117" customFormat="1" ht="15.75" thickBot="1">
      <c r="A7" s="408" t="s">
        <v>2502</v>
      </c>
      <c r="B7" s="409"/>
      <c r="C7" s="410">
        <f>'数据-取费表'!B2</f>
        <v>43382</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166" t="s">
        <v>2503</v>
      </c>
      <c r="Q7" s="3195"/>
      <c r="R7" s="768" t="s">
        <v>17</v>
      </c>
      <c r="S7" s="769">
        <f t="shared" ref="S7:S14" si="0">F7</f>
        <v>0</v>
      </c>
      <c r="T7" s="768" t="s">
        <v>17</v>
      </c>
      <c r="U7" s="769">
        <f t="shared" ref="U7:U14" si="1">H7</f>
        <v>0</v>
      </c>
      <c r="V7" s="768" t="s">
        <v>17</v>
      </c>
      <c r="W7" s="769">
        <f t="shared" ref="W7:W14" si="2">J7</f>
        <v>0</v>
      </c>
      <c r="X7" s="770"/>
      <c r="Y7" s="3166" t="s">
        <v>2503</v>
      </c>
      <c r="Z7" s="3167"/>
      <c r="AA7" s="771" t="e">
        <f>D7/F7</f>
        <v>#DIV/0!</v>
      </c>
      <c r="AB7" s="771" t="e">
        <f>D7/H7</f>
        <v>#DIV/0!</v>
      </c>
      <c r="AC7" s="771" t="e">
        <f>D7/J7</f>
        <v>#DIV/0!</v>
      </c>
    </row>
    <row r="8" spans="1:29" s="117" customFormat="1" ht="15.75" thickBot="1">
      <c r="A8" s="408" t="s">
        <v>2504</v>
      </c>
      <c r="B8" s="409"/>
      <c r="C8" s="414" t="s">
        <v>2606</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66" t="s">
        <v>2506</v>
      </c>
      <c r="Q8" s="3167"/>
      <c r="R8" s="768" t="s">
        <v>17</v>
      </c>
      <c r="S8" s="769">
        <f t="shared" si="0"/>
        <v>0</v>
      </c>
      <c r="T8" s="768" t="s">
        <v>17</v>
      </c>
      <c r="U8" s="769">
        <f t="shared" si="1"/>
        <v>0</v>
      </c>
      <c r="V8" s="768" t="s">
        <v>17</v>
      </c>
      <c r="W8" s="769">
        <f t="shared" si="2"/>
        <v>0</v>
      </c>
      <c r="X8" s="770"/>
      <c r="Y8" s="3166" t="s">
        <v>2506</v>
      </c>
      <c r="Z8" s="3167"/>
      <c r="AA8" s="771" t="e">
        <f t="shared" ref="AA8:AA34" si="3">D8/F8</f>
        <v>#DIV/0!</v>
      </c>
      <c r="AB8" s="771" t="e">
        <f t="shared" ref="AB8:AB34" si="4">D8/H8</f>
        <v>#DIV/0!</v>
      </c>
      <c r="AC8" s="771"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81" t="s">
        <v>2509</v>
      </c>
      <c r="Q9" s="1795" t="str">
        <f t="shared" ref="Q9:Q14" si="6">B9</f>
        <v>用途</v>
      </c>
      <c r="R9" s="768" t="s">
        <v>17</v>
      </c>
      <c r="S9" s="769">
        <f t="shared" si="0"/>
        <v>100</v>
      </c>
      <c r="T9" s="768" t="s">
        <v>17</v>
      </c>
      <c r="U9" s="769">
        <f t="shared" si="1"/>
        <v>100</v>
      </c>
      <c r="V9" s="768" t="s">
        <v>17</v>
      </c>
      <c r="W9" s="769">
        <f t="shared" si="2"/>
        <v>100</v>
      </c>
      <c r="X9" s="770"/>
      <c r="Y9" s="3043" t="s">
        <v>2510</v>
      </c>
      <c r="Z9" s="55" t="str">
        <f t="shared" ref="Z9:Z14" si="7">Q9</f>
        <v>用途</v>
      </c>
      <c r="AA9" s="771">
        <f t="shared" si="3"/>
        <v>1</v>
      </c>
      <c r="AB9" s="771">
        <f t="shared" si="4"/>
        <v>1</v>
      </c>
      <c r="AC9" s="771">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81"/>
      <c r="Q10" s="1795"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81"/>
      <c r="Q11" s="1795">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81"/>
      <c r="Q12" s="1795">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181"/>
      <c r="Q13" s="1795">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99.75">
      <c r="A14" s="440" t="s">
        <v>2513</v>
      </c>
      <c r="B14" s="69" t="s">
        <v>2663</v>
      </c>
      <c r="C14" s="2692"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96" t="s">
        <v>2514</v>
      </c>
      <c r="Q14" s="1810" t="str">
        <f t="shared" si="6"/>
        <v>交通便捷度</v>
      </c>
      <c r="R14" s="772" t="s">
        <v>17</v>
      </c>
      <c r="S14" s="773">
        <f t="shared" si="0"/>
        <v>100</v>
      </c>
      <c r="T14" s="772" t="s">
        <v>17</v>
      </c>
      <c r="U14" s="773">
        <f t="shared" si="1"/>
        <v>100</v>
      </c>
      <c r="V14" s="772" t="s">
        <v>17</v>
      </c>
      <c r="W14" s="773">
        <f t="shared" si="2"/>
        <v>100</v>
      </c>
      <c r="X14" s="1813"/>
      <c r="Y14" s="3196" t="s">
        <v>2514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97"/>
      <c r="Q15" s="1810"/>
      <c r="R15" s="772"/>
      <c r="S15" s="773"/>
      <c r="T15" s="772"/>
      <c r="U15" s="773"/>
      <c r="V15" s="772"/>
      <c r="W15" s="773"/>
      <c r="X15" s="1813"/>
      <c r="Y15" s="3197"/>
      <c r="Z15" s="1814"/>
      <c r="AA15" s="1811">
        <v>1</v>
      </c>
      <c r="AB15" s="1811">
        <v>1</v>
      </c>
      <c r="AC15" s="1811">
        <v>1</v>
      </c>
    </row>
    <row r="16" spans="1:29" ht="42.75">
      <c r="A16" s="428"/>
      <c r="B16" s="451" t="s">
        <v>2642</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97"/>
      <c r="Q16" s="1810" t="str">
        <f>B16</f>
        <v>公共配套设施</v>
      </c>
      <c r="R16" s="772" t="s">
        <v>17</v>
      </c>
      <c r="S16" s="773">
        <f>F16</f>
        <v>100</v>
      </c>
      <c r="T16" s="772" t="s">
        <v>17</v>
      </c>
      <c r="U16" s="773">
        <f>H16</f>
        <v>100</v>
      </c>
      <c r="V16" s="772" t="s">
        <v>17</v>
      </c>
      <c r="W16" s="773">
        <f>J16</f>
        <v>100</v>
      </c>
      <c r="X16" s="1813"/>
      <c r="Y16" s="319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1"/>
      <c r="M17" s="1132"/>
      <c r="N17" s="1132"/>
      <c r="O17" s="1140"/>
      <c r="P17" s="3197"/>
      <c r="Q17" s="1810"/>
      <c r="R17" s="772"/>
      <c r="S17" s="773"/>
      <c r="T17" s="772"/>
      <c r="U17" s="773"/>
      <c r="V17" s="772"/>
      <c r="W17" s="773"/>
      <c r="X17" s="1813"/>
      <c r="Y17" s="3197"/>
      <c r="Z17" s="1814"/>
      <c r="AA17" s="1811">
        <v>1</v>
      </c>
      <c r="AB17" s="1811">
        <v>1</v>
      </c>
      <c r="AC17" s="1811">
        <v>1</v>
      </c>
    </row>
    <row r="18" spans="1:29" ht="42.75">
      <c r="A18" s="428"/>
      <c r="B18" s="1385" t="s">
        <v>2643</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97"/>
      <c r="Q18" s="1810" t="str">
        <f>B18</f>
        <v>基础设施水平</v>
      </c>
      <c r="R18" s="772" t="s">
        <v>17</v>
      </c>
      <c r="S18" s="773">
        <f>F18</f>
        <v>100</v>
      </c>
      <c r="T18" s="772" t="s">
        <v>17</v>
      </c>
      <c r="U18" s="773">
        <f>H18</f>
        <v>100</v>
      </c>
      <c r="V18" s="772" t="s">
        <v>17</v>
      </c>
      <c r="W18" s="773">
        <f>J18</f>
        <v>100</v>
      </c>
      <c r="X18" s="1813"/>
      <c r="Y18" s="3197"/>
      <c r="Z18" s="1814" t="str">
        <f>Q18</f>
        <v>基础设施水平</v>
      </c>
      <c r="AA18" s="1811">
        <f t="shared" ref="AA18" si="8">D18/F18</f>
        <v>1</v>
      </c>
      <c r="AB18" s="1811">
        <f t="shared" ref="AB18" si="9">D18/H18</f>
        <v>1</v>
      </c>
      <c r="AC18" s="1811">
        <f t="shared" ref="AC18" si="10">D18/J18</f>
        <v>1</v>
      </c>
    </row>
    <row r="19" spans="1:29" ht="15">
      <c r="A19" s="428"/>
      <c r="B19" s="1385"/>
      <c r="C19" s="2607"/>
      <c r="D19" s="450"/>
      <c r="E19" s="2607"/>
      <c r="F19" s="453"/>
      <c r="G19" s="2607"/>
      <c r="H19" s="448"/>
      <c r="I19" s="447"/>
      <c r="J19" s="448"/>
      <c r="K19" s="1384"/>
      <c r="L19" s="1141"/>
      <c r="M19" s="1132"/>
      <c r="N19" s="1132"/>
      <c r="O19" s="1140"/>
      <c r="P19" s="3197"/>
      <c r="Q19" s="1810"/>
      <c r="R19" s="772"/>
      <c r="S19" s="773"/>
      <c r="T19" s="772"/>
      <c r="U19" s="773"/>
      <c r="V19" s="772"/>
      <c r="W19" s="773"/>
      <c r="X19" s="1813"/>
      <c r="Y19" s="3197"/>
      <c r="Z19" s="1814"/>
      <c r="AA19" s="1811">
        <v>1</v>
      </c>
      <c r="AB19" s="1811">
        <v>1</v>
      </c>
      <c r="AC19" s="1811">
        <v>1</v>
      </c>
    </row>
    <row r="20" spans="1:29" ht="57">
      <c r="A20" s="428"/>
      <c r="B20" s="451" t="s">
        <v>2664</v>
      </c>
      <c r="C20" s="2606" t="str">
        <f>IF(B1="工业",估价对象房地状况!G7,估价对象房地状况!C9)</f>
        <v>区域自然环境及人文环境较好；综合评价环境状况较好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97"/>
      <c r="Q20" s="1810" t="str">
        <f>B20</f>
        <v>自然及人文环境</v>
      </c>
      <c r="R20" s="772" t="s">
        <v>17</v>
      </c>
      <c r="S20" s="773">
        <f>F20</f>
        <v>100</v>
      </c>
      <c r="T20" s="772" t="s">
        <v>17</v>
      </c>
      <c r="U20" s="773">
        <f>H20</f>
        <v>100</v>
      </c>
      <c r="V20" s="772" t="s">
        <v>17</v>
      </c>
      <c r="W20" s="773">
        <f>J20</f>
        <v>100</v>
      </c>
      <c r="X20" s="1813"/>
      <c r="Y20" s="319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97"/>
      <c r="Q21" s="1810"/>
      <c r="R21" s="772"/>
      <c r="S21" s="773"/>
      <c r="T21" s="772"/>
      <c r="U21" s="773"/>
      <c r="V21" s="772"/>
      <c r="W21" s="773"/>
      <c r="X21" s="1813"/>
      <c r="Y21" s="3197"/>
      <c r="Z21" s="1814"/>
      <c r="AA21" s="1811">
        <v>1</v>
      </c>
      <c r="AB21" s="1811">
        <v>1</v>
      </c>
      <c r="AC21" s="1811">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97"/>
      <c r="Q22" s="1810" t="str">
        <f>B22</f>
        <v>楼层</v>
      </c>
      <c r="R22" s="772" t="s">
        <v>17</v>
      </c>
      <c r="S22" s="773">
        <f>F22</f>
        <v>100</v>
      </c>
      <c r="T22" s="772" t="s">
        <v>17</v>
      </c>
      <c r="U22" s="773">
        <f>H22</f>
        <v>100</v>
      </c>
      <c r="V22" s="772" t="s">
        <v>17</v>
      </c>
      <c r="W22" s="773">
        <f>J22</f>
        <v>100</v>
      </c>
      <c r="X22" s="1813"/>
      <c r="Y22" s="319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97"/>
      <c r="Q23" s="1810">
        <f>B23</f>
        <v>111</v>
      </c>
      <c r="R23" s="772" t="s">
        <v>17</v>
      </c>
      <c r="S23" s="773">
        <f>F23</f>
        <v>100</v>
      </c>
      <c r="T23" s="772" t="s">
        <v>17</v>
      </c>
      <c r="U23" s="773">
        <f>H23</f>
        <v>100</v>
      </c>
      <c r="V23" s="772" t="s">
        <v>17</v>
      </c>
      <c r="W23" s="773">
        <f>J23</f>
        <v>100</v>
      </c>
      <c r="X23" s="1813"/>
      <c r="Y23" s="319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97"/>
      <c r="Q24" s="1810">
        <f t="shared" ref="Q24:Q34" si="11">B24</f>
        <v>111</v>
      </c>
      <c r="R24" s="772" t="s">
        <v>17</v>
      </c>
      <c r="S24" s="773">
        <f>F24</f>
        <v>100</v>
      </c>
      <c r="T24" s="772" t="s">
        <v>17</v>
      </c>
      <c r="U24" s="773">
        <f>H24</f>
        <v>100</v>
      </c>
      <c r="V24" s="772" t="s">
        <v>17</v>
      </c>
      <c r="W24" s="773">
        <f>J24</f>
        <v>100</v>
      </c>
      <c r="X24" s="1813"/>
      <c r="Y24" s="319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197"/>
      <c r="Q25" s="1795">
        <f t="shared" si="11"/>
        <v>111</v>
      </c>
      <c r="R25" s="768" t="s">
        <v>17</v>
      </c>
      <c r="S25" s="769">
        <f>F25</f>
        <v>100</v>
      </c>
      <c r="T25" s="768" t="s">
        <v>17</v>
      </c>
      <c r="U25" s="769">
        <f>H25</f>
        <v>100</v>
      </c>
      <c r="V25" s="768" t="s">
        <v>17</v>
      </c>
      <c r="W25" s="769">
        <f>J25</f>
        <v>100</v>
      </c>
      <c r="X25" s="770"/>
      <c r="Y25" s="3197"/>
      <c r="Z25" s="55">
        <f>Q25</f>
        <v>111</v>
      </c>
      <c r="AA25" s="1811">
        <f>D25/F25</f>
        <v>1</v>
      </c>
      <c r="AB25" s="1811">
        <f>D25/H25</f>
        <v>1</v>
      </c>
      <c r="AC25" s="1811">
        <f>D25/J25</f>
        <v>1</v>
      </c>
    </row>
    <row r="26" spans="1:29" ht="28.5">
      <c r="A26" s="466" t="s">
        <v>2517</v>
      </c>
      <c r="B26" s="71" t="s">
        <v>2668</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198" t="s">
        <v>2519</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199" t="s">
        <v>2519</v>
      </c>
      <c r="Z26" s="1814" t="str">
        <f t="shared" ref="Z26:Z34" si="15">Q26</f>
        <v>公共部分装修</v>
      </c>
      <c r="AA26" s="1811">
        <f t="shared" si="3"/>
        <v>1</v>
      </c>
      <c r="AB26" s="1811">
        <f t="shared" si="4"/>
        <v>1</v>
      </c>
      <c r="AC26" s="1811">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99"/>
      <c r="Q27" s="774" t="str">
        <f t="shared" si="11"/>
        <v>成新率</v>
      </c>
      <c r="R27" s="775" t="s">
        <v>17</v>
      </c>
      <c r="S27" s="776" t="e">
        <f t="shared" si="12"/>
        <v>#N/A</v>
      </c>
      <c r="T27" s="775" t="s">
        <v>17</v>
      </c>
      <c r="U27" s="776" t="e">
        <f t="shared" si="13"/>
        <v>#N/A</v>
      </c>
      <c r="V27" s="775" t="s">
        <v>17</v>
      </c>
      <c r="W27" s="776" t="e">
        <f t="shared" si="14"/>
        <v>#N/A</v>
      </c>
      <c r="X27" s="777"/>
      <c r="Y27" s="3199"/>
      <c r="Z27" s="778" t="str">
        <f t="shared" si="15"/>
        <v>成新率</v>
      </c>
      <c r="AA27" s="1811" t="e">
        <f t="shared" si="3"/>
        <v>#N/A</v>
      </c>
      <c r="AB27" s="1811" t="e">
        <f t="shared" si="4"/>
        <v>#N/A</v>
      </c>
      <c r="AC27" s="1811"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99"/>
      <c r="Q28" s="1810" t="str">
        <f t="shared" si="11"/>
        <v>物业等级</v>
      </c>
      <c r="R28" s="772" t="s">
        <v>17</v>
      </c>
      <c r="S28" s="773">
        <f t="shared" si="12"/>
        <v>100</v>
      </c>
      <c r="T28" s="772" t="s">
        <v>17</v>
      </c>
      <c r="U28" s="773">
        <f t="shared" si="13"/>
        <v>100</v>
      </c>
      <c r="V28" s="772" t="s">
        <v>17</v>
      </c>
      <c r="W28" s="773">
        <f t="shared" si="14"/>
        <v>100</v>
      </c>
      <c r="X28" s="1813"/>
      <c r="Y28" s="3199"/>
      <c r="Z28" s="1814" t="str">
        <f t="shared" si="15"/>
        <v>物业等级</v>
      </c>
      <c r="AA28" s="1811">
        <f t="shared" si="3"/>
        <v>1</v>
      </c>
      <c r="AB28" s="1811">
        <f t="shared" si="4"/>
        <v>1</v>
      </c>
      <c r="AC28" s="1811">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99"/>
      <c r="Q29" s="1810" t="str">
        <f t="shared" si="11"/>
        <v>有无电梯</v>
      </c>
      <c r="R29" s="772" t="s">
        <v>17</v>
      </c>
      <c r="S29" s="773">
        <f t="shared" si="12"/>
        <v>100</v>
      </c>
      <c r="T29" s="772" t="s">
        <v>17</v>
      </c>
      <c r="U29" s="773">
        <f t="shared" si="13"/>
        <v>100</v>
      </c>
      <c r="V29" s="772" t="s">
        <v>17</v>
      </c>
      <c r="W29" s="773">
        <f t="shared" si="14"/>
        <v>100</v>
      </c>
      <c r="X29" s="1813"/>
      <c r="Y29" s="3199"/>
      <c r="Z29" s="1814" t="str">
        <f t="shared" si="15"/>
        <v>有无电梯</v>
      </c>
      <c r="AA29" s="1811">
        <f t="shared" si="3"/>
        <v>1</v>
      </c>
      <c r="AB29" s="1811">
        <f t="shared" si="4"/>
        <v>1</v>
      </c>
      <c r="AC29" s="1811">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99"/>
      <c r="Q30" s="1810" t="str">
        <f t="shared" si="11"/>
        <v>建筑面积</v>
      </c>
      <c r="R30" s="772" t="s">
        <v>17</v>
      </c>
      <c r="S30" s="773" t="e">
        <f t="shared" si="12"/>
        <v>#N/A</v>
      </c>
      <c r="T30" s="772" t="s">
        <v>17</v>
      </c>
      <c r="U30" s="773" t="e">
        <f t="shared" si="13"/>
        <v>#N/A</v>
      </c>
      <c r="V30" s="772" t="s">
        <v>17</v>
      </c>
      <c r="W30" s="773" t="e">
        <f t="shared" si="14"/>
        <v>#N/A</v>
      </c>
      <c r="X30" s="1813"/>
      <c r="Y30" s="3199"/>
      <c r="Z30" s="1814" t="str">
        <f t="shared" si="15"/>
        <v>建筑面积</v>
      </c>
      <c r="AA30" s="1811" t="e">
        <f t="shared" si="3"/>
        <v>#N/A</v>
      </c>
      <c r="AB30" s="1811" t="e">
        <f t="shared" si="4"/>
        <v>#N/A</v>
      </c>
      <c r="AC30" s="1811"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99"/>
      <c r="Q31" s="1795" t="str">
        <f t="shared" si="11"/>
        <v>是否封闭</v>
      </c>
      <c r="R31" s="768" t="s">
        <v>17</v>
      </c>
      <c r="S31" s="769">
        <f t="shared" si="12"/>
        <v>100</v>
      </c>
      <c r="T31" s="768" t="s">
        <v>17</v>
      </c>
      <c r="U31" s="769">
        <f t="shared" si="13"/>
        <v>100</v>
      </c>
      <c r="V31" s="768" t="s">
        <v>17</v>
      </c>
      <c r="W31" s="769">
        <f t="shared" si="14"/>
        <v>100</v>
      </c>
      <c r="X31" s="770"/>
      <c r="Y31" s="3199"/>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99" t="s">
        <v>2519</v>
      </c>
      <c r="Q32" s="1810">
        <f t="shared" si="11"/>
        <v>111</v>
      </c>
      <c r="R32" s="772" t="s">
        <v>17</v>
      </c>
      <c r="S32" s="773">
        <f t="shared" si="12"/>
        <v>100</v>
      </c>
      <c r="T32" s="772" t="s">
        <v>17</v>
      </c>
      <c r="U32" s="773">
        <f t="shared" si="13"/>
        <v>100</v>
      </c>
      <c r="V32" s="772" t="s">
        <v>17</v>
      </c>
      <c r="W32" s="773">
        <f t="shared" si="14"/>
        <v>100</v>
      </c>
      <c r="X32" s="1813"/>
      <c r="Y32" s="3199" t="s">
        <v>2519</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99"/>
      <c r="Q33" s="1810">
        <f t="shared" si="11"/>
        <v>111</v>
      </c>
      <c r="R33" s="772" t="s">
        <v>17</v>
      </c>
      <c r="S33" s="773">
        <f t="shared" si="12"/>
        <v>100</v>
      </c>
      <c r="T33" s="772" t="s">
        <v>17</v>
      </c>
      <c r="U33" s="773">
        <f t="shared" si="13"/>
        <v>100</v>
      </c>
      <c r="V33" s="772" t="s">
        <v>17</v>
      </c>
      <c r="W33" s="773">
        <f t="shared" si="14"/>
        <v>100</v>
      </c>
      <c r="X33" s="1813"/>
      <c r="Y33" s="3199"/>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199"/>
      <c r="Q34" s="1810">
        <f t="shared" si="11"/>
        <v>111</v>
      </c>
      <c r="R34" s="772" t="s">
        <v>17</v>
      </c>
      <c r="S34" s="773">
        <f t="shared" si="12"/>
        <v>100</v>
      </c>
      <c r="T34" s="772" t="s">
        <v>17</v>
      </c>
      <c r="U34" s="773">
        <f t="shared" si="13"/>
        <v>100</v>
      </c>
      <c r="V34" s="772" t="s">
        <v>17</v>
      </c>
      <c r="W34" s="773">
        <f t="shared" si="14"/>
        <v>100</v>
      </c>
      <c r="X34" s="1813"/>
      <c r="Y34" s="3199"/>
      <c r="Z34" s="1814">
        <f t="shared" si="15"/>
        <v>111</v>
      </c>
      <c r="AA34" s="1811">
        <f t="shared" si="3"/>
        <v>1</v>
      </c>
      <c r="AB34" s="1811">
        <f t="shared" si="4"/>
        <v>1</v>
      </c>
      <c r="AC34" s="1811">
        <f t="shared" si="5"/>
        <v>1</v>
      </c>
    </row>
    <row r="35" spans="1:29" ht="15">
      <c r="A35" s="479" t="s">
        <v>2531</v>
      </c>
      <c r="B35" s="480"/>
      <c r="C35" s="1408" t="s">
        <v>1</v>
      </c>
      <c r="D35" s="1409"/>
      <c r="E35" s="1410"/>
      <c r="F35" s="1411"/>
      <c r="G35" s="1412"/>
      <c r="H35" s="1413"/>
      <c r="I35" s="1410"/>
      <c r="J35" s="1413"/>
      <c r="K35" s="781"/>
      <c r="L35" s="1144"/>
      <c r="M35" s="1145"/>
      <c r="N35" s="1132"/>
      <c r="O35" s="1145"/>
      <c r="P35" s="3181" t="str">
        <f>A35</f>
        <v>成交单价（元/平方米）</v>
      </c>
      <c r="Q35" s="3181"/>
      <c r="R35" s="3248">
        <f>E35</f>
        <v>0</v>
      </c>
      <c r="S35" s="3248"/>
      <c r="T35" s="3248">
        <f>G35</f>
        <v>0</v>
      </c>
      <c r="U35" s="3248"/>
      <c r="V35" s="3248">
        <f>I35</f>
        <v>0</v>
      </c>
      <c r="W35" s="3248"/>
      <c r="X35" s="757"/>
      <c r="Y35" s="779"/>
      <c r="Z35" s="757"/>
      <c r="AA35" s="757"/>
      <c r="AB35" s="757"/>
      <c r="AC35" s="757"/>
    </row>
    <row r="36" spans="1:29" ht="15.75" thickBot="1">
      <c r="A36" s="486" t="s">
        <v>2623</v>
      </c>
      <c r="B36" s="487"/>
      <c r="C36" s="1414" t="e">
        <f>R37</f>
        <v>#DIV/0!</v>
      </c>
      <c r="D36" s="1415"/>
      <c r="E36" s="1416" t="e">
        <f>R36</f>
        <v>#DIV/0!</v>
      </c>
      <c r="F36" s="1416"/>
      <c r="G36" s="1414" t="e">
        <f>T36</f>
        <v>#DIV/0!</v>
      </c>
      <c r="H36" s="1415"/>
      <c r="I36" s="1416" t="e">
        <f>V36</f>
        <v>#DIV/0!</v>
      </c>
      <c r="J36" s="1415"/>
      <c r="K36" s="782"/>
      <c r="L36" s="1144"/>
      <c r="M36" s="1145"/>
      <c r="N36" s="1132"/>
      <c r="O36" s="1145"/>
      <c r="P36" s="3181" t="str">
        <f>A36</f>
        <v>比较价值（元/平方米）</v>
      </c>
      <c r="Q36" s="3181"/>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7"/>
      <c r="Y36" s="757"/>
      <c r="Z36" s="757"/>
      <c r="AA36" s="757"/>
      <c r="AB36" s="757"/>
      <c r="AC36" s="757"/>
    </row>
    <row r="37" spans="1:29" ht="15.75" thickBot="1">
      <c r="A37" s="492" t="s">
        <v>2624</v>
      </c>
      <c r="B37" s="493"/>
      <c r="C37" s="1418" t="e">
        <f>R37</f>
        <v>#DIV/0!</v>
      </c>
      <c r="D37" s="1418"/>
      <c r="E37" s="1418"/>
      <c r="F37" s="1418"/>
      <c r="G37" s="1418"/>
      <c r="H37" s="1418"/>
      <c r="I37" s="1418"/>
      <c r="J37" s="1418"/>
      <c r="K37" s="783"/>
      <c r="L37" s="1144"/>
      <c r="M37" s="1145"/>
      <c r="N37" s="1145"/>
      <c r="O37" s="1145"/>
      <c r="P37" s="3201" t="str">
        <f>A37</f>
        <v>估价对象XX用房的比较价值（楼面单价，元/平方米）</v>
      </c>
      <c r="Q37" s="3202"/>
      <c r="R37" s="3254" t="e">
        <f>IF(F1="售价",ROUND(AVERAGE(R36:V36),0),ROUND(AVERAGE(R36:V36),1))</f>
        <v>#DIV/0!</v>
      </c>
      <c r="S37" s="3254"/>
      <c r="T37" s="3254"/>
      <c r="U37" s="3254"/>
      <c r="V37" s="3254"/>
      <c r="W37" s="3254"/>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2628</v>
      </c>
      <c r="B45" s="757"/>
      <c r="C45" s="762"/>
      <c r="D45" s="762"/>
      <c r="E45" s="762"/>
      <c r="F45" s="763"/>
      <c r="G45" s="763"/>
      <c r="H45" s="762"/>
      <c r="I45" s="762"/>
      <c r="J45" s="762"/>
      <c r="K45" s="764"/>
      <c r="L45" s="765"/>
      <c r="M45" s="762"/>
      <c r="N45" s="762"/>
      <c r="O45" s="762"/>
      <c r="P45" s="503"/>
      <c r="Q45" s="504"/>
    </row>
    <row r="46" spans="1:29" s="508" customFormat="1" ht="15">
      <c r="A46" s="505" t="s">
        <v>2502</v>
      </c>
      <c r="B46" s="506"/>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2606</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2542</v>
      </c>
      <c r="B51" s="528" t="s">
        <v>2508</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2511</v>
      </c>
      <c r="C53" s="539" t="s">
        <v>2543</v>
      </c>
      <c r="D53" s="539" t="s">
        <v>2544</v>
      </c>
      <c r="E53" s="539" t="s">
        <v>2545</v>
      </c>
      <c r="F53" s="539" t="s">
        <v>2546</v>
      </c>
      <c r="G53" s="539" t="s">
        <v>2547</v>
      </c>
      <c r="H53" s="539" t="s">
        <v>2548</v>
      </c>
      <c r="I53" s="539" t="s">
        <v>2549</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2513</v>
      </c>
      <c r="B61" s="528" t="s">
        <v>2556</v>
      </c>
      <c r="C61" s="573" t="s">
        <v>2551</v>
      </c>
      <c r="D61" s="573" t="s">
        <v>2552</v>
      </c>
      <c r="E61" s="573" t="s">
        <v>2553</v>
      </c>
      <c r="F61" s="573" t="s">
        <v>2554</v>
      </c>
      <c r="G61" s="573" t="s">
        <v>2555</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2683</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2517</v>
      </c>
      <c r="B77" s="528" t="s">
        <v>2570</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2687</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2695</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2697</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2281</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2283</v>
      </c>
      <c r="B3" s="609" t="e">
        <f>ROUND(IF(D3="",B2*10000/'数据-汇总表'!E3,B2*10000/D3),0)</f>
        <v>#DIV/0!</v>
      </c>
      <c r="C3" s="247" t="s">
        <v>2700</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2599</v>
      </c>
      <c r="B4" s="402"/>
      <c r="C4" s="3182" t="s">
        <v>2600</v>
      </c>
      <c r="D4" s="3183"/>
      <c r="E4" s="3184" t="s">
        <v>2601</v>
      </c>
      <c r="F4" s="3185"/>
      <c r="G4" s="3182" t="s">
        <v>2602</v>
      </c>
      <c r="H4" s="3183"/>
      <c r="I4" s="3182" t="s">
        <v>2603</v>
      </c>
      <c r="J4" s="3183"/>
      <c r="K4" s="610" t="s">
        <v>2604</v>
      </c>
      <c r="L4" s="1131"/>
      <c r="M4" s="1132"/>
      <c r="N4" s="1132"/>
      <c r="O4" s="1132"/>
      <c r="P4" s="3186" t="s">
        <v>2605</v>
      </c>
      <c r="Q4" s="3187"/>
      <c r="R4" s="3168" t="s">
        <v>2601</v>
      </c>
      <c r="S4" s="3169"/>
      <c r="T4" s="3168" t="s">
        <v>2602</v>
      </c>
      <c r="U4" s="3169"/>
      <c r="V4" s="3194" t="s">
        <v>2603</v>
      </c>
      <c r="W4" s="3194"/>
      <c r="X4" s="1813"/>
      <c r="Y4" s="3168" t="s">
        <v>2605</v>
      </c>
      <c r="Z4" s="3169"/>
      <c r="AA4" s="3163" t="s">
        <v>2601</v>
      </c>
      <c r="AB4" s="3164" t="s">
        <v>2602</v>
      </c>
      <c r="AC4" s="3163" t="s">
        <v>2603</v>
      </c>
    </row>
    <row r="5" spans="1:29" ht="15">
      <c r="A5" s="404"/>
      <c r="B5" s="405"/>
      <c r="C5" s="3178" t="s">
        <v>2496</v>
      </c>
      <c r="D5" s="3175"/>
      <c r="E5" s="3172" t="s">
        <v>2497</v>
      </c>
      <c r="F5" s="3173"/>
      <c r="G5" s="3178" t="s">
        <v>2498</v>
      </c>
      <c r="H5" s="3175"/>
      <c r="I5" s="3178" t="s">
        <v>2499</v>
      </c>
      <c r="J5" s="3175"/>
      <c r="K5" s="610"/>
      <c r="L5" s="1131"/>
      <c r="M5" s="1132"/>
      <c r="N5" s="1132"/>
      <c r="O5" s="1132"/>
      <c r="P5" s="3188"/>
      <c r="Q5" s="3189"/>
      <c r="R5" s="3170"/>
      <c r="S5" s="3171"/>
      <c r="T5" s="3170"/>
      <c r="U5" s="3171"/>
      <c r="V5" s="3194"/>
      <c r="W5" s="3194"/>
      <c r="X5" s="1813"/>
      <c r="Y5" s="3170"/>
      <c r="Z5" s="3171"/>
      <c r="AA5" s="3164"/>
      <c r="AB5" s="3164"/>
      <c r="AC5" s="3164"/>
    </row>
    <row r="6" spans="1:29" ht="15.75" thickBot="1">
      <c r="A6" s="406"/>
      <c r="B6" s="407"/>
      <c r="C6" s="3282" t="s">
        <v>2750</v>
      </c>
      <c r="D6" s="3283"/>
      <c r="E6" s="3284" t="s">
        <v>2750</v>
      </c>
      <c r="F6" s="3285"/>
      <c r="G6" s="3282" t="s">
        <v>2750</v>
      </c>
      <c r="H6" s="3283"/>
      <c r="I6" s="3282" t="s">
        <v>2750</v>
      </c>
      <c r="J6" s="3283"/>
      <c r="K6" s="610" t="s">
        <v>2501</v>
      </c>
      <c r="L6" s="1131"/>
      <c r="M6" s="1132"/>
      <c r="N6" s="1132"/>
      <c r="O6" s="1132"/>
      <c r="P6" s="3190"/>
      <c r="Q6" s="3191"/>
      <c r="R6" s="3170"/>
      <c r="S6" s="3171"/>
      <c r="T6" s="3192"/>
      <c r="U6" s="3193"/>
      <c r="V6" s="3194"/>
      <c r="W6" s="3194"/>
      <c r="X6" s="1813"/>
      <c r="Y6" s="3192"/>
      <c r="Z6" s="3193"/>
      <c r="AA6" s="3165"/>
      <c r="AB6" s="3165"/>
      <c r="AC6" s="3165"/>
    </row>
    <row r="7" spans="1:29" s="117" customFormat="1" ht="15.75" thickBot="1">
      <c r="A7" s="408" t="s">
        <v>2502</v>
      </c>
      <c r="B7" s="409"/>
      <c r="C7" s="410">
        <f>'数据-取费表'!B2</f>
        <v>43382</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166" t="s">
        <v>2503</v>
      </c>
      <c r="Q7" s="3195"/>
      <c r="R7" s="768" t="s">
        <v>17</v>
      </c>
      <c r="S7" s="769">
        <f t="shared" ref="S7:S15" si="0">F7</f>
        <v>0</v>
      </c>
      <c r="T7" s="768" t="s">
        <v>17</v>
      </c>
      <c r="U7" s="769">
        <f t="shared" ref="U7:U15" si="1">H7</f>
        <v>0</v>
      </c>
      <c r="V7" s="768" t="s">
        <v>17</v>
      </c>
      <c r="W7" s="769">
        <f t="shared" ref="W7:W15" si="2">J7</f>
        <v>0</v>
      </c>
      <c r="X7" s="770"/>
      <c r="Y7" s="3166" t="s">
        <v>2503</v>
      </c>
      <c r="Z7" s="3167"/>
      <c r="AA7" s="771" t="e">
        <f>D7/F7</f>
        <v>#DIV/0!</v>
      </c>
      <c r="AB7" s="771" t="e">
        <f>D7/H7</f>
        <v>#DIV/0!</v>
      </c>
      <c r="AC7" s="771"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66" t="s">
        <v>2506</v>
      </c>
      <c r="Q8" s="3167"/>
      <c r="R8" s="768" t="s">
        <v>17</v>
      </c>
      <c r="S8" s="769">
        <f t="shared" si="0"/>
        <v>0</v>
      </c>
      <c r="T8" s="768" t="s">
        <v>17</v>
      </c>
      <c r="U8" s="769">
        <f t="shared" si="1"/>
        <v>0</v>
      </c>
      <c r="V8" s="768" t="s">
        <v>17</v>
      </c>
      <c r="W8" s="769">
        <f t="shared" si="2"/>
        <v>0</v>
      </c>
      <c r="X8" s="770"/>
      <c r="Y8" s="3166" t="s">
        <v>2506</v>
      </c>
      <c r="Z8" s="3167"/>
      <c r="AA8" s="771" t="e">
        <f t="shared" ref="AA8:AA40" si="3">D8/F8</f>
        <v>#DIV/0!</v>
      </c>
      <c r="AB8" s="771" t="e">
        <f t="shared" ref="AB8:AB40" si="4">D8/H8</f>
        <v>#DIV/0!</v>
      </c>
      <c r="AC8" s="771" t="e">
        <f t="shared" ref="AC8:AC40" si="5">D8/J8</f>
        <v>#DIV/0!</v>
      </c>
    </row>
    <row r="9" spans="1:29" s="117" customFormat="1">
      <c r="A9" s="415" t="s">
        <v>2507</v>
      </c>
      <c r="B9" s="71" t="s">
        <v>2508</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181" t="s">
        <v>2509</v>
      </c>
      <c r="Q9" s="1795" t="str">
        <f t="shared" ref="Q9:Q15" si="6">B9</f>
        <v>用途</v>
      </c>
      <c r="R9" s="768" t="s">
        <v>17</v>
      </c>
      <c r="S9" s="769">
        <f t="shared" si="0"/>
        <v>100</v>
      </c>
      <c r="T9" s="768" t="s">
        <v>17</v>
      </c>
      <c r="U9" s="769">
        <f t="shared" si="1"/>
        <v>100</v>
      </c>
      <c r="V9" s="768" t="s">
        <v>17</v>
      </c>
      <c r="W9" s="769">
        <f t="shared" si="2"/>
        <v>100</v>
      </c>
      <c r="X9" s="770"/>
      <c r="Y9" s="3043" t="s">
        <v>2510</v>
      </c>
      <c r="Z9" s="55" t="str">
        <f t="shared" ref="Z9:Z15" si="7">Q9</f>
        <v>用途</v>
      </c>
      <c r="AA9" s="771">
        <f t="shared" si="3"/>
        <v>1</v>
      </c>
      <c r="AB9" s="771">
        <f t="shared" si="4"/>
        <v>1</v>
      </c>
      <c r="AC9" s="771">
        <f t="shared" si="5"/>
        <v>1</v>
      </c>
    </row>
    <row r="10" spans="1:29" s="427" customFormat="1" ht="27">
      <c r="A10" s="421"/>
      <c r="B10" s="422" t="s">
        <v>2511</v>
      </c>
      <c r="C10" s="432"/>
      <c r="D10" s="136">
        <v>100</v>
      </c>
      <c r="E10" s="432"/>
      <c r="F10" s="136">
        <f>ROUND(100/'数据-取费表'!G16,0)</f>
        <v>135</v>
      </c>
      <c r="G10" s="432"/>
      <c r="H10" s="136">
        <f>ROUND(100/'数据-取费表'!G16,0)</f>
        <v>135</v>
      </c>
      <c r="I10" s="432"/>
      <c r="J10" s="136">
        <f>ROUND(100/'数据-取费表'!G16,0)</f>
        <v>135</v>
      </c>
      <c r="K10" s="672"/>
      <c r="L10" s="1136"/>
      <c r="M10" s="1137"/>
      <c r="N10" s="1137"/>
      <c r="O10" s="1138"/>
      <c r="P10" s="3181"/>
      <c r="Q10" s="1795" t="str">
        <f t="shared" si="6"/>
        <v>土地使用年限（年）</v>
      </c>
      <c r="R10" s="768" t="s">
        <v>17</v>
      </c>
      <c r="S10" s="769">
        <f t="shared" si="0"/>
        <v>135</v>
      </c>
      <c r="T10" s="768" t="s">
        <v>17</v>
      </c>
      <c r="U10" s="769">
        <f t="shared" si="1"/>
        <v>135</v>
      </c>
      <c r="V10" s="768" t="s">
        <v>17</v>
      </c>
      <c r="W10" s="769">
        <f t="shared" si="2"/>
        <v>135</v>
      </c>
      <c r="X10" s="770"/>
      <c r="Y10" s="3043"/>
      <c r="Z10" s="55" t="str">
        <f t="shared" si="7"/>
        <v>土地使用年限（年）</v>
      </c>
      <c r="AA10" s="771">
        <f t="shared" si="3"/>
        <v>0.7407407407407407</v>
      </c>
      <c r="AB10" s="771">
        <f t="shared" si="4"/>
        <v>0.7407407407407407</v>
      </c>
      <c r="AC10" s="771">
        <f t="shared" si="5"/>
        <v>0.7407407407407407</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81"/>
      <c r="Q11" s="1795"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81"/>
      <c r="Q12" s="1795">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81"/>
      <c r="Q13" s="1795">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81"/>
      <c r="Q14" s="1795">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15">
      <c r="A15" s="440" t="s">
        <v>2513</v>
      </c>
      <c r="B15" s="629" t="s">
        <v>2751</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96" t="s">
        <v>2514</v>
      </c>
      <c r="Q15" s="1810" t="str">
        <f t="shared" si="6"/>
        <v>产业集聚程度</v>
      </c>
      <c r="R15" s="772" t="s">
        <v>17</v>
      </c>
      <c r="S15" s="773">
        <f t="shared" si="0"/>
        <v>100</v>
      </c>
      <c r="T15" s="772" t="s">
        <v>17</v>
      </c>
      <c r="U15" s="773">
        <f t="shared" si="1"/>
        <v>100</v>
      </c>
      <c r="V15" s="772" t="s">
        <v>17</v>
      </c>
      <c r="W15" s="773">
        <f t="shared" si="2"/>
        <v>100</v>
      </c>
      <c r="X15" s="1813"/>
      <c r="Y15" s="3196" t="s">
        <v>2514</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1"/>
      <c r="M16" s="1132"/>
      <c r="N16" s="1132"/>
      <c r="O16" s="1140"/>
      <c r="P16" s="3197"/>
      <c r="Q16" s="1810"/>
      <c r="R16" s="772"/>
      <c r="S16" s="773"/>
      <c r="T16" s="772"/>
      <c r="U16" s="773"/>
      <c r="V16" s="772"/>
      <c r="W16" s="773"/>
      <c r="X16" s="1813"/>
      <c r="Y16" s="3197"/>
      <c r="Z16" s="1814"/>
      <c r="AA16" s="1811">
        <v>1</v>
      </c>
      <c r="AB16" s="1811">
        <v>1</v>
      </c>
      <c r="AC16" s="1811">
        <v>1</v>
      </c>
    </row>
    <row r="17" spans="1:29" ht="15">
      <c r="A17" s="428"/>
      <c r="B17" s="631" t="s">
        <v>2663</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97"/>
      <c r="Q17" s="1810" t="str">
        <f>B17</f>
        <v>交通便捷度</v>
      </c>
      <c r="R17" s="772" t="s">
        <v>17</v>
      </c>
      <c r="S17" s="773">
        <f>F17</f>
        <v>100</v>
      </c>
      <c r="T17" s="772" t="s">
        <v>17</v>
      </c>
      <c r="U17" s="773">
        <f>H17</f>
        <v>100</v>
      </c>
      <c r="V17" s="772" t="s">
        <v>17</v>
      </c>
      <c r="W17" s="773">
        <f>J17</f>
        <v>100</v>
      </c>
      <c r="X17" s="1813"/>
      <c r="Y17" s="3197"/>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1"/>
      <c r="M18" s="1132"/>
      <c r="N18" s="1132"/>
      <c r="O18" s="1140"/>
      <c r="P18" s="3197"/>
      <c r="Q18" s="1810"/>
      <c r="R18" s="772"/>
      <c r="S18" s="773"/>
      <c r="T18" s="772"/>
      <c r="U18" s="773"/>
      <c r="V18" s="772"/>
      <c r="W18" s="773"/>
      <c r="X18" s="1813"/>
      <c r="Y18" s="3197"/>
      <c r="Z18" s="1814"/>
      <c r="AA18" s="1811">
        <v>1</v>
      </c>
      <c r="AB18" s="1811">
        <v>1</v>
      </c>
      <c r="AC18" s="1811">
        <v>1</v>
      </c>
    </row>
    <row r="19" spans="1:29" ht="15">
      <c r="A19" s="428"/>
      <c r="B19" s="631" t="s">
        <v>2701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97"/>
      <c r="Q19" s="1810" t="str">
        <f t="shared" ref="Q19:Q33" si="8">B19</f>
        <v>区域土地利用方向</v>
      </c>
      <c r="R19" s="772" t="s">
        <v>17</v>
      </c>
      <c r="S19" s="773">
        <f>F19</f>
        <v>100</v>
      </c>
      <c r="T19" s="772" t="s">
        <v>17</v>
      </c>
      <c r="U19" s="773">
        <f>H19</f>
        <v>100</v>
      </c>
      <c r="V19" s="772" t="s">
        <v>17</v>
      </c>
      <c r="W19" s="773">
        <f>J19</f>
        <v>100</v>
      </c>
      <c r="X19" s="1813"/>
      <c r="Y19" s="3197"/>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0"/>
      <c r="L20" s="1141"/>
      <c r="M20" s="1132"/>
      <c r="N20" s="1132"/>
      <c r="O20" s="1140"/>
      <c r="P20" s="3197"/>
      <c r="Q20" s="1810"/>
      <c r="R20" s="772"/>
      <c r="S20" s="773"/>
      <c r="T20" s="772"/>
      <c r="U20" s="773"/>
      <c r="V20" s="772"/>
      <c r="W20" s="773"/>
      <c r="X20" s="1813"/>
      <c r="Y20" s="3197"/>
      <c r="Z20" s="1814"/>
      <c r="AA20" s="1811"/>
      <c r="AB20" s="1811"/>
      <c r="AC20" s="1811"/>
    </row>
    <row r="21" spans="1:29" ht="15">
      <c r="A21" s="404"/>
      <c r="B21" s="631" t="s">
        <v>2752</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97"/>
      <c r="Q21" s="1810" t="str">
        <f t="shared" si="8"/>
        <v>环境状况</v>
      </c>
      <c r="R21" s="772" t="s">
        <v>17</v>
      </c>
      <c r="S21" s="773">
        <f>F21</f>
        <v>100</v>
      </c>
      <c r="T21" s="772" t="s">
        <v>17</v>
      </c>
      <c r="U21" s="773">
        <f>H21</f>
        <v>100</v>
      </c>
      <c r="V21" s="772" t="s">
        <v>17</v>
      </c>
      <c r="W21" s="773">
        <f>J21</f>
        <v>100</v>
      </c>
      <c r="X21" s="1813"/>
      <c r="Y21" s="3197"/>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1"/>
      <c r="M22" s="1132"/>
      <c r="N22" s="1132"/>
      <c r="O22" s="1140"/>
      <c r="P22" s="3197"/>
      <c r="Q22" s="1810"/>
      <c r="R22" s="772"/>
      <c r="S22" s="773"/>
      <c r="T22" s="772"/>
      <c r="U22" s="773"/>
      <c r="V22" s="772"/>
      <c r="W22" s="773"/>
      <c r="X22" s="1813"/>
      <c r="Y22" s="3197"/>
      <c r="Z22" s="1814"/>
      <c r="AA22" s="1811">
        <v>1</v>
      </c>
      <c r="AB22" s="1811">
        <v>1</v>
      </c>
      <c r="AC22" s="1811">
        <v>1</v>
      </c>
    </row>
    <row r="23" spans="1:29" s="117" customFormat="1" ht="15">
      <c r="A23" s="649"/>
      <c r="B23" s="633" t="s">
        <v>2608</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97"/>
      <c r="Q23" s="1795" t="str">
        <f t="shared" si="8"/>
        <v>公共配套设施</v>
      </c>
      <c r="R23" s="768" t="s">
        <v>17</v>
      </c>
      <c r="S23" s="769">
        <f>F23</f>
        <v>100</v>
      </c>
      <c r="T23" s="768" t="s">
        <v>17</v>
      </c>
      <c r="U23" s="769">
        <f>H23</f>
        <v>100</v>
      </c>
      <c r="V23" s="768" t="s">
        <v>17</v>
      </c>
      <c r="W23" s="769">
        <f>J23</f>
        <v>100</v>
      </c>
      <c r="X23" s="770"/>
      <c r="Y23" s="3197"/>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3"/>
      <c r="M24" s="1134"/>
      <c r="N24" s="1134"/>
      <c r="O24" s="1135"/>
      <c r="P24" s="3197"/>
      <c r="Q24" s="1795"/>
      <c r="R24" s="768"/>
      <c r="S24" s="769"/>
      <c r="T24" s="768"/>
      <c r="U24" s="769"/>
      <c r="V24" s="768"/>
      <c r="W24" s="769"/>
      <c r="X24" s="770"/>
      <c r="Y24" s="3197"/>
      <c r="Z24" s="55"/>
      <c r="AA24" s="771">
        <v>1</v>
      </c>
      <c r="AB24" s="771">
        <v>1</v>
      </c>
      <c r="AC24" s="771">
        <v>1</v>
      </c>
    </row>
    <row r="25" spans="1:29" s="117" customFormat="1" ht="15">
      <c r="A25" s="649"/>
      <c r="B25" s="633" t="s">
        <v>2609</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97"/>
      <c r="Q25" s="1795" t="str">
        <f t="shared" ref="Q25" si="9">B25</f>
        <v>基础设施水平</v>
      </c>
      <c r="R25" s="768" t="s">
        <v>17</v>
      </c>
      <c r="S25" s="769">
        <f>F25</f>
        <v>100</v>
      </c>
      <c r="T25" s="768" t="s">
        <v>17</v>
      </c>
      <c r="U25" s="769">
        <f>H25</f>
        <v>100</v>
      </c>
      <c r="V25" s="768" t="s">
        <v>17</v>
      </c>
      <c r="W25" s="769">
        <f>J25</f>
        <v>100</v>
      </c>
      <c r="X25" s="770"/>
      <c r="Y25" s="3197"/>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3"/>
      <c r="M26" s="1134"/>
      <c r="N26" s="1134"/>
      <c r="O26" s="1135"/>
      <c r="P26" s="3197"/>
      <c r="Q26" s="1795"/>
      <c r="R26" s="768"/>
      <c r="S26" s="769"/>
      <c r="T26" s="768"/>
      <c r="U26" s="769"/>
      <c r="V26" s="768"/>
      <c r="W26" s="769"/>
      <c r="X26" s="770"/>
      <c r="Y26" s="3197"/>
      <c r="Z26" s="55"/>
      <c r="AA26" s="771">
        <v>1</v>
      </c>
      <c r="AB26" s="771">
        <v>1</v>
      </c>
      <c r="AC26" s="771">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97"/>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197"/>
      <c r="Z27" s="1814" t="str">
        <f t="shared" ref="Z27:Z40" si="13">Q27</f>
        <v>临街状况</v>
      </c>
      <c r="AA27" s="1811">
        <f t="shared" si="3"/>
        <v>1</v>
      </c>
      <c r="AB27" s="1811">
        <f t="shared" si="4"/>
        <v>1</v>
      </c>
      <c r="AC27" s="1811">
        <f t="shared" si="5"/>
        <v>1</v>
      </c>
    </row>
    <row r="28" spans="1:29" ht="27">
      <c r="A28" s="428"/>
      <c r="B28" s="633" t="s">
        <v>2645</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97"/>
      <c r="Q28" s="1810" t="str">
        <f t="shared" si="8"/>
        <v>毗邻道路的类型与等级</v>
      </c>
      <c r="R28" s="772" t="s">
        <v>17</v>
      </c>
      <c r="S28" s="773">
        <f t="shared" si="10"/>
        <v>100</v>
      </c>
      <c r="T28" s="772" t="s">
        <v>17</v>
      </c>
      <c r="U28" s="773">
        <f t="shared" si="11"/>
        <v>100</v>
      </c>
      <c r="V28" s="772" t="s">
        <v>17</v>
      </c>
      <c r="W28" s="773">
        <f t="shared" si="12"/>
        <v>100</v>
      </c>
      <c r="X28" s="1813"/>
      <c r="Y28" s="3197"/>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1"/>
      <c r="M29" s="1132"/>
      <c r="N29" s="1132"/>
      <c r="O29" s="1140"/>
      <c r="P29" s="3197"/>
      <c r="Q29" s="1810"/>
      <c r="R29" s="772"/>
      <c r="S29" s="773"/>
      <c r="T29" s="772"/>
      <c r="U29" s="773"/>
      <c r="V29" s="772"/>
      <c r="W29" s="773"/>
      <c r="X29" s="1813"/>
      <c r="Y29" s="3197"/>
      <c r="Z29" s="1814"/>
      <c r="AA29" s="1811">
        <v>1</v>
      </c>
      <c r="AB29" s="1811">
        <v>1</v>
      </c>
      <c r="AC29" s="1811">
        <v>1</v>
      </c>
    </row>
    <row r="30" spans="1:29" ht="15">
      <c r="A30" s="428"/>
      <c r="B30" s="654" t="s">
        <v>2703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97"/>
      <c r="Q30" s="1810" t="str">
        <f t="shared" si="8"/>
        <v>土地级别</v>
      </c>
      <c r="R30" s="772" t="s">
        <v>17</v>
      </c>
      <c r="S30" s="773">
        <f t="shared" si="10"/>
        <v>100</v>
      </c>
      <c r="T30" s="772" t="s">
        <v>17</v>
      </c>
      <c r="U30" s="773">
        <f t="shared" si="11"/>
        <v>100</v>
      </c>
      <c r="V30" s="772" t="s">
        <v>17</v>
      </c>
      <c r="W30" s="773">
        <f t="shared" si="12"/>
        <v>100</v>
      </c>
      <c r="X30" s="1813"/>
      <c r="Y30" s="3197"/>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97"/>
      <c r="Q31" s="1810">
        <f t="shared" si="8"/>
        <v>111</v>
      </c>
      <c r="R31" s="772" t="s">
        <v>17</v>
      </c>
      <c r="S31" s="773">
        <f t="shared" si="10"/>
        <v>100</v>
      </c>
      <c r="T31" s="772" t="s">
        <v>17</v>
      </c>
      <c r="U31" s="773">
        <f t="shared" si="11"/>
        <v>100</v>
      </c>
      <c r="V31" s="772" t="s">
        <v>17</v>
      </c>
      <c r="W31" s="773">
        <f t="shared" si="12"/>
        <v>100</v>
      </c>
      <c r="X31" s="1813"/>
      <c r="Y31" s="3197"/>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198" t="s">
        <v>2519</v>
      </c>
      <c r="Q32" s="1810">
        <f t="shared" si="8"/>
        <v>111</v>
      </c>
      <c r="R32" s="772" t="s">
        <v>17</v>
      </c>
      <c r="S32" s="773">
        <f t="shared" si="10"/>
        <v>100</v>
      </c>
      <c r="T32" s="772" t="s">
        <v>17</v>
      </c>
      <c r="U32" s="773">
        <f t="shared" si="11"/>
        <v>100</v>
      </c>
      <c r="V32" s="772" t="s">
        <v>17</v>
      </c>
      <c r="W32" s="773">
        <f t="shared" si="12"/>
        <v>100</v>
      </c>
      <c r="X32" s="1813"/>
      <c r="Y32" s="3199" t="s">
        <v>2519</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99"/>
      <c r="Q33" s="1810">
        <f t="shared" si="8"/>
        <v>111</v>
      </c>
      <c r="R33" s="775" t="s">
        <v>17</v>
      </c>
      <c r="S33" s="776">
        <f t="shared" si="10"/>
        <v>100</v>
      </c>
      <c r="T33" s="775" t="s">
        <v>17</v>
      </c>
      <c r="U33" s="776">
        <f t="shared" si="11"/>
        <v>100</v>
      </c>
      <c r="V33" s="775" t="s">
        <v>17</v>
      </c>
      <c r="W33" s="776">
        <f t="shared" si="12"/>
        <v>100</v>
      </c>
      <c r="X33" s="777"/>
      <c r="Y33" s="3199"/>
      <c r="Z33" s="778">
        <f t="shared" si="13"/>
        <v>111</v>
      </c>
      <c r="AA33" s="1811">
        <f t="shared" si="3"/>
        <v>1</v>
      </c>
      <c r="AB33" s="1811">
        <f t="shared" si="4"/>
        <v>1</v>
      </c>
      <c r="AC33" s="1811">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99"/>
      <c r="Q34" s="1810" t="str">
        <f>B34</f>
        <v>宗地面积</v>
      </c>
      <c r="R34" s="772" t="s">
        <v>17</v>
      </c>
      <c r="S34" s="773" t="e">
        <f t="shared" si="10"/>
        <v>#N/A</v>
      </c>
      <c r="T34" s="772" t="s">
        <v>17</v>
      </c>
      <c r="U34" s="773" t="e">
        <f t="shared" si="11"/>
        <v>#N/A</v>
      </c>
      <c r="V34" s="772" t="s">
        <v>17</v>
      </c>
      <c r="W34" s="773" t="e">
        <f t="shared" si="12"/>
        <v>#N/A</v>
      </c>
      <c r="X34" s="1813"/>
      <c r="Y34" s="3199"/>
      <c r="Z34" s="1814" t="str">
        <f t="shared" si="13"/>
        <v>宗地面积</v>
      </c>
      <c r="AA34" s="1811" t="e">
        <f t="shared" si="3"/>
        <v>#N/A</v>
      </c>
      <c r="AB34" s="1811" t="e">
        <f t="shared" si="4"/>
        <v>#N/A</v>
      </c>
      <c r="AC34" s="1811" t="e">
        <f t="shared" si="5"/>
        <v>#N/A</v>
      </c>
    </row>
    <row r="35" spans="1:29" ht="15">
      <c r="A35" s="472"/>
      <c r="B35" s="422" t="s">
        <v>2705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199"/>
      <c r="Q35" s="1810" t="str">
        <f t="shared" ref="Q35:Q40" si="14">B35</f>
        <v>宗地形状</v>
      </c>
      <c r="R35" s="772" t="s">
        <v>17</v>
      </c>
      <c r="S35" s="773">
        <f t="shared" si="10"/>
        <v>100</v>
      </c>
      <c r="T35" s="772" t="s">
        <v>17</v>
      </c>
      <c r="U35" s="773">
        <f t="shared" si="11"/>
        <v>100</v>
      </c>
      <c r="V35" s="772" t="s">
        <v>17</v>
      </c>
      <c r="W35" s="773">
        <f t="shared" si="12"/>
        <v>100</v>
      </c>
      <c r="X35" s="1813"/>
      <c r="Y35" s="3199"/>
      <c r="Z35" s="1814" t="str">
        <f t="shared" si="13"/>
        <v>宗地形状</v>
      </c>
      <c r="AA35" s="1811">
        <f t="shared" si="3"/>
        <v>1</v>
      </c>
      <c r="AB35" s="1811">
        <f t="shared" si="4"/>
        <v>1</v>
      </c>
      <c r="AC35" s="1811">
        <f t="shared" si="5"/>
        <v>1</v>
      </c>
    </row>
    <row r="36" spans="1:29" s="117" customFormat="1" ht="15">
      <c r="A36" s="473"/>
      <c r="B36" s="422" t="s">
        <v>2707</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199"/>
      <c r="Q36" s="1810" t="str">
        <f t="shared" si="14"/>
        <v>宗地开发程度</v>
      </c>
      <c r="R36" s="768" t="s">
        <v>17</v>
      </c>
      <c r="S36" s="769">
        <f t="shared" si="10"/>
        <v>100</v>
      </c>
      <c r="T36" s="768" t="s">
        <v>17</v>
      </c>
      <c r="U36" s="769">
        <f t="shared" si="11"/>
        <v>100</v>
      </c>
      <c r="V36" s="768" t="s">
        <v>17</v>
      </c>
      <c r="W36" s="769">
        <f t="shared" si="12"/>
        <v>100</v>
      </c>
      <c r="X36" s="770"/>
      <c r="Y36" s="3199"/>
      <c r="Z36" s="55" t="str">
        <f t="shared" si="13"/>
        <v>宗地开发程度</v>
      </c>
      <c r="AA36" s="771">
        <f t="shared" si="3"/>
        <v>1</v>
      </c>
      <c r="AB36" s="771">
        <f t="shared" si="4"/>
        <v>1</v>
      </c>
      <c r="AC36" s="771">
        <f t="shared" si="5"/>
        <v>1</v>
      </c>
    </row>
    <row r="37" spans="1:29" ht="15">
      <c r="A37" s="472"/>
      <c r="B37" s="422" t="s">
        <v>2708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199" t="s">
        <v>2519</v>
      </c>
      <c r="Q37" s="1810" t="str">
        <f t="shared" si="14"/>
        <v>工程地质条件</v>
      </c>
      <c r="R37" s="772" t="s">
        <v>17</v>
      </c>
      <c r="S37" s="773">
        <f t="shared" si="10"/>
        <v>100</v>
      </c>
      <c r="T37" s="772" t="s">
        <v>17</v>
      </c>
      <c r="U37" s="773">
        <f t="shared" si="11"/>
        <v>100</v>
      </c>
      <c r="V37" s="772" t="s">
        <v>17</v>
      </c>
      <c r="W37" s="773">
        <f t="shared" si="12"/>
        <v>100</v>
      </c>
      <c r="X37" s="1813"/>
      <c r="Y37" s="3199" t="s">
        <v>2519</v>
      </c>
      <c r="Z37" s="1814" t="str">
        <f t="shared" si="13"/>
        <v>工程地质条件</v>
      </c>
      <c r="AA37" s="1811">
        <f t="shared" si="3"/>
        <v>1</v>
      </c>
      <c r="AB37" s="1811">
        <f t="shared" si="4"/>
        <v>1</v>
      </c>
      <c r="AC37" s="1811">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99"/>
      <c r="Q38" s="1810">
        <f t="shared" si="14"/>
        <v>111</v>
      </c>
      <c r="R38" s="772" t="s">
        <v>17</v>
      </c>
      <c r="S38" s="773">
        <f t="shared" si="10"/>
        <v>100</v>
      </c>
      <c r="T38" s="772" t="s">
        <v>17</v>
      </c>
      <c r="U38" s="773">
        <f t="shared" si="11"/>
        <v>100</v>
      </c>
      <c r="V38" s="772" t="s">
        <v>17</v>
      </c>
      <c r="W38" s="773">
        <f t="shared" si="12"/>
        <v>100</v>
      </c>
      <c r="X38" s="1813"/>
      <c r="Y38" s="3199"/>
      <c r="Z38" s="1814">
        <f t="shared" si="13"/>
        <v>111</v>
      </c>
      <c r="AA38" s="1811">
        <f t="shared" si="3"/>
        <v>1</v>
      </c>
      <c r="AB38" s="1811">
        <f t="shared" si="4"/>
        <v>1</v>
      </c>
      <c r="AC38" s="1811">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99"/>
      <c r="Q39" s="1810">
        <f t="shared" si="14"/>
        <v>111</v>
      </c>
      <c r="R39" s="772" t="s">
        <v>17</v>
      </c>
      <c r="S39" s="773">
        <f t="shared" si="10"/>
        <v>100</v>
      </c>
      <c r="T39" s="772" t="s">
        <v>17</v>
      </c>
      <c r="U39" s="773">
        <f t="shared" si="11"/>
        <v>100</v>
      </c>
      <c r="V39" s="772" t="s">
        <v>17</v>
      </c>
      <c r="W39" s="773">
        <f t="shared" si="12"/>
        <v>100</v>
      </c>
      <c r="X39" s="1813"/>
      <c r="Y39" s="3199"/>
      <c r="Z39" s="1814">
        <f t="shared" si="13"/>
        <v>111</v>
      </c>
      <c r="AA39" s="1811">
        <f t="shared" si="3"/>
        <v>1</v>
      </c>
      <c r="AB39" s="1811">
        <f t="shared" si="4"/>
        <v>1</v>
      </c>
      <c r="AC39" s="1811">
        <f t="shared" si="5"/>
        <v>1</v>
      </c>
    </row>
    <row r="40" spans="1:29" s="471" customFormat="1" ht="15.75"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99"/>
      <c r="Q40" s="1810">
        <f t="shared" si="14"/>
        <v>111</v>
      </c>
      <c r="R40" s="775" t="s">
        <v>17</v>
      </c>
      <c r="S40" s="776">
        <f t="shared" si="10"/>
        <v>100</v>
      </c>
      <c r="T40" s="775" t="s">
        <v>17</v>
      </c>
      <c r="U40" s="776">
        <f t="shared" si="11"/>
        <v>100</v>
      </c>
      <c r="V40" s="775" t="s">
        <v>17</v>
      </c>
      <c r="W40" s="776">
        <f t="shared" si="12"/>
        <v>100</v>
      </c>
      <c r="X40" s="777"/>
      <c r="Y40" s="3199"/>
      <c r="Z40" s="778">
        <f t="shared" si="13"/>
        <v>111</v>
      </c>
      <c r="AA40" s="1811">
        <f t="shared" si="3"/>
        <v>1</v>
      </c>
      <c r="AB40" s="1811">
        <f t="shared" si="4"/>
        <v>1</v>
      </c>
      <c r="AC40" s="1811">
        <f t="shared" si="5"/>
        <v>1</v>
      </c>
    </row>
    <row r="41" spans="1:29" ht="15">
      <c r="A41" s="479" t="s">
        <v>2674</v>
      </c>
      <c r="B41" s="2703" t="s">
        <v>2753</v>
      </c>
      <c r="C41" s="682" t="s">
        <v>1</v>
      </c>
      <c r="D41" s="481"/>
      <c r="E41" s="482"/>
      <c r="F41" s="483"/>
      <c r="G41" s="484"/>
      <c r="H41" s="485"/>
      <c r="I41" s="482"/>
      <c r="J41" s="485"/>
      <c r="K41" s="781"/>
      <c r="L41" s="1144"/>
      <c r="M41" s="1132"/>
      <c r="N41" s="1132"/>
      <c r="O41" s="1145"/>
      <c r="P41" s="3181" t="str">
        <f>A41</f>
        <v>成交单价</v>
      </c>
      <c r="Q41" s="3181"/>
      <c r="R41" s="3194">
        <f>E41</f>
        <v>0</v>
      </c>
      <c r="S41" s="3194"/>
      <c r="T41" s="3194">
        <f>G41</f>
        <v>0</v>
      </c>
      <c r="U41" s="3194"/>
      <c r="V41" s="3194">
        <f>I41</f>
        <v>0</v>
      </c>
      <c r="W41" s="3194"/>
      <c r="X41" s="757"/>
      <c r="Y41" s="779"/>
      <c r="Z41" s="757"/>
      <c r="AA41" s="757"/>
      <c r="AB41" s="757"/>
      <c r="AC41" s="757"/>
    </row>
    <row r="42" spans="1:29" ht="15.75" thickBot="1">
      <c r="A42" s="486" t="s">
        <v>2623</v>
      </c>
      <c r="B42" s="683"/>
      <c r="C42" s="490" t="e">
        <f>R43</f>
        <v>#DIV/0!</v>
      </c>
      <c r="D42" s="489"/>
      <c r="E42" s="490" t="e">
        <f>R42</f>
        <v>#DIV/0!</v>
      </c>
      <c r="F42" s="491"/>
      <c r="G42" s="488" t="e">
        <f>T42</f>
        <v>#DIV/0!</v>
      </c>
      <c r="H42" s="489"/>
      <c r="I42" s="490" t="e">
        <f>V42</f>
        <v>#DIV/0!</v>
      </c>
      <c r="J42" s="489"/>
      <c r="K42" s="782"/>
      <c r="L42" s="1144"/>
      <c r="M42" s="1132"/>
      <c r="N42" s="1132"/>
      <c r="O42" s="1145"/>
      <c r="P42" s="3181" t="str">
        <f>A42</f>
        <v>比较价值（元/平方米）</v>
      </c>
      <c r="Q42" s="3181"/>
      <c r="R42" s="3200" t="e">
        <f>ROUND(PRODUCT(R41,AA7:AA40),0)</f>
        <v>#DIV/0!</v>
      </c>
      <c r="S42" s="3200"/>
      <c r="T42" s="3200" t="e">
        <f>ROUND(PRODUCT(T41,AB7:AB40),0)</f>
        <v>#DIV/0!</v>
      </c>
      <c r="U42" s="3200"/>
      <c r="V42" s="3200" t="e">
        <f>ROUND(PRODUCT(V41,AC7:AC40),0)</f>
        <v>#DIV/0!</v>
      </c>
      <c r="W42" s="3200"/>
      <c r="X42" s="757"/>
      <c r="Y42" s="757"/>
      <c r="Z42" s="757"/>
      <c r="AA42" s="757"/>
      <c r="AB42" s="757"/>
      <c r="AC42" s="757"/>
    </row>
    <row r="43" spans="1:29" ht="15.75" thickBot="1">
      <c r="A43" s="492" t="s">
        <v>2624</v>
      </c>
      <c r="B43" s="493"/>
      <c r="C43" s="494" t="e">
        <f>R43</f>
        <v>#DIV/0!</v>
      </c>
      <c r="D43" s="494"/>
      <c r="E43" s="494"/>
      <c r="F43" s="494"/>
      <c r="G43" s="494"/>
      <c r="H43" s="494"/>
      <c r="I43" s="494"/>
      <c r="J43" s="494"/>
      <c r="K43" s="783"/>
      <c r="L43" s="1144"/>
      <c r="M43" s="1132"/>
      <c r="N43" s="1132"/>
      <c r="O43" s="1145"/>
      <c r="P43" s="3201" t="str">
        <f>A43</f>
        <v>估价对象XX用房的比较价值（楼面单价，元/平方米）</v>
      </c>
      <c r="Q43" s="3202"/>
      <c r="R43" s="3203" t="e">
        <f>ROUND(AVERAGE(R42:V42),0)</f>
        <v>#DIV/0!</v>
      </c>
      <c r="S43" s="3203"/>
      <c r="T43" s="3203"/>
      <c r="U43" s="3203"/>
      <c r="V43" s="3203"/>
      <c r="W43" s="3203"/>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2711</v>
      </c>
      <c r="B50" s="685" t="s">
        <v>2712</v>
      </c>
      <c r="C50" s="2704" t="s">
        <v>2713</v>
      </c>
      <c r="D50" s="2705" t="s">
        <v>2714</v>
      </c>
      <c r="E50" s="686" t="s">
        <v>2715</v>
      </c>
      <c r="F50" s="687" t="s">
        <v>2716</v>
      </c>
      <c r="G50" s="3182" t="s">
        <v>2717</v>
      </c>
      <c r="H50" s="3204"/>
      <c r="I50" s="1814" t="s">
        <v>2754</v>
      </c>
      <c r="J50" s="1814" t="str">
        <f>项目基本情况!F35</f>
        <v>北京市</v>
      </c>
      <c r="K50" s="2707" t="s">
        <v>2719</v>
      </c>
      <c r="L50" s="1107"/>
      <c r="M50" s="1145"/>
      <c r="N50" s="1145"/>
      <c r="O50" s="1145"/>
    </row>
    <row r="51" spans="1:17" s="692" customFormat="1">
      <c r="A51" s="688" t="s">
        <v>2720</v>
      </c>
      <c r="B51" s="689" t="e">
        <f>C43</f>
        <v>#DIV/0!</v>
      </c>
      <c r="C51" s="690">
        <v>1</v>
      </c>
      <c r="D51" s="1164">
        <v>1</v>
      </c>
      <c r="E51" s="690">
        <f>'数据-汇总表'!E8+'数据-汇总表'!E9</f>
        <v>0</v>
      </c>
      <c r="F51" s="691" t="e">
        <f t="shared" ref="F51:F60" si="15">ROUND(B51*E51/10000,0)</f>
        <v>#DIV/0!</v>
      </c>
      <c r="G51" s="3205"/>
      <c r="H51" s="3181"/>
      <c r="I51" s="943">
        <v>1</v>
      </c>
      <c r="J51" s="943">
        <v>1</v>
      </c>
      <c r="K51" s="1146"/>
      <c r="L51" s="942"/>
      <c r="M51" s="942"/>
      <c r="N51" s="942"/>
      <c r="O51" s="942"/>
    </row>
    <row r="52" spans="1:17" s="692" customFormat="1">
      <c r="A52" s="693" t="s">
        <v>2721</v>
      </c>
      <c r="B52" s="262" t="e">
        <f>ROUND($C$43*C52*D52,0)</f>
        <v>#DIV/0!</v>
      </c>
      <c r="C52" s="200">
        <f t="shared" ref="C52:C60" si="16">IF($C$50="北京市系数",I52,J52)</f>
        <v>0.8</v>
      </c>
      <c r="D52" s="1165">
        <v>0.25</v>
      </c>
      <c r="E52" s="694"/>
      <c r="F52" s="691" t="e">
        <f t="shared" si="15"/>
        <v>#DIV/0!</v>
      </c>
      <c r="G52" s="3206" t="s">
        <v>2722</v>
      </c>
      <c r="H52" s="1105" t="str">
        <f>项目基本情况!B37</f>
        <v>二级</v>
      </c>
      <c r="I52" s="943">
        <f>SUMIF(修正!A45:A56,H52,修正!B45:B56)</f>
        <v>0.8</v>
      </c>
      <c r="J52" s="944"/>
      <c r="K52" s="1145"/>
      <c r="L52" s="942"/>
      <c r="M52" s="942"/>
      <c r="N52" s="942"/>
      <c r="O52" s="942"/>
    </row>
    <row r="53" spans="1:17" s="692" customFormat="1">
      <c r="A53" s="693" t="s">
        <v>2723</v>
      </c>
      <c r="B53" s="262" t="e">
        <f t="shared" ref="B53:B60" si="17">ROUND($C$43*C53*D53,0)</f>
        <v>#DIV/0!</v>
      </c>
      <c r="C53" s="200">
        <f t="shared" si="16"/>
        <v>0.5</v>
      </c>
      <c r="D53" s="1165">
        <v>0.25</v>
      </c>
      <c r="E53" s="694"/>
      <c r="F53" s="691" t="e">
        <f t="shared" si="15"/>
        <v>#DIV/0!</v>
      </c>
      <c r="G53" s="3206"/>
      <c r="H53" s="1105" t="str">
        <f>项目基本情况!B37</f>
        <v>二级</v>
      </c>
      <c r="I53" s="943">
        <f>SUMIF(修正!A45:A56,H53,修正!C45:C56)</f>
        <v>0.5</v>
      </c>
      <c r="J53" s="944"/>
      <c r="K53" s="1146"/>
      <c r="L53" s="942"/>
      <c r="M53" s="942"/>
      <c r="N53" s="942"/>
      <c r="O53" s="942"/>
    </row>
    <row r="54" spans="1:17" s="692" customFormat="1">
      <c r="A54" s="693" t="s">
        <v>2724</v>
      </c>
      <c r="B54" s="262" t="e">
        <f t="shared" si="17"/>
        <v>#DIV/0!</v>
      </c>
      <c r="C54" s="200">
        <f t="shared" si="16"/>
        <v>0.36</v>
      </c>
      <c r="D54" s="1165">
        <v>0.25</v>
      </c>
      <c r="E54" s="694"/>
      <c r="F54" s="691" t="e">
        <f t="shared" si="15"/>
        <v>#DIV/0!</v>
      </c>
      <c r="G54" s="3206"/>
      <c r="H54" s="1105" t="str">
        <f>项目基本情况!B37</f>
        <v>二级</v>
      </c>
      <c r="I54" s="943">
        <f>SUMIF(修正!A45:A56,H54,修正!D45:D56)</f>
        <v>0.36</v>
      </c>
      <c r="J54" s="944"/>
      <c r="K54" s="1145"/>
      <c r="L54" s="942"/>
      <c r="M54" s="942"/>
      <c r="N54" s="942"/>
      <c r="O54" s="942"/>
    </row>
    <row r="55" spans="1:17" s="692" customFormat="1">
      <c r="A55" s="693" t="s">
        <v>2725</v>
      </c>
      <c r="B55" s="262" t="e">
        <f t="shared" si="17"/>
        <v>#DIV/0!</v>
      </c>
      <c r="C55" s="200">
        <f t="shared" si="16"/>
        <v>0.3</v>
      </c>
      <c r="D55" s="1165">
        <v>0.25</v>
      </c>
      <c r="E55" s="694"/>
      <c r="F55" s="691" t="e">
        <f t="shared" si="15"/>
        <v>#DIV/0!</v>
      </c>
      <c r="G55" s="3206"/>
      <c r="H55" s="1105" t="str">
        <f>项目基本情况!B37</f>
        <v>二级</v>
      </c>
      <c r="I55" s="943">
        <f>SUMIF(修正!A45:A56,H55,修正!E45:E56)</f>
        <v>0.3</v>
      </c>
      <c r="J55" s="944"/>
      <c r="K55" s="1146"/>
      <c r="L55" s="942"/>
      <c r="M55" s="942"/>
      <c r="N55" s="942"/>
      <c r="O55" s="942"/>
    </row>
    <row r="56" spans="1:17" s="692" customFormat="1">
      <c r="A56" s="693" t="s">
        <v>2726</v>
      </c>
      <c r="B56" s="262" t="e">
        <f t="shared" si="17"/>
        <v>#DIV/0!</v>
      </c>
      <c r="C56" s="200">
        <f t="shared" si="16"/>
        <v>0</v>
      </c>
      <c r="D56" s="1165">
        <v>0.25</v>
      </c>
      <c r="E56" s="261">
        <f>'数据-汇总表'!E11</f>
        <v>0</v>
      </c>
      <c r="F56" s="691" t="e">
        <f t="shared" si="15"/>
        <v>#DIV/0!</v>
      </c>
      <c r="G56" s="2708" t="s">
        <v>2727</v>
      </c>
      <c r="H56" s="1105">
        <f>项目基本情况!C37</f>
        <v>0</v>
      </c>
      <c r="I56" s="943">
        <f>SUMIF(修正!A45:A56,H56,修正!F45:F56)</f>
        <v>0</v>
      </c>
      <c r="J56" s="944"/>
      <c r="K56" s="1145"/>
      <c r="L56" s="942"/>
      <c r="M56" s="942"/>
      <c r="N56" s="942"/>
      <c r="O56" s="942"/>
    </row>
    <row r="57" spans="1:17" s="692" customFormat="1">
      <c r="A57" s="693" t="s">
        <v>2728</v>
      </c>
      <c r="B57" s="262" t="e">
        <f t="shared" si="17"/>
        <v>#DIV/0!</v>
      </c>
      <c r="C57" s="200">
        <f t="shared" si="16"/>
        <v>0</v>
      </c>
      <c r="D57" s="1165">
        <v>0.25</v>
      </c>
      <c r="E57" s="261">
        <f>'数据-汇总表'!E12</f>
        <v>0</v>
      </c>
      <c r="F57" s="691" t="e">
        <f t="shared" si="15"/>
        <v>#DIV/0!</v>
      </c>
      <c r="G57" s="1110" t="s">
        <v>2729</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2730</v>
      </c>
      <c r="B58" s="262" t="e">
        <f t="shared" si="17"/>
        <v>#DIV/0!</v>
      </c>
      <c r="C58" s="200">
        <f t="shared" si="16"/>
        <v>0</v>
      </c>
      <c r="D58" s="1165">
        <v>0.25</v>
      </c>
      <c r="E58" s="261">
        <f>'数据-汇总表'!E13</f>
        <v>0</v>
      </c>
      <c r="F58" s="691" t="e">
        <f t="shared" si="15"/>
        <v>#DIV/0!</v>
      </c>
      <c r="G58" s="1110" t="s">
        <v>2731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2732</v>
      </c>
      <c r="B59" s="262" t="e">
        <f t="shared" si="17"/>
        <v>#DIV/0!</v>
      </c>
      <c r="C59" s="200">
        <f t="shared" si="16"/>
        <v>0.25</v>
      </c>
      <c r="D59" s="1165">
        <v>0.25</v>
      </c>
      <c r="E59" s="261">
        <f>'数据-汇总表'!E14</f>
        <v>0</v>
      </c>
      <c r="F59" s="691" t="e">
        <f t="shared" si="15"/>
        <v>#DIV/0!</v>
      </c>
      <c r="G59" s="2708" t="s">
        <v>2722</v>
      </c>
      <c r="H59" s="1105" t="str">
        <f>项目基本情况!B37</f>
        <v>二级</v>
      </c>
      <c r="I59" s="943">
        <f>SUMIF(修正!A45:A56,H59,修正!H45:H56)</f>
        <v>0.25</v>
      </c>
      <c r="J59" s="944"/>
      <c r="K59" s="1146"/>
      <c r="L59" s="942"/>
      <c r="M59" s="942"/>
      <c r="N59" s="942"/>
      <c r="O59" s="942"/>
    </row>
    <row r="60" spans="1:17" s="692" customFormat="1" ht="15" thickBot="1">
      <c r="A60" s="693" t="s">
        <v>2733</v>
      </c>
      <c r="B60" s="262" t="e">
        <f t="shared" si="17"/>
        <v>#DIV/0!</v>
      </c>
      <c r="C60" s="200">
        <f t="shared" si="16"/>
        <v>0</v>
      </c>
      <c r="D60" s="1165">
        <v>0.25</v>
      </c>
      <c r="E60" s="261">
        <f>'数据-汇总表'!E15</f>
        <v>0</v>
      </c>
      <c r="F60" s="691" t="e">
        <f t="shared" si="15"/>
        <v>#DIV/0!</v>
      </c>
      <c r="G60" s="2709" t="s">
        <v>2727</v>
      </c>
      <c r="H60" s="1115">
        <f>项目基本情况!C37</f>
        <v>0</v>
      </c>
      <c r="I60" s="943">
        <f>SUMIF(修正!A45:A56,H60,修正!H45:H56)</f>
        <v>0</v>
      </c>
      <c r="J60" s="944"/>
      <c r="K60" s="1145"/>
      <c r="L60" s="942"/>
      <c r="M60" s="942"/>
      <c r="N60" s="942"/>
      <c r="O60" s="942"/>
    </row>
    <row r="61" spans="1:17" s="692" customFormat="1" ht="15" thickBot="1">
      <c r="A61" s="695" t="s">
        <v>2734</v>
      </c>
      <c r="B61" s="696" t="s">
        <v>28</v>
      </c>
      <c r="C61" s="696" t="s">
        <v>29</v>
      </c>
      <c r="D61" s="696" t="s">
        <v>1028</v>
      </c>
      <c r="E61" s="696">
        <f>IF(B41="楼面地价",SUM(E51:E60),'数据-汇总表'!D3)</f>
        <v>546.38</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2628</v>
      </c>
      <c r="B64" s="757"/>
      <c r="C64" s="762"/>
      <c r="D64" s="762"/>
      <c r="E64" s="762"/>
      <c r="F64" s="763"/>
      <c r="G64" s="763"/>
      <c r="H64" s="762"/>
      <c r="I64" s="762"/>
      <c r="J64" s="762"/>
      <c r="K64" s="764"/>
      <c r="L64" s="765"/>
      <c r="M64" s="762"/>
      <c r="N64" s="762"/>
      <c r="O64" s="1160"/>
      <c r="P64" s="503"/>
      <c r="Q64" s="504"/>
    </row>
    <row r="65" spans="1:17" s="508" customFormat="1" ht="15">
      <c r="A65" s="2710" t="s">
        <v>2735</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7"/>
    </row>
    <row r="66" spans="1:17" s="117" customFormat="1" ht="30.75" customHeight="1">
      <c r="A66" s="2715" t="s">
        <v>2755</v>
      </c>
      <c r="B66" s="332" t="str">
        <f>"北京市平均增长率"&amp;TEXT(基准地价修正!P24,"0.00%")</f>
        <v>北京市平均增长率1.42%</v>
      </c>
      <c r="C66" s="603">
        <v>100</v>
      </c>
      <c r="D66" s="595"/>
      <c r="E66" s="595"/>
      <c r="F66" s="595"/>
      <c r="G66" s="595"/>
      <c r="H66" s="595"/>
      <c r="I66" s="595"/>
      <c r="J66" s="595"/>
      <c r="K66" s="595"/>
      <c r="L66" s="595"/>
      <c r="M66" s="1568"/>
      <c r="N66" s="1568"/>
      <c r="O66" s="1569"/>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2606</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2542</v>
      </c>
      <c r="B70" s="528" t="s">
        <v>2508</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2511</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2513</v>
      </c>
      <c r="B83" s="528" t="s">
        <v>2659</v>
      </c>
      <c r="C83" s="573" t="s">
        <v>2551</v>
      </c>
      <c r="D83" s="573" t="s">
        <v>2552</v>
      </c>
      <c r="E83" s="573" t="s">
        <v>2553</v>
      </c>
      <c r="F83" s="573" t="s">
        <v>2554</v>
      </c>
      <c r="G83" s="573" t="s">
        <v>2555</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2645</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2703</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2745</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2747</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2748</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286" t="s">
        <v>183</v>
      </c>
      <c r="B18" s="880" t="s">
        <v>560</v>
      </c>
      <c r="C18" s="881" t="s">
        <v>561</v>
      </c>
      <c r="D18" s="882"/>
      <c r="E18" s="880">
        <v>1</v>
      </c>
      <c r="F18" s="883" t="s">
        <v>562</v>
      </c>
      <c r="G18" s="884"/>
      <c r="H18" s="876"/>
      <c r="I18" s="876"/>
    </row>
    <row r="19" spans="1:9" s="885" customFormat="1" ht="19.5" customHeight="1">
      <c r="A19" s="3286"/>
      <c r="B19" s="3286" t="s">
        <v>563</v>
      </c>
      <c r="C19" s="881" t="s">
        <v>564</v>
      </c>
      <c r="D19" s="882"/>
      <c r="E19" s="880">
        <v>0.9</v>
      </c>
      <c r="F19" s="883" t="s">
        <v>565</v>
      </c>
      <c r="G19" s="884"/>
      <c r="H19" s="876"/>
      <c r="I19" s="876"/>
    </row>
    <row r="20" spans="1:9" s="885" customFormat="1" ht="19.5" customHeight="1">
      <c r="A20" s="3286"/>
      <c r="B20" s="3286"/>
      <c r="C20" s="881" t="s">
        <v>566</v>
      </c>
      <c r="D20" s="882"/>
      <c r="E20" s="880">
        <v>1.1000000000000001</v>
      </c>
      <c r="F20" s="883" t="s">
        <v>567</v>
      </c>
      <c r="G20" s="884"/>
      <c r="H20" s="876"/>
      <c r="I20" s="876"/>
    </row>
    <row r="21" spans="1:9" s="885" customFormat="1" ht="19.5" customHeight="1">
      <c r="A21" s="3286"/>
      <c r="B21" s="3286"/>
      <c r="C21" s="881" t="s">
        <v>568</v>
      </c>
      <c r="D21" s="882"/>
      <c r="E21" s="880">
        <v>0.8</v>
      </c>
      <c r="F21" s="883" t="s">
        <v>569</v>
      </c>
      <c r="G21" s="884"/>
      <c r="H21" s="876"/>
      <c r="I21" s="876"/>
    </row>
    <row r="22" spans="1:9" s="885" customFormat="1" ht="19.5" customHeight="1">
      <c r="A22" s="3286"/>
      <c r="B22" s="3286"/>
      <c r="C22" s="881" t="s">
        <v>570</v>
      </c>
      <c r="D22" s="882"/>
      <c r="E22" s="880">
        <v>0.5</v>
      </c>
      <c r="F22" s="883"/>
      <c r="G22" s="884"/>
      <c r="H22" s="876"/>
      <c r="I22" s="876"/>
    </row>
    <row r="23" spans="1:9" s="885" customFormat="1" ht="19.5" customHeight="1">
      <c r="A23" s="3286" t="s">
        <v>184</v>
      </c>
      <c r="B23" s="880" t="s">
        <v>560</v>
      </c>
      <c r="C23" s="881" t="s">
        <v>571</v>
      </c>
      <c r="D23" s="882"/>
      <c r="E23" s="880">
        <v>1</v>
      </c>
      <c r="F23" s="883" t="s">
        <v>572</v>
      </c>
      <c r="G23" s="884"/>
      <c r="H23" s="876"/>
      <c r="I23" s="876"/>
    </row>
    <row r="24" spans="1:9" s="885" customFormat="1" ht="19.5" customHeight="1">
      <c r="A24" s="3286"/>
      <c r="B24" s="3286" t="s">
        <v>563</v>
      </c>
      <c r="C24" s="881" t="s">
        <v>573</v>
      </c>
      <c r="D24" s="882"/>
      <c r="E24" s="880">
        <v>0.5</v>
      </c>
      <c r="F24" s="883"/>
      <c r="G24" s="884"/>
      <c r="H24" s="876"/>
      <c r="I24" s="876"/>
    </row>
    <row r="25" spans="1:9" s="885" customFormat="1" ht="19.5" customHeight="1">
      <c r="A25" s="3286"/>
      <c r="B25" s="3286"/>
      <c r="C25" s="881" t="s">
        <v>574</v>
      </c>
      <c r="D25" s="882"/>
      <c r="E25" s="880">
        <v>1.1000000000000001</v>
      </c>
      <c r="F25" s="883"/>
      <c r="G25" s="884"/>
      <c r="H25" s="876"/>
      <c r="I25" s="876"/>
    </row>
    <row r="26" spans="1:9" s="885" customFormat="1" ht="19.5" customHeight="1">
      <c r="A26" s="3286"/>
      <c r="B26" s="3286"/>
      <c r="C26" s="881" t="s">
        <v>575</v>
      </c>
      <c r="D26" s="882"/>
      <c r="E26" s="880">
        <v>1.1000000000000001</v>
      </c>
      <c r="F26" s="883"/>
      <c r="G26" s="884"/>
      <c r="H26" s="876"/>
      <c r="I26" s="876"/>
    </row>
    <row r="27" spans="1:9" s="885" customFormat="1" ht="19.5" customHeight="1">
      <c r="A27" s="3286"/>
      <c r="B27" s="3286"/>
      <c r="C27" s="881" t="s">
        <v>576</v>
      </c>
      <c r="D27" s="882"/>
      <c r="E27" s="880">
        <v>0.9</v>
      </c>
      <c r="F27" s="883" t="s">
        <v>577</v>
      </c>
      <c r="G27" s="884"/>
      <c r="H27" s="876"/>
      <c r="I27" s="876"/>
    </row>
    <row r="28" spans="1:9" s="885" customFormat="1" ht="19.5" customHeight="1">
      <c r="A28" s="3286"/>
      <c r="B28" s="3286"/>
      <c r="C28" s="881" t="s">
        <v>578</v>
      </c>
      <c r="D28" s="882"/>
      <c r="E28" s="880">
        <v>0.9</v>
      </c>
      <c r="F28" s="883" t="s">
        <v>579</v>
      </c>
      <c r="G28" s="884"/>
      <c r="H28" s="876"/>
      <c r="I28" s="876"/>
    </row>
    <row r="29" spans="1:9" s="885" customFormat="1" ht="19.5" customHeight="1">
      <c r="A29" s="3286"/>
      <c r="B29" s="3286"/>
      <c r="C29" s="881" t="s">
        <v>580</v>
      </c>
      <c r="D29" s="882"/>
      <c r="E29" s="880">
        <v>0.9</v>
      </c>
      <c r="F29" s="883" t="s">
        <v>581</v>
      </c>
      <c r="G29" s="884"/>
      <c r="H29" s="876"/>
      <c r="I29" s="876"/>
    </row>
    <row r="30" spans="1:9" s="885" customFormat="1" ht="19.5" customHeight="1">
      <c r="A30" s="3286"/>
      <c r="B30" s="3286"/>
      <c r="C30" s="881" t="s">
        <v>582</v>
      </c>
      <c r="D30" s="882"/>
      <c r="E30" s="880">
        <v>0.9</v>
      </c>
      <c r="F30" s="883" t="s">
        <v>583</v>
      </c>
      <c r="G30" s="884"/>
      <c r="H30" s="876"/>
      <c r="I30" s="876"/>
    </row>
    <row r="31" spans="1:9" s="885" customFormat="1" ht="19.5" customHeight="1">
      <c r="A31" s="3286"/>
      <c r="B31" s="3286"/>
      <c r="C31" s="881" t="s">
        <v>584</v>
      </c>
      <c r="D31" s="882"/>
      <c r="E31" s="880">
        <v>0.8</v>
      </c>
      <c r="F31" s="883" t="s">
        <v>585</v>
      </c>
      <c r="G31" s="884"/>
      <c r="H31" s="876"/>
      <c r="I31" s="876"/>
    </row>
    <row r="32" spans="1:9" s="885" customFormat="1" ht="19.5" customHeight="1">
      <c r="A32" s="3286"/>
      <c r="B32" s="3286"/>
      <c r="C32" s="881" t="s">
        <v>586</v>
      </c>
      <c r="D32" s="882"/>
      <c r="E32" s="880">
        <v>0.8</v>
      </c>
      <c r="F32" s="883" t="s">
        <v>587</v>
      </c>
      <c r="G32" s="884"/>
      <c r="H32" s="876"/>
      <c r="I32" s="876"/>
    </row>
    <row r="33" spans="1:9" s="885" customFormat="1" ht="19.5" customHeight="1">
      <c r="A33" s="3286" t="s">
        <v>185</v>
      </c>
      <c r="B33" s="880" t="s">
        <v>560</v>
      </c>
      <c r="C33" s="881" t="s">
        <v>588</v>
      </c>
      <c r="D33" s="882"/>
      <c r="E33" s="880">
        <v>1</v>
      </c>
      <c r="F33" s="883" t="s">
        <v>589</v>
      </c>
      <c r="G33" s="884"/>
      <c r="H33" s="876"/>
      <c r="I33" s="876"/>
    </row>
    <row r="34" spans="1:9" s="885" customFormat="1" ht="19.5" customHeight="1">
      <c r="A34" s="3286"/>
      <c r="B34" s="880" t="s">
        <v>563</v>
      </c>
      <c r="C34" s="881" t="s">
        <v>590</v>
      </c>
      <c r="D34" s="882"/>
      <c r="E34" s="880">
        <v>1.5</v>
      </c>
      <c r="F34" s="883" t="s">
        <v>591</v>
      </c>
      <c r="G34" s="884"/>
      <c r="H34" s="876"/>
      <c r="I34" s="876"/>
    </row>
    <row r="35" spans="1:9" s="885" customFormat="1" ht="19.5" customHeight="1">
      <c r="A35" s="3286" t="s">
        <v>186</v>
      </c>
      <c r="B35" s="880" t="s">
        <v>560</v>
      </c>
      <c r="C35" s="881" t="s">
        <v>592</v>
      </c>
      <c r="D35" s="882"/>
      <c r="E35" s="880">
        <v>1</v>
      </c>
      <c r="F35" s="883" t="s">
        <v>593</v>
      </c>
      <c r="G35" s="884"/>
      <c r="H35" s="876"/>
      <c r="I35" s="876"/>
    </row>
    <row r="36" spans="1:9" s="885" customFormat="1" ht="19.5" customHeight="1">
      <c r="A36" s="3286"/>
      <c r="B36" s="3286" t="s">
        <v>563</v>
      </c>
      <c r="C36" s="881" t="s">
        <v>594</v>
      </c>
      <c r="D36" s="882"/>
      <c r="E36" s="880">
        <v>1</v>
      </c>
      <c r="F36" s="883" t="s">
        <v>595</v>
      </c>
      <c r="G36" s="884"/>
      <c r="H36" s="876"/>
      <c r="I36" s="876"/>
    </row>
    <row r="37" spans="1:9" s="885" customFormat="1" ht="19.5" customHeight="1">
      <c r="A37" s="3286"/>
      <c r="B37" s="3286"/>
      <c r="C37" s="881" t="s">
        <v>596</v>
      </c>
      <c r="D37" s="882"/>
      <c r="E37" s="880">
        <v>1.5</v>
      </c>
      <c r="F37" s="883" t="s">
        <v>597</v>
      </c>
      <c r="G37" s="884"/>
      <c r="H37" s="876"/>
      <c r="I37" s="876"/>
    </row>
    <row r="38" spans="1:9" s="885" customFormat="1" ht="19.5" customHeight="1">
      <c r="A38" s="3286"/>
      <c r="B38" s="3286"/>
      <c r="C38" s="881" t="s">
        <v>598</v>
      </c>
      <c r="D38" s="882"/>
      <c r="E38" s="880">
        <v>1</v>
      </c>
      <c r="F38" s="883" t="s">
        <v>599</v>
      </c>
      <c r="G38" s="884"/>
      <c r="H38" s="876"/>
      <c r="I38" s="876"/>
    </row>
    <row r="39" spans="1:9" s="885" customFormat="1" ht="19.5" customHeight="1">
      <c r="A39" s="3286"/>
      <c r="B39" s="328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6" t="s">
        <v>614</v>
      </c>
      <c r="C61" s="816" t="s">
        <v>615</v>
      </c>
      <c r="D61" s="816" t="s">
        <v>616</v>
      </c>
      <c r="E61" s="893">
        <v>0.5</v>
      </c>
      <c r="F61" s="880">
        <v>80</v>
      </c>
    </row>
    <row r="62" spans="1:8" s="876" customFormat="1" ht="24">
      <c r="A62" s="880">
        <v>2</v>
      </c>
      <c r="B62" s="3286"/>
      <c r="C62" s="816" t="s">
        <v>617</v>
      </c>
      <c r="D62" s="816" t="s">
        <v>618</v>
      </c>
      <c r="E62" s="893">
        <v>0.5</v>
      </c>
      <c r="F62" s="880">
        <v>80</v>
      </c>
    </row>
    <row r="63" spans="1:8" s="876" customFormat="1" ht="36">
      <c r="A63" s="880">
        <v>3</v>
      </c>
      <c r="B63" s="3286"/>
      <c r="C63" s="816" t="s">
        <v>619</v>
      </c>
      <c r="D63" s="816" t="s">
        <v>620</v>
      </c>
      <c r="E63" s="893">
        <v>0.5</v>
      </c>
      <c r="F63" s="880">
        <v>80</v>
      </c>
    </row>
    <row r="64" spans="1:8" s="876" customFormat="1" ht="36">
      <c r="A64" s="880">
        <v>4</v>
      </c>
      <c r="B64" s="3286"/>
      <c r="C64" s="816" t="s">
        <v>621</v>
      </c>
      <c r="D64" s="816" t="s">
        <v>622</v>
      </c>
      <c r="E64" s="893">
        <v>0.4</v>
      </c>
      <c r="F64" s="880">
        <v>60</v>
      </c>
    </row>
    <row r="65" spans="1:6" s="876" customFormat="1" ht="36">
      <c r="A65" s="880">
        <v>5</v>
      </c>
      <c r="B65" s="3286"/>
      <c r="C65" s="816" t="s">
        <v>623</v>
      </c>
      <c r="D65" s="816" t="s">
        <v>624</v>
      </c>
      <c r="E65" s="893">
        <v>0.2</v>
      </c>
      <c r="F65" s="880">
        <v>30</v>
      </c>
    </row>
    <row r="66" spans="1:6" s="876" customFormat="1" ht="36">
      <c r="A66" s="880">
        <v>6</v>
      </c>
      <c r="B66" s="3286"/>
      <c r="C66" s="816" t="s">
        <v>625</v>
      </c>
      <c r="D66" s="816" t="s">
        <v>626</v>
      </c>
      <c r="E66" s="893">
        <v>0.3</v>
      </c>
      <c r="F66" s="880">
        <v>50</v>
      </c>
    </row>
    <row r="67" spans="1:6" s="876" customFormat="1" ht="36">
      <c r="A67" s="880">
        <v>7</v>
      </c>
      <c r="B67" s="3286"/>
      <c r="C67" s="816" t="s">
        <v>627</v>
      </c>
      <c r="D67" s="816" t="s">
        <v>628</v>
      </c>
      <c r="E67" s="893">
        <v>0.2</v>
      </c>
      <c r="F67" s="880">
        <v>30</v>
      </c>
    </row>
    <row r="68" spans="1:6" s="876" customFormat="1" ht="36">
      <c r="A68" s="880">
        <v>8</v>
      </c>
      <c r="B68" s="3286"/>
      <c r="C68" s="816" t="s">
        <v>629</v>
      </c>
      <c r="D68" s="816" t="s">
        <v>630</v>
      </c>
      <c r="E68" s="893">
        <v>0.2</v>
      </c>
      <c r="F68" s="880">
        <v>30</v>
      </c>
    </row>
    <row r="69" spans="1:6" s="876" customFormat="1" ht="36">
      <c r="A69" s="880">
        <v>9</v>
      </c>
      <c r="B69" s="3286"/>
      <c r="C69" s="816" t="s">
        <v>631</v>
      </c>
      <c r="D69" s="816" t="s">
        <v>632</v>
      </c>
      <c r="E69" s="893">
        <v>0.2</v>
      </c>
      <c r="F69" s="880">
        <v>30</v>
      </c>
    </row>
    <row r="70" spans="1:6" s="876" customFormat="1" ht="48">
      <c r="A70" s="880">
        <v>10</v>
      </c>
      <c r="B70" s="3286"/>
      <c r="C70" s="816" t="s">
        <v>633</v>
      </c>
      <c r="D70" s="816" t="s">
        <v>634</v>
      </c>
      <c r="E70" s="893">
        <v>0.2</v>
      </c>
      <c r="F70" s="880">
        <v>30</v>
      </c>
    </row>
    <row r="71" spans="1:6" s="876" customFormat="1" ht="48">
      <c r="A71" s="880">
        <v>11</v>
      </c>
      <c r="B71" s="3286"/>
      <c r="C71" s="816" t="s">
        <v>635</v>
      </c>
      <c r="D71" s="816" t="s">
        <v>636</v>
      </c>
      <c r="E71" s="893">
        <v>0.2</v>
      </c>
      <c r="F71" s="880">
        <v>30</v>
      </c>
    </row>
    <row r="72" spans="1:6" s="876" customFormat="1" ht="36">
      <c r="A72" s="880">
        <v>12</v>
      </c>
      <c r="B72" s="3286"/>
      <c r="C72" s="816" t="s">
        <v>637</v>
      </c>
      <c r="D72" s="816" t="s">
        <v>638</v>
      </c>
      <c r="E72" s="893">
        <v>0.5</v>
      </c>
      <c r="F72" s="880">
        <v>80</v>
      </c>
    </row>
    <row r="73" spans="1:6" s="876" customFormat="1" ht="24">
      <c r="A73" s="880">
        <v>13</v>
      </c>
      <c r="B73" s="3286"/>
      <c r="C73" s="816" t="s">
        <v>639</v>
      </c>
      <c r="D73" s="816" t="s">
        <v>640</v>
      </c>
      <c r="E73" s="893">
        <v>0.4</v>
      </c>
      <c r="F73" s="880">
        <v>60</v>
      </c>
    </row>
    <row r="74" spans="1:6" s="876" customFormat="1" ht="24">
      <c r="A74" s="880">
        <v>14</v>
      </c>
      <c r="B74" s="3286"/>
      <c r="C74" s="816" t="s">
        <v>641</v>
      </c>
      <c r="D74" s="816" t="s">
        <v>642</v>
      </c>
      <c r="E74" s="893">
        <v>0.2</v>
      </c>
      <c r="F74" s="880">
        <v>30</v>
      </c>
    </row>
    <row r="75" spans="1:6" s="876" customFormat="1" ht="24">
      <c r="A75" s="880">
        <v>15</v>
      </c>
      <c r="B75" s="3286"/>
      <c r="C75" s="816" t="s">
        <v>643</v>
      </c>
      <c r="D75" s="816" t="s">
        <v>644</v>
      </c>
      <c r="E75" s="893">
        <v>0.2</v>
      </c>
      <c r="F75" s="880">
        <v>30</v>
      </c>
    </row>
    <row r="76" spans="1:6" s="876" customFormat="1" ht="24">
      <c r="A76" s="880">
        <v>16</v>
      </c>
      <c r="B76" s="3286" t="s">
        <v>645</v>
      </c>
      <c r="C76" s="816" t="s">
        <v>646</v>
      </c>
      <c r="D76" s="816" t="s">
        <v>647</v>
      </c>
      <c r="E76" s="893">
        <v>0.5</v>
      </c>
      <c r="F76" s="880">
        <v>80</v>
      </c>
    </row>
    <row r="77" spans="1:6" s="876" customFormat="1" ht="24">
      <c r="A77" s="880">
        <v>17</v>
      </c>
      <c r="B77" s="3286"/>
      <c r="C77" s="816" t="s">
        <v>648</v>
      </c>
      <c r="D77" s="816" t="s">
        <v>649</v>
      </c>
      <c r="E77" s="893">
        <v>0.5</v>
      </c>
      <c r="F77" s="880">
        <v>80</v>
      </c>
    </row>
    <row r="78" spans="1:6" s="876" customFormat="1" ht="24">
      <c r="A78" s="880">
        <v>18</v>
      </c>
      <c r="B78" s="3286"/>
      <c r="C78" s="816" t="s">
        <v>650</v>
      </c>
      <c r="D78" s="816" t="s">
        <v>651</v>
      </c>
      <c r="E78" s="893">
        <v>0.2</v>
      </c>
      <c r="F78" s="880">
        <v>30</v>
      </c>
    </row>
    <row r="79" spans="1:6" s="876" customFormat="1" ht="24">
      <c r="A79" s="880">
        <v>19</v>
      </c>
      <c r="B79" s="3286"/>
      <c r="C79" s="816" t="s">
        <v>652</v>
      </c>
      <c r="D79" s="816" t="s">
        <v>653</v>
      </c>
      <c r="E79" s="893">
        <v>0.5</v>
      </c>
      <c r="F79" s="880">
        <v>80</v>
      </c>
    </row>
    <row r="80" spans="1:6" s="876" customFormat="1" ht="36">
      <c r="A80" s="880">
        <v>20</v>
      </c>
      <c r="B80" s="3286"/>
      <c r="C80" s="816" t="s">
        <v>654</v>
      </c>
      <c r="D80" s="816" t="s">
        <v>655</v>
      </c>
      <c r="E80" s="893">
        <v>0.2</v>
      </c>
      <c r="F80" s="880">
        <v>30</v>
      </c>
    </row>
    <row r="81" spans="1:6" s="876" customFormat="1" ht="36">
      <c r="A81" s="880">
        <v>21</v>
      </c>
      <c r="B81" s="3286"/>
      <c r="C81" s="816" t="s">
        <v>656</v>
      </c>
      <c r="D81" s="816" t="s">
        <v>657</v>
      </c>
      <c r="E81" s="893">
        <v>0.2</v>
      </c>
      <c r="F81" s="880">
        <v>30</v>
      </c>
    </row>
    <row r="82" spans="1:6" s="876" customFormat="1" ht="48">
      <c r="A82" s="880">
        <v>22</v>
      </c>
      <c r="B82" s="3286"/>
      <c r="C82" s="816" t="s">
        <v>658</v>
      </c>
      <c r="D82" s="816" t="s">
        <v>659</v>
      </c>
      <c r="E82" s="893">
        <v>0.2</v>
      </c>
      <c r="F82" s="880">
        <v>30</v>
      </c>
    </row>
    <row r="83" spans="1:6" s="876" customFormat="1" ht="48">
      <c r="A83" s="880">
        <v>23</v>
      </c>
      <c r="B83" s="3286"/>
      <c r="C83" s="816" t="s">
        <v>660</v>
      </c>
      <c r="D83" s="816" t="s">
        <v>661</v>
      </c>
      <c r="E83" s="893">
        <v>0.2</v>
      </c>
      <c r="F83" s="880">
        <v>30</v>
      </c>
    </row>
    <row r="84" spans="1:6" s="876" customFormat="1" ht="36">
      <c r="A84" s="880">
        <v>24</v>
      </c>
      <c r="B84" s="3286"/>
      <c r="C84" s="816" t="s">
        <v>662</v>
      </c>
      <c r="D84" s="816" t="s">
        <v>663</v>
      </c>
      <c r="E84" s="893">
        <v>0.2</v>
      </c>
      <c r="F84" s="880">
        <v>30</v>
      </c>
    </row>
    <row r="85" spans="1:6" s="876" customFormat="1" ht="36">
      <c r="A85" s="880">
        <v>25</v>
      </c>
      <c r="B85" s="3286"/>
      <c r="C85" s="816" t="s">
        <v>664</v>
      </c>
      <c r="D85" s="816" t="s">
        <v>665</v>
      </c>
      <c r="E85" s="893">
        <v>0.5</v>
      </c>
      <c r="F85" s="880">
        <v>80</v>
      </c>
    </row>
    <row r="86" spans="1:6" s="876" customFormat="1" ht="36">
      <c r="A86" s="880">
        <v>26</v>
      </c>
      <c r="B86" s="3286"/>
      <c r="C86" s="816" t="s">
        <v>666</v>
      </c>
      <c r="D86" s="816" t="s">
        <v>667</v>
      </c>
      <c r="E86" s="893">
        <v>0.2</v>
      </c>
      <c r="F86" s="880">
        <v>30</v>
      </c>
    </row>
    <row r="87" spans="1:6" s="876" customFormat="1" ht="36">
      <c r="A87" s="880">
        <v>27</v>
      </c>
      <c r="B87" s="3286"/>
      <c r="C87" s="816" t="s">
        <v>668</v>
      </c>
      <c r="D87" s="816" t="s">
        <v>669</v>
      </c>
      <c r="E87" s="893">
        <v>0.2</v>
      </c>
      <c r="F87" s="880">
        <v>30</v>
      </c>
    </row>
    <row r="88" spans="1:6" s="876" customFormat="1" ht="36">
      <c r="A88" s="880">
        <v>28</v>
      </c>
      <c r="B88" s="3286"/>
      <c r="C88" s="816" t="s">
        <v>670</v>
      </c>
      <c r="D88" s="816" t="s">
        <v>671</v>
      </c>
      <c r="E88" s="893">
        <v>0.2</v>
      </c>
      <c r="F88" s="880">
        <v>30</v>
      </c>
    </row>
    <row r="89" spans="1:6" s="876" customFormat="1" ht="24">
      <c r="A89" s="880">
        <v>29</v>
      </c>
      <c r="B89" s="3286"/>
      <c r="C89" s="816" t="s">
        <v>672</v>
      </c>
      <c r="D89" s="816" t="s">
        <v>673</v>
      </c>
      <c r="E89" s="893">
        <v>0.2</v>
      </c>
      <c r="F89" s="880">
        <v>30</v>
      </c>
    </row>
    <row r="90" spans="1:6" s="876" customFormat="1" ht="24">
      <c r="A90" s="880">
        <v>30</v>
      </c>
      <c r="B90" s="3286"/>
      <c r="C90" s="816" t="s">
        <v>674</v>
      </c>
      <c r="D90" s="816" t="s">
        <v>675</v>
      </c>
      <c r="E90" s="893">
        <v>0.2</v>
      </c>
      <c r="F90" s="880">
        <v>30</v>
      </c>
    </row>
    <row r="91" spans="1:6" s="876" customFormat="1" ht="36">
      <c r="A91" s="880">
        <v>31</v>
      </c>
      <c r="B91" s="3286"/>
      <c r="C91" s="816" t="s">
        <v>676</v>
      </c>
      <c r="D91" s="816" t="s">
        <v>677</v>
      </c>
      <c r="E91" s="893">
        <v>0.2</v>
      </c>
      <c r="F91" s="880">
        <v>30</v>
      </c>
    </row>
    <row r="92" spans="1:6" s="876" customFormat="1" ht="24">
      <c r="A92" s="880">
        <v>32</v>
      </c>
      <c r="B92" s="3286" t="s">
        <v>678</v>
      </c>
      <c r="C92" s="880" t="s">
        <v>679</v>
      </c>
      <c r="D92" s="816" t="s">
        <v>680</v>
      </c>
      <c r="E92" s="893">
        <v>0.2</v>
      </c>
      <c r="F92" s="880">
        <v>30</v>
      </c>
    </row>
    <row r="93" spans="1:6" s="876" customFormat="1" ht="36">
      <c r="A93" s="880">
        <v>33</v>
      </c>
      <c r="B93" s="3286"/>
      <c r="C93" s="880" t="s">
        <v>681</v>
      </c>
      <c r="D93" s="816" t="s">
        <v>682</v>
      </c>
      <c r="E93" s="893">
        <v>0.2</v>
      </c>
      <c r="F93" s="880">
        <v>30</v>
      </c>
    </row>
    <row r="94" spans="1:6" s="876" customFormat="1" ht="48">
      <c r="A94" s="880">
        <v>34</v>
      </c>
      <c r="B94" s="3286"/>
      <c r="C94" s="880" t="s">
        <v>683</v>
      </c>
      <c r="D94" s="816" t="s">
        <v>684</v>
      </c>
      <c r="E94" s="893">
        <v>0.2</v>
      </c>
      <c r="F94" s="880">
        <v>30</v>
      </c>
    </row>
    <row r="95" spans="1:6" s="876" customFormat="1" ht="36">
      <c r="A95" s="880">
        <v>35</v>
      </c>
      <c r="B95" s="3286"/>
      <c r="C95" s="880" t="s">
        <v>685</v>
      </c>
      <c r="D95" s="816" t="s">
        <v>686</v>
      </c>
      <c r="E95" s="893">
        <v>0.2</v>
      </c>
      <c r="F95" s="880">
        <v>30</v>
      </c>
    </row>
    <row r="96" spans="1:6" s="876" customFormat="1" ht="48">
      <c r="A96" s="880">
        <v>36</v>
      </c>
      <c r="B96" s="3286"/>
      <c r="C96" s="816" t="s">
        <v>687</v>
      </c>
      <c r="D96" s="816" t="s">
        <v>688</v>
      </c>
      <c r="E96" s="893">
        <v>0.2</v>
      </c>
      <c r="F96" s="880">
        <v>30</v>
      </c>
    </row>
    <row r="97" spans="1:6" s="876" customFormat="1" ht="36">
      <c r="A97" s="880">
        <v>37</v>
      </c>
      <c r="B97" s="3286"/>
      <c r="C97" s="880" t="s">
        <v>689</v>
      </c>
      <c r="D97" s="816" t="s">
        <v>690</v>
      </c>
      <c r="E97" s="893">
        <v>0.2</v>
      </c>
      <c r="F97" s="880">
        <v>30</v>
      </c>
    </row>
    <row r="98" spans="1:6" s="876" customFormat="1" ht="36">
      <c r="A98" s="880">
        <v>38</v>
      </c>
      <c r="B98" s="3286"/>
      <c r="C98" s="880" t="s">
        <v>691</v>
      </c>
      <c r="D98" s="816" t="s">
        <v>692</v>
      </c>
      <c r="E98" s="893">
        <v>0.2</v>
      </c>
      <c r="F98" s="880">
        <v>30</v>
      </c>
    </row>
    <row r="99" spans="1:6" s="876" customFormat="1" ht="36">
      <c r="A99" s="880">
        <v>39</v>
      </c>
      <c r="B99" s="3286" t="s">
        <v>693</v>
      </c>
      <c r="C99" s="880" t="s">
        <v>694</v>
      </c>
      <c r="D99" s="816" t="s">
        <v>695</v>
      </c>
      <c r="E99" s="893">
        <v>0.3</v>
      </c>
      <c r="F99" s="880">
        <v>50</v>
      </c>
    </row>
    <row r="100" spans="1:6" s="876" customFormat="1" ht="24">
      <c r="A100" s="880">
        <v>40</v>
      </c>
      <c r="B100" s="3286"/>
      <c r="C100" s="880" t="s">
        <v>696</v>
      </c>
      <c r="D100" s="816" t="s">
        <v>697</v>
      </c>
      <c r="E100" s="893">
        <v>0.2</v>
      </c>
      <c r="F100" s="880">
        <v>30</v>
      </c>
    </row>
    <row r="101" spans="1:6" s="876" customFormat="1" ht="36">
      <c r="A101" s="880">
        <v>41</v>
      </c>
      <c r="B101" s="328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6" t="s">
        <v>708</v>
      </c>
      <c r="C105" s="880" t="s">
        <v>709</v>
      </c>
      <c r="D105" s="816" t="s">
        <v>710</v>
      </c>
      <c r="E105" s="893">
        <v>0.2</v>
      </c>
      <c r="F105" s="880">
        <v>30</v>
      </c>
    </row>
    <row r="106" spans="1:6" s="876" customFormat="1" ht="36">
      <c r="A106" s="880">
        <v>46</v>
      </c>
      <c r="B106" s="3286"/>
      <c r="C106" s="880" t="s">
        <v>711</v>
      </c>
      <c r="D106" s="816" t="s">
        <v>712</v>
      </c>
      <c r="E106" s="893">
        <v>0.2</v>
      </c>
      <c r="F106" s="880">
        <v>30</v>
      </c>
    </row>
    <row r="107" spans="1:6" s="876" customFormat="1" ht="36">
      <c r="A107" s="880">
        <v>47</v>
      </c>
      <c r="B107" s="3286" t="s">
        <v>713</v>
      </c>
      <c r="C107" s="880" t="s">
        <v>714</v>
      </c>
      <c r="D107" s="816" t="s">
        <v>715</v>
      </c>
      <c r="E107" s="893">
        <v>0.3</v>
      </c>
      <c r="F107" s="880">
        <v>50</v>
      </c>
    </row>
    <row r="108" spans="1:6" s="876" customFormat="1" ht="36">
      <c r="A108" s="880">
        <v>48</v>
      </c>
      <c r="B108" s="328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6" t="s">
        <v>724</v>
      </c>
      <c r="C111" s="880" t="s">
        <v>725</v>
      </c>
      <c r="D111" s="816" t="s">
        <v>726</v>
      </c>
      <c r="E111" s="893">
        <v>0.2</v>
      </c>
      <c r="F111" s="880">
        <v>30</v>
      </c>
    </row>
    <row r="112" spans="1:6" s="876" customFormat="1" ht="24">
      <c r="A112" s="880">
        <v>52</v>
      </c>
      <c r="B112" s="3286"/>
      <c r="C112" s="880" t="s">
        <v>727</v>
      </c>
      <c r="D112" s="816" t="s">
        <v>728</v>
      </c>
      <c r="E112" s="893">
        <v>0.2</v>
      </c>
      <c r="F112" s="880">
        <v>30</v>
      </c>
    </row>
    <row r="113" spans="1:6" s="876" customFormat="1" ht="24">
      <c r="A113" s="880">
        <v>53</v>
      </c>
      <c r="B113" s="328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6" t="s">
        <v>737</v>
      </c>
      <c r="C116" s="880" t="s">
        <v>738</v>
      </c>
      <c r="D116" s="816" t="s">
        <v>739</v>
      </c>
      <c r="E116" s="893">
        <v>0.2</v>
      </c>
      <c r="F116" s="880">
        <v>30</v>
      </c>
    </row>
    <row r="117" spans="1:6" ht="36">
      <c r="A117" s="880">
        <v>57</v>
      </c>
      <c r="B117" s="328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2955</v>
      </c>
    </row>
    <row r="2" spans="1:5" ht="15.75">
      <c r="A2" s="2909" t="s">
        <v>2947</v>
      </c>
      <c r="B2" s="2910" t="e">
        <f ca="1">SUMIF(B6:B13,"&lt;&gt;#ref!",B6:B13)</f>
        <v>#DIV/0!</v>
      </c>
      <c r="C2" s="2909" t="s">
        <v>2948</v>
      </c>
      <c r="D2" s="2909" t="s">
        <v>2949</v>
      </c>
      <c r="E2" s="2910">
        <f ca="1">SUMIF(E6:E13,"&lt;&gt;#ref!",E6:E13)</f>
        <v>2188.58</v>
      </c>
    </row>
    <row r="3" spans="1:5" ht="15.75">
      <c r="A3" s="2909" t="s">
        <v>2950</v>
      </c>
      <c r="B3" s="2910" t="e">
        <f ca="1">ROUND(B2*10000/E2,0)</f>
        <v>#DIV/0!</v>
      </c>
      <c r="C3" s="2909" t="s">
        <v>2956</v>
      </c>
      <c r="D3" s="2911"/>
      <c r="E3" s="2911"/>
    </row>
    <row r="4" spans="1:5" ht="15.75">
      <c r="A4" s="2912"/>
      <c r="B4" s="2911"/>
      <c r="C4" s="2911"/>
      <c r="D4" s="2911"/>
      <c r="E4" s="2911"/>
    </row>
    <row r="5" spans="1:5" ht="28.5">
      <c r="A5" s="2913" t="s">
        <v>2951</v>
      </c>
      <c r="B5" s="2909" t="s">
        <v>2952</v>
      </c>
      <c r="C5" s="2910"/>
      <c r="D5" s="2911"/>
      <c r="E5" s="2909" t="s">
        <v>2953</v>
      </c>
    </row>
    <row r="6" spans="1:5" ht="15.75">
      <c r="A6" s="2914" t="s">
        <v>2954</v>
      </c>
      <c r="B6" s="2910" t="e">
        <f ca="1">SUMIF(INDIRECT("'"&amp;A6&amp;"'"&amp;"!A:A"),"总价",INDIRECT("'"&amp;A6&amp;"'"&amp;"!B:B"))</f>
        <v>#DIV/0!</v>
      </c>
      <c r="C6" s="2909" t="s">
        <v>2948</v>
      </c>
      <c r="D6" s="2911"/>
      <c r="E6" s="2574">
        <f ca="1">SUMIF(INDIRECT("'"&amp;A6&amp;"'"&amp;"!C:C"),"建筑面积",INDIRECT("'"&amp;A6&amp;"'"&amp;"!D:D"))</f>
        <v>2188.58</v>
      </c>
    </row>
    <row r="7" spans="1:5" ht="15.75">
      <c r="A7" s="2914"/>
      <c r="B7" s="2910" t="e">
        <f ca="1">SUMIF(INDIRECT("'"&amp;A7&amp;"'"&amp;"!A:A"),"总价",INDIRECT("'"&amp;A7&amp;"'"&amp;"!B:B"))</f>
        <v>#REF!</v>
      </c>
      <c r="C7" s="2909" t="s">
        <v>2948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2948</v>
      </c>
      <c r="D8" s="2911"/>
      <c r="E8" s="2574" t="e">
        <f t="shared" ca="1" si="0"/>
        <v>#REF!</v>
      </c>
    </row>
    <row r="9" spans="1:5" ht="15.75">
      <c r="A9" s="2914"/>
      <c r="B9" s="2910" t="e">
        <f t="shared" ca="1" si="1"/>
        <v>#REF!</v>
      </c>
      <c r="C9" s="2909" t="s">
        <v>2948</v>
      </c>
      <c r="D9" s="2911"/>
      <c r="E9" s="2574" t="e">
        <f t="shared" ca="1" si="0"/>
        <v>#REF!</v>
      </c>
    </row>
    <row r="10" spans="1:5" ht="15.75">
      <c r="A10" s="2914"/>
      <c r="B10" s="2910" t="e">
        <f t="shared" ca="1" si="1"/>
        <v>#REF!</v>
      </c>
      <c r="C10" s="2909" t="s">
        <v>2948</v>
      </c>
      <c r="D10" s="2911"/>
      <c r="E10" s="2574" t="e">
        <f t="shared" ca="1" si="0"/>
        <v>#REF!</v>
      </c>
    </row>
    <row r="11" spans="1:5" ht="15.75">
      <c r="A11" s="2914"/>
      <c r="B11" s="2910" t="e">
        <f t="shared" ca="1" si="1"/>
        <v>#REF!</v>
      </c>
      <c r="C11" s="2909" t="s">
        <v>2948</v>
      </c>
      <c r="D11" s="2911"/>
      <c r="E11" s="2574" t="e">
        <f t="shared" ca="1" si="0"/>
        <v>#REF!</v>
      </c>
    </row>
    <row r="12" spans="1:5" ht="15.75">
      <c r="A12" s="2914"/>
      <c r="B12" s="2910" t="e">
        <f t="shared" ca="1" si="1"/>
        <v>#REF!</v>
      </c>
      <c r="C12" s="2909" t="s">
        <v>2948</v>
      </c>
      <c r="D12" s="2911"/>
      <c r="E12" s="2574" t="e">
        <f t="shared" ca="1" si="0"/>
        <v>#REF!</v>
      </c>
    </row>
    <row r="13" spans="1:5" ht="15.75">
      <c r="A13" s="2914"/>
      <c r="B13" s="2910" t="e">
        <f t="shared" ca="1" si="1"/>
        <v>#REF!</v>
      </c>
      <c r="C13" s="2909" t="s">
        <v>2948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6" sqref="W6"/>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92" t="s">
        <v>1146</v>
      </c>
      <c r="C1" s="3292"/>
      <c r="D1" s="3292"/>
      <c r="E1" s="3292"/>
      <c r="F1" s="3292"/>
      <c r="G1" s="3288" t="s">
        <v>1147</v>
      </c>
      <c r="H1" s="3288"/>
      <c r="I1" s="3288"/>
      <c r="J1" s="3288"/>
      <c r="K1" s="3288"/>
      <c r="L1" s="3288"/>
      <c r="N1" s="3288" t="s">
        <v>1148</v>
      </c>
      <c r="O1" s="3288"/>
      <c r="P1" s="3288"/>
      <c r="Q1" s="3288"/>
      <c r="R1" s="1447"/>
      <c r="S1" s="3288" t="s">
        <v>1149</v>
      </c>
      <c r="T1" s="3288"/>
      <c r="U1" s="3288"/>
      <c r="V1" s="3288"/>
      <c r="X1" s="3287" t="s">
        <v>1150</v>
      </c>
      <c r="Y1" s="3288"/>
      <c r="Z1" s="3288"/>
      <c r="AA1" s="3288"/>
      <c r="AB1" s="3288"/>
      <c r="AD1" s="3287" t="s">
        <v>1151</v>
      </c>
      <c r="AE1" s="3288"/>
      <c r="AF1" s="3288"/>
      <c r="AG1" s="3288"/>
      <c r="AH1" s="3288"/>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2986</v>
      </c>
      <c r="B3" s="2929"/>
      <c r="C3" s="2929"/>
      <c r="D3" s="2930"/>
      <c r="E3" s="2930"/>
      <c r="F3" s="2929"/>
      <c r="G3" s="2931"/>
      <c r="H3" s="2932"/>
      <c r="I3" s="2933">
        <f>ROUND(AVERAGE($I9:$I24),2)</f>
        <v>2.4500000000000002</v>
      </c>
      <c r="J3" s="2933">
        <f>ROUND(AVERAGE($J9:$J24),2)</f>
        <v>1.65</v>
      </c>
      <c r="K3" s="2933">
        <f>ROUND(AVERAGE($K9:$K24),2)</f>
        <v>2.71</v>
      </c>
      <c r="L3" s="2933">
        <f>ROUND(AVERAGE($L9:$L24),2)</f>
        <v>1.39</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2.1999999999999999E-2</v>
      </c>
      <c r="AE3" s="2936">
        <f>ROUND(AVERAGE(J3:J$24)/100,4)</f>
        <v>1.54E-2</v>
      </c>
      <c r="AF3" s="2936">
        <f t="shared" ref="AF3:AF22" si="1">AE3</f>
        <v>1.54E-2</v>
      </c>
      <c r="AG3" s="2936">
        <f>ROUND(AVERAGE(K3:K$24)/100,4)</f>
        <v>2.4199999999999999E-2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3117</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74">
        <v>2018</v>
      </c>
      <c r="H5" s="1730">
        <v>4</v>
      </c>
      <c r="I5" s="2923">
        <v>0</v>
      </c>
      <c r="J5" s="2923">
        <v>0</v>
      </c>
      <c r="K5" s="2923">
        <v>0</v>
      </c>
      <c r="L5" s="2923">
        <v>0</v>
      </c>
      <c r="N5" s="1468">
        <f>I5/100</f>
        <v>0</v>
      </c>
      <c r="O5" s="1468">
        <f t="shared" ref="O5" si="7">J5/100</f>
        <v>0</v>
      </c>
      <c r="P5" s="1468">
        <f t="shared" ref="P5" si="8">K5/100</f>
        <v>0</v>
      </c>
      <c r="Q5" s="1468">
        <f t="shared" ref="Q5" si="9">L5/100</f>
        <v>0</v>
      </c>
      <c r="R5" s="1732"/>
      <c r="S5" s="1733"/>
      <c r="T5" s="1732"/>
      <c r="U5" s="1732"/>
      <c r="V5" s="1732"/>
      <c r="W5" s="2927" t="s">
        <v>2987</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3118</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8"/>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7" customFormat="1" ht="13.5" thickBot="1">
      <c r="A7" s="1462" t="s">
        <v>2993</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8"/>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7" customFormat="1" ht="13.5" thickBot="1">
      <c r="A8" s="1462" t="s">
        <v>2985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8"/>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2" t="s">
        <v>2982</v>
      </c>
      <c r="B9" s="1470">
        <v>439</v>
      </c>
      <c r="C9" s="1470">
        <v>327</v>
      </c>
      <c r="D9" s="1470">
        <f>C9</f>
        <v>327</v>
      </c>
      <c r="E9" s="1470">
        <v>627</v>
      </c>
      <c r="F9" s="1471">
        <v>283</v>
      </c>
      <c r="G9" s="2925">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2983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1"/>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0"/>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4"/>
      <c r="AD11" s="1789">
        <f>ROUND(AVERAGE(I11:I$24)/100,4)</f>
        <v>2.46E-2</v>
      </c>
      <c r="AE11" s="1789">
        <f>ROUND(AVERAGE(J11:J$24)/100,4)</f>
        <v>1.6E-2</v>
      </c>
      <c r="AF11" s="1789">
        <f t="shared" si="1"/>
        <v>1.6E-2</v>
      </c>
      <c r="AG11" s="1789">
        <f>ROUND(AVERAGE(K11:K$24)/100,4)</f>
        <v>2.75E-2</v>
      </c>
      <c r="AH11" s="1789">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1"/>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2" t="s">
        <v>154</v>
      </c>
      <c r="B13" s="1470">
        <v>392</v>
      </c>
      <c r="C13" s="1470">
        <v>302</v>
      </c>
      <c r="D13" s="1470">
        <f>C13</f>
        <v>302</v>
      </c>
      <c r="E13" s="1470">
        <v>553</v>
      </c>
      <c r="F13" s="1471">
        <v>266</v>
      </c>
      <c r="G13" s="3293">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290"/>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290"/>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291"/>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289">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290"/>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290"/>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291"/>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289">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290"/>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290"/>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291"/>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2" t="s">
        <v>1159</v>
      </c>
      <c r="B25" s="1470">
        <v>299</v>
      </c>
      <c r="C25" s="1470">
        <v>252</v>
      </c>
      <c r="D25" s="1470">
        <f t="shared" si="64"/>
        <v>252</v>
      </c>
      <c r="E25" s="1470">
        <v>409</v>
      </c>
      <c r="F25" s="1471">
        <v>227</v>
      </c>
      <c r="G25" s="3294">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295"/>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295"/>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296"/>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289">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290"/>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290"/>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291"/>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289">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290">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290">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291">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289">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290">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290">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291">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289">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290">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290">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291">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289">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290">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290">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291">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289">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290">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290">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291">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289">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290">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290">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291">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289">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290">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290">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291">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289">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290">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290">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291">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289">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290">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290">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291">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289">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290">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290">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291">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password="C66D"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1"/>
      <c r="B4" s="2981" t="s">
        <v>1626</v>
      </c>
      <c r="C4" s="2981"/>
      <c r="D4" s="2981"/>
      <c r="E4" s="1961"/>
    </row>
    <row r="5" spans="1:5" ht="16.5" thickTop="1">
      <c r="A5" s="1959"/>
      <c r="B5" s="2979" t="s">
        <v>1618</v>
      </c>
      <c r="C5" s="1962" t="s">
        <v>1619</v>
      </c>
      <c r="D5" s="1041">
        <f ca="1">结果表!H101</f>
        <v>6510</v>
      </c>
      <c r="E5" s="1959"/>
    </row>
    <row r="6" spans="1:5" ht="15.75">
      <c r="A6" s="1959"/>
      <c r="B6" s="2979"/>
      <c r="C6" s="1962" t="s">
        <v>1620</v>
      </c>
      <c r="D6" s="1041" t="str">
        <f ca="1">NUMBERSTRING(INT(D5*10000),2)&amp;"元整"</f>
        <v>陆仟伍佰壹拾万元整</v>
      </c>
      <c r="E6" s="1959"/>
    </row>
    <row r="7" spans="1:5" ht="15.75">
      <c r="A7" s="1959"/>
      <c r="B7" s="2984"/>
      <c r="C7" s="1963" t="s">
        <v>1621</v>
      </c>
      <c r="D7" s="1042">
        <f ca="1">结果表!H102</f>
        <v>29745</v>
      </c>
      <c r="E7" s="1959"/>
    </row>
    <row r="8" spans="1:5" ht="15.75">
      <c r="A8" s="1959"/>
      <c r="B8" s="2985" t="str">
        <f>结果表!E103</f>
        <v>2.估价师知悉的法定优先受偿款</v>
      </c>
      <c r="C8" s="1964" t="s">
        <v>1622</v>
      </c>
      <c r="D8" s="1042">
        <f>结果表!H103</f>
        <v>0</v>
      </c>
      <c r="E8" s="1959"/>
    </row>
    <row r="9" spans="1:5" ht="15.75">
      <c r="A9" s="1959"/>
      <c r="B9" s="2987"/>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78" t="str">
        <f>结果表!E107</f>
        <v>3.房地产抵押价值</v>
      </c>
      <c r="C13" s="1967" t="s">
        <v>1619</v>
      </c>
      <c r="D13" s="1044">
        <f ca="1">结果表!H107</f>
        <v>6510</v>
      </c>
      <c r="E13" s="1959"/>
    </row>
    <row r="14" spans="1:5" ht="15.75">
      <c r="A14" s="1959"/>
      <c r="B14" s="2979"/>
      <c r="C14" s="1962" t="s">
        <v>1620</v>
      </c>
      <c r="D14" s="1041" t="str">
        <f ca="1">NUMBERSTRING(INT(D13*10000),2)&amp;"元整"</f>
        <v>陆仟伍佰壹拾万元整</v>
      </c>
      <c r="E14" s="1959"/>
    </row>
    <row r="15" spans="1:5" ht="15">
      <c r="A15" s="1959"/>
      <c r="B15" s="2984"/>
      <c r="C15" s="1963" t="s">
        <v>1630</v>
      </c>
      <c r="D15" s="1053">
        <f ca="1">结果表!H108</f>
        <v>29745</v>
      </c>
      <c r="E15" s="1959"/>
    </row>
    <row r="16" spans="1:5" ht="15">
      <c r="A16" s="1959"/>
      <c r="B16" s="2985" t="str">
        <f>结果表!E109</f>
        <v>——</v>
      </c>
      <c r="C16" s="1967" t="s">
        <v>1631</v>
      </c>
      <c r="D16" s="1968" t="str">
        <f>结果表!H109</f>
        <v>——</v>
      </c>
      <c r="E16" s="1959"/>
    </row>
    <row r="17" spans="1:5" ht="15.75">
      <c r="A17" s="1959"/>
      <c r="B17" s="2986"/>
      <c r="C17" s="1962" t="s">
        <v>1632</v>
      </c>
      <c r="D17" s="1041" t="e">
        <f>NUMBERSTRING(INT(D16*10000),2)&amp;"元整"</f>
        <v>#VALUE!</v>
      </c>
      <c r="E17" s="1959"/>
    </row>
    <row r="18" spans="1:5" ht="15">
      <c r="A18" s="1959"/>
      <c r="B18" s="2987"/>
      <c r="C18" s="1963" t="s">
        <v>1621</v>
      </c>
      <c r="D18" s="1053" t="str">
        <f>结果表!H110</f>
        <v>——</v>
      </c>
      <c r="E18" s="1959"/>
    </row>
    <row r="19" spans="1:5" ht="15.75">
      <c r="A19" s="1959"/>
      <c r="B19" s="2978" t="str">
        <f>结果表!E111</f>
        <v>——</v>
      </c>
      <c r="C19" s="1967" t="s">
        <v>1619</v>
      </c>
      <c r="D19" s="1042" t="str">
        <f>结果表!H111</f>
        <v>——</v>
      </c>
      <c r="E19" s="1959"/>
    </row>
    <row r="20" spans="1:5" ht="15.75">
      <c r="A20" s="1959"/>
      <c r="B20" s="2979"/>
      <c r="C20" s="1962" t="s">
        <v>1632</v>
      </c>
      <c r="D20" s="1041" t="e">
        <f>NUMBERSTRING(INT(D19*10000),2)&amp;"元整"</f>
        <v>#VALUE!</v>
      </c>
      <c r="E20" s="1959"/>
    </row>
    <row r="21" spans="1:5" ht="15.75" thickBot="1">
      <c r="A21" s="1959"/>
      <c r="B21" s="2980"/>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A28" sqref="A28"/>
    </sheetView>
  </sheetViews>
  <sheetFormatPr defaultColWidth="9" defaultRowHeight="12.75"/>
  <cols>
    <col min="1" max="1" width="14.75" style="139" customWidth="1"/>
    <col min="2" max="2" width="9.25" style="27" customWidth="1"/>
    <col min="3" max="3" width="8.5" style="27" customWidth="1"/>
    <col min="4" max="4" width="9" style="27"/>
    <col min="5" max="5" width="8.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2957</v>
      </c>
      <c r="C1" s="3298" t="s">
        <v>2958</v>
      </c>
      <c r="D1" s="3299"/>
      <c r="E1" s="3299"/>
      <c r="F1" s="3299"/>
      <c r="G1" s="3299"/>
      <c r="H1" s="3299"/>
      <c r="I1" s="3299"/>
      <c r="J1" s="3299"/>
      <c r="K1" s="3299"/>
      <c r="L1" s="3299"/>
      <c r="M1" s="3299"/>
      <c r="N1" s="3299"/>
      <c r="O1" s="3299"/>
      <c r="P1" s="3299"/>
      <c r="Q1" s="3299"/>
      <c r="R1" s="3299"/>
      <c r="S1" s="3300"/>
      <c r="T1" s="1205" t="s">
        <v>2959</v>
      </c>
    </row>
    <row r="2" spans="1:45" s="707" customFormat="1" ht="25.5">
      <c r="A2" s="1206"/>
      <c r="B2" s="703" t="s">
        <v>2960</v>
      </c>
      <c r="C2" s="704" t="str">
        <f t="shared" ref="C2:L2" si="0">C3&amp;"(含)"&amp;"-"&amp;D3</f>
        <v>0(含)-200</v>
      </c>
      <c r="D2" s="705" t="str">
        <f t="shared" si="0"/>
        <v>200(含)-400</v>
      </c>
      <c r="E2" s="705" t="str">
        <f t="shared" si="0"/>
        <v>400(含)-600</v>
      </c>
      <c r="F2" s="705" t="str">
        <f t="shared" si="0"/>
        <v>600(含)-800</v>
      </c>
      <c r="G2" s="705" t="str">
        <f t="shared" si="0"/>
        <v>800(含)-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200</v>
      </c>
      <c r="E3" s="595">
        <v>400</v>
      </c>
      <c r="F3" s="595">
        <v>600</v>
      </c>
      <c r="G3" s="595">
        <v>800</v>
      </c>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99</v>
      </c>
      <c r="E4" s="536">
        <v>98</v>
      </c>
      <c r="F4" s="536">
        <v>97</v>
      </c>
      <c r="G4" s="536">
        <v>96</v>
      </c>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2968" t="s">
        <v>3096</v>
      </c>
      <c r="C5" s="2969" t="s">
        <v>3097</v>
      </c>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2970" t="s">
        <v>3098</v>
      </c>
      <c r="C7" s="2971" t="s">
        <v>3099</v>
      </c>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2961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2962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2963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2964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2965</v>
      </c>
      <c r="B17" s="2916" t="s">
        <v>2966</v>
      </c>
      <c r="C17" s="1232" t="s">
        <v>3045</v>
      </c>
      <c r="D17" s="1233" t="s">
        <v>3046</v>
      </c>
      <c r="E17" s="1233" t="s">
        <v>3047</v>
      </c>
      <c r="F17" s="2944" t="s">
        <v>3051</v>
      </c>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v>60</v>
      </c>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2967</v>
      </c>
      <c r="E19" s="1792"/>
      <c r="F19" s="1792"/>
      <c r="G19" s="1792"/>
      <c r="H19" s="1281"/>
      <c r="I19" s="168"/>
      <c r="J19" s="168"/>
      <c r="K19" s="168"/>
      <c r="L19" s="168"/>
      <c r="M19" s="168"/>
      <c r="N19" s="168"/>
      <c r="O19" s="168"/>
      <c r="P19" s="168"/>
      <c r="Q19" s="168"/>
      <c r="R19" s="786"/>
      <c r="S19" s="138"/>
    </row>
    <row r="20" spans="1:45" ht="16.5" thickBot="1">
      <c r="A20" s="713" t="s">
        <v>2968</v>
      </c>
      <c r="B20" s="338">
        <f ca="1">IF(D20="——",S22,S22-F20)</f>
        <v>5672</v>
      </c>
      <c r="C20" s="168"/>
      <c r="D20" s="2918" t="s">
        <v>70</v>
      </c>
      <c r="E20" s="1793"/>
      <c r="F20" s="1205" t="e">
        <f ca="1">SUMIF(INDIRECT("'"&amp;H20&amp;"'"&amp;"!A:A"),"承租人权益价值",INDIRECT("'"&amp;H20&amp;"'"&amp;"!c:c"))</f>
        <v>#REF!</v>
      </c>
      <c r="G20" s="1205" t="s">
        <v>2969</v>
      </c>
      <c r="H20" s="2919"/>
      <c r="I20" s="168"/>
      <c r="J20" s="168"/>
      <c r="K20" s="168"/>
      <c r="L20" s="168"/>
      <c r="M20" s="168"/>
      <c r="N20" s="168"/>
      <c r="O20" s="168"/>
      <c r="P20" s="168"/>
      <c r="Q20" s="168"/>
      <c r="R20" s="786"/>
      <c r="S20" s="138"/>
    </row>
    <row r="21" spans="1:45" ht="15.75">
      <c r="A21" s="713" t="s">
        <v>2970</v>
      </c>
      <c r="B21" s="338">
        <f ca="1">R22</f>
        <v>25916</v>
      </c>
      <c r="C21" s="168"/>
      <c r="D21" s="168"/>
      <c r="E21" s="168"/>
      <c r="F21" s="168"/>
      <c r="G21" s="168"/>
      <c r="H21" s="168"/>
      <c r="I21" s="168"/>
      <c r="J21" s="168"/>
      <c r="K21" s="168"/>
      <c r="L21" s="168"/>
      <c r="M21" s="168"/>
      <c r="N21" s="168"/>
      <c r="O21" s="168"/>
      <c r="P21" s="168"/>
      <c r="Q21" s="168"/>
      <c r="R21" s="786"/>
      <c r="S21" s="138"/>
    </row>
    <row r="22" spans="1:45">
      <c r="A22" s="361" t="s">
        <v>2971</v>
      </c>
      <c r="B22" s="24">
        <f>SUM(B24:B10000)</f>
        <v>2188.58</v>
      </c>
      <c r="C22" s="3078" t="s">
        <v>33</v>
      </c>
      <c r="D22" s="3079"/>
      <c r="E22" s="3079"/>
      <c r="F22" s="3079"/>
      <c r="G22" s="3079"/>
      <c r="H22" s="3079"/>
      <c r="I22" s="3079"/>
      <c r="J22" s="3079"/>
      <c r="K22" s="3079"/>
      <c r="L22" s="3079"/>
      <c r="M22" s="3079"/>
      <c r="N22" s="3079"/>
      <c r="O22" s="3079"/>
      <c r="P22" s="3079"/>
      <c r="Q22" s="3297"/>
      <c r="R22" s="714">
        <f ca="1">ROUND(S22*10000/B22,0)</f>
        <v>25916</v>
      </c>
      <c r="S22" s="24">
        <f ca="1">SUM(S24:S10000)</f>
        <v>5672</v>
      </c>
    </row>
    <row r="23" spans="1:45" s="12" customFormat="1" ht="24">
      <c r="A23" s="11" t="s">
        <v>2972</v>
      </c>
      <c r="B23" s="11" t="s">
        <v>2973</v>
      </c>
      <c r="C23" s="11" t="s">
        <v>2974</v>
      </c>
      <c r="D23" s="11" t="str">
        <f>B5</f>
        <v>内部装修</v>
      </c>
      <c r="E23" s="11" t="s">
        <v>2974</v>
      </c>
      <c r="F23" s="11" t="str">
        <f>B7</f>
        <v>人流量</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5" t="s">
        <v>2975</v>
      </c>
      <c r="S23" s="11" t="s">
        <v>2976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43" t="s">
        <v>3049</v>
      </c>
      <c r="B24" s="716">
        <v>399.27</v>
      </c>
      <c r="C24" s="717">
        <v>1</v>
      </c>
      <c r="D24" s="718" t="s">
        <v>3071</v>
      </c>
      <c r="E24" s="717">
        <v>1</v>
      </c>
      <c r="F24" s="718" t="s">
        <v>3015</v>
      </c>
      <c r="G24" s="717">
        <v>1</v>
      </c>
      <c r="H24" s="718"/>
      <c r="I24" s="717">
        <v>1</v>
      </c>
      <c r="J24" s="718"/>
      <c r="K24" s="717">
        <v>1</v>
      </c>
      <c r="L24" s="718"/>
      <c r="M24" s="717">
        <v>1</v>
      </c>
      <c r="N24" s="718"/>
      <c r="O24" s="717">
        <v>1</v>
      </c>
      <c r="P24" s="718" t="s">
        <v>3050</v>
      </c>
      <c r="Q24" s="717">
        <v>1</v>
      </c>
      <c r="R24" s="719">
        <f ca="1">ROUND('结果表 (2)'!G20*0.6,0)</f>
        <v>26251</v>
      </c>
      <c r="S24" s="717">
        <f t="shared" ref="S24:S54" ca="1" si="11">ROUND(R24*B24/10000,0)</f>
        <v>1048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3052</v>
      </c>
      <c r="B25" s="59">
        <v>658.3</v>
      </c>
      <c r="C25" s="24">
        <f>IF(B25="",1,(LOOKUP(B25,$3:$3,$4:$4)-LOOKUP($B$24,$3:$3,$4:$4)+100)/100)</f>
        <v>0.98</v>
      </c>
      <c r="D25" s="718" t="s">
        <v>3071</v>
      </c>
      <c r="E25" s="24">
        <f>(SUMIF($5:$5,D25,$6:$6)-SUMIF($5:$5,$D$24,$6:$6)+100)/100</f>
        <v>1</v>
      </c>
      <c r="F25" s="718" t="s">
        <v>3015</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3050</v>
      </c>
      <c r="Q25" s="24">
        <f>(SUMIF($17:$17,P25,$18:$18)-SUMIF($17:$17,$P$24,$18:$18)+100)/100</f>
        <v>1</v>
      </c>
      <c r="R25" s="714">
        <f ca="1">IF(B25="",0,ROUND($R$24*C25*E25*G25*I25*K25*M25*O25*Q25,0))</f>
        <v>25726</v>
      </c>
      <c r="S25" s="361">
        <f t="shared" ca="1" si="11"/>
        <v>1694</v>
      </c>
    </row>
    <row r="26" spans="1:45">
      <c r="A26" s="159" t="s">
        <v>3053</v>
      </c>
      <c r="B26" s="59">
        <v>731.74</v>
      </c>
      <c r="C26" s="24">
        <f t="shared" ref="C26:C89" si="12">IF(B26="",1,(LOOKUP(B26,$3:$3,$4:$4)-LOOKUP($B$24,$3:$3,$4:$4)+100)/100)</f>
        <v>0.98</v>
      </c>
      <c r="D26" s="718" t="s">
        <v>3071</v>
      </c>
      <c r="E26" s="24">
        <f t="shared" ref="E26:E89" si="13">(SUMIF($5:$5,D26,$6:$6)-SUMIF($5:$5,$D$24,$6:$6)+100)/100</f>
        <v>1</v>
      </c>
      <c r="F26" s="718" t="s">
        <v>3015</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3050</v>
      </c>
      <c r="Q26" s="24">
        <f t="shared" ref="Q26:Q89" si="19">(SUMIF($17:$17,P26,$18:$18)-SUMIF($17:$17,$P$24,$18:$18)+100)/100</f>
        <v>1</v>
      </c>
      <c r="R26" s="714">
        <f t="shared" ref="R26:R89" ca="1" si="20">IF(B26="",0,ROUND($R$24*C26*E26*G26*I26*K26*M26*O26*Q26,0))</f>
        <v>25726</v>
      </c>
      <c r="S26" s="361">
        <f t="shared" ca="1" si="11"/>
        <v>1882</v>
      </c>
    </row>
    <row r="27" spans="1:45">
      <c r="A27" s="159" t="s">
        <v>3054</v>
      </c>
      <c r="B27" s="59">
        <v>399.27</v>
      </c>
      <c r="C27" s="24">
        <f t="shared" si="12"/>
        <v>1</v>
      </c>
      <c r="D27" s="718" t="s">
        <v>3071</v>
      </c>
      <c r="E27" s="24">
        <f t="shared" si="13"/>
        <v>1</v>
      </c>
      <c r="F27" s="718" t="s">
        <v>3015</v>
      </c>
      <c r="G27" s="24">
        <f t="shared" si="14"/>
        <v>1</v>
      </c>
      <c r="H27" s="718"/>
      <c r="I27" s="24">
        <f t="shared" si="15"/>
        <v>1</v>
      </c>
      <c r="J27" s="718"/>
      <c r="K27" s="24">
        <f t="shared" si="16"/>
        <v>1</v>
      </c>
      <c r="L27" s="718"/>
      <c r="M27" s="24">
        <f t="shared" si="17"/>
        <v>1</v>
      </c>
      <c r="N27" s="718"/>
      <c r="O27" s="24">
        <f t="shared" si="18"/>
        <v>1</v>
      </c>
      <c r="P27" s="718" t="s">
        <v>3050</v>
      </c>
      <c r="Q27" s="24">
        <f t="shared" si="19"/>
        <v>1</v>
      </c>
      <c r="R27" s="714">
        <f t="shared" ca="1" si="20"/>
        <v>26251</v>
      </c>
      <c r="S27" s="361">
        <f t="shared" ca="1" si="11"/>
        <v>1048</v>
      </c>
    </row>
    <row r="28" spans="1:45">
      <c r="A28" s="159"/>
      <c r="B28" s="59"/>
      <c r="C28" s="24">
        <f t="shared" si="12"/>
        <v>1</v>
      </c>
      <c r="D28" s="718"/>
      <c r="E28" s="24">
        <f t="shared" si="13"/>
        <v>0</v>
      </c>
      <c r="F28" s="718"/>
      <c r="G28" s="24">
        <f t="shared" si="14"/>
        <v>0</v>
      </c>
      <c r="H28" s="718"/>
      <c r="I28" s="24">
        <f t="shared" si="15"/>
        <v>1</v>
      </c>
      <c r="J28" s="718"/>
      <c r="K28" s="24">
        <f t="shared" si="16"/>
        <v>1</v>
      </c>
      <c r="L28" s="718"/>
      <c r="M28" s="24">
        <f t="shared" si="17"/>
        <v>1</v>
      </c>
      <c r="N28" s="718"/>
      <c r="O28" s="24">
        <f t="shared" si="18"/>
        <v>1</v>
      </c>
      <c r="P28" s="718"/>
      <c r="Q28" s="24">
        <f t="shared" si="19"/>
        <v>0.4</v>
      </c>
      <c r="R28" s="714">
        <f t="shared" si="20"/>
        <v>0</v>
      </c>
      <c r="S28" s="361">
        <f t="shared" si="11"/>
        <v>0</v>
      </c>
    </row>
    <row r="29" spans="1:45">
      <c r="A29" s="159"/>
      <c r="B29" s="59"/>
      <c r="C29" s="24">
        <f t="shared" si="12"/>
        <v>1</v>
      </c>
      <c r="D29" s="718"/>
      <c r="E29" s="24">
        <f t="shared" si="13"/>
        <v>0</v>
      </c>
      <c r="F29" s="718"/>
      <c r="G29" s="24">
        <f t="shared" si="14"/>
        <v>0</v>
      </c>
      <c r="H29" s="718"/>
      <c r="I29" s="24">
        <f t="shared" si="15"/>
        <v>1</v>
      </c>
      <c r="J29" s="718"/>
      <c r="K29" s="24">
        <f t="shared" si="16"/>
        <v>1</v>
      </c>
      <c r="L29" s="718"/>
      <c r="M29" s="24">
        <f t="shared" si="17"/>
        <v>1</v>
      </c>
      <c r="N29" s="718"/>
      <c r="O29" s="24">
        <f t="shared" si="18"/>
        <v>1</v>
      </c>
      <c r="P29" s="718"/>
      <c r="Q29" s="24">
        <f t="shared" si="19"/>
        <v>0.4</v>
      </c>
      <c r="R29" s="714">
        <f t="shared" si="20"/>
        <v>0</v>
      </c>
      <c r="S29" s="361">
        <f t="shared" si="11"/>
        <v>0</v>
      </c>
    </row>
    <row r="30" spans="1:45">
      <c r="A30" s="159"/>
      <c r="B30" s="59"/>
      <c r="C30" s="24">
        <f t="shared" si="12"/>
        <v>1</v>
      </c>
      <c r="D30" s="718"/>
      <c r="E30" s="24">
        <f t="shared" si="13"/>
        <v>0</v>
      </c>
      <c r="F30" s="718"/>
      <c r="G30" s="24">
        <f t="shared" si="14"/>
        <v>0</v>
      </c>
      <c r="H30" s="718"/>
      <c r="I30" s="24">
        <f t="shared" si="15"/>
        <v>1</v>
      </c>
      <c r="J30" s="718"/>
      <c r="K30" s="24">
        <f t="shared" si="16"/>
        <v>1</v>
      </c>
      <c r="L30" s="718"/>
      <c r="M30" s="24">
        <f t="shared" si="17"/>
        <v>1</v>
      </c>
      <c r="N30" s="718"/>
      <c r="O30" s="24">
        <f t="shared" si="18"/>
        <v>1</v>
      </c>
      <c r="P30" s="718"/>
      <c r="Q30" s="24">
        <f t="shared" si="19"/>
        <v>0.4</v>
      </c>
      <c r="R30" s="714">
        <f t="shared" si="20"/>
        <v>0</v>
      </c>
      <c r="S30" s="361">
        <f t="shared" si="11"/>
        <v>0</v>
      </c>
    </row>
    <row r="31" spans="1:45">
      <c r="A31" s="159"/>
      <c r="B31" s="59"/>
      <c r="C31" s="24">
        <f t="shared" si="12"/>
        <v>1</v>
      </c>
      <c r="D31" s="718"/>
      <c r="E31" s="24">
        <f t="shared" si="13"/>
        <v>0</v>
      </c>
      <c r="F31" s="718"/>
      <c r="G31" s="24">
        <f t="shared" si="14"/>
        <v>0</v>
      </c>
      <c r="H31" s="718"/>
      <c r="I31" s="24">
        <f t="shared" si="15"/>
        <v>1</v>
      </c>
      <c r="J31" s="718"/>
      <c r="K31" s="24">
        <f t="shared" si="16"/>
        <v>1</v>
      </c>
      <c r="L31" s="718"/>
      <c r="M31" s="24">
        <f t="shared" si="17"/>
        <v>1</v>
      </c>
      <c r="N31" s="718"/>
      <c r="O31" s="24">
        <f t="shared" si="18"/>
        <v>1</v>
      </c>
      <c r="P31" s="718"/>
      <c r="Q31" s="24">
        <f t="shared" si="19"/>
        <v>0.4</v>
      </c>
      <c r="R31" s="714">
        <f t="shared" si="20"/>
        <v>0</v>
      </c>
      <c r="S31" s="361">
        <f t="shared" si="11"/>
        <v>0</v>
      </c>
    </row>
    <row r="32" spans="1:45">
      <c r="A32" s="159"/>
      <c r="B32" s="59"/>
      <c r="C32" s="24">
        <f t="shared" si="12"/>
        <v>1</v>
      </c>
      <c r="D32" s="718"/>
      <c r="E32" s="24">
        <f t="shared" si="13"/>
        <v>0</v>
      </c>
      <c r="F32" s="718"/>
      <c r="G32" s="24">
        <f t="shared" si="14"/>
        <v>0</v>
      </c>
      <c r="H32" s="718"/>
      <c r="I32" s="24">
        <f t="shared" si="15"/>
        <v>1</v>
      </c>
      <c r="J32" s="718"/>
      <c r="K32" s="24">
        <f t="shared" si="16"/>
        <v>1</v>
      </c>
      <c r="L32" s="718"/>
      <c r="M32" s="24">
        <f t="shared" si="17"/>
        <v>1</v>
      </c>
      <c r="N32" s="718"/>
      <c r="O32" s="24">
        <f t="shared" si="18"/>
        <v>1</v>
      </c>
      <c r="P32" s="718"/>
      <c r="Q32" s="24">
        <f t="shared" si="19"/>
        <v>0.4</v>
      </c>
      <c r="R32" s="714">
        <f t="shared" si="20"/>
        <v>0</v>
      </c>
      <c r="S32" s="361">
        <f t="shared" si="11"/>
        <v>0</v>
      </c>
    </row>
    <row r="33" spans="1:19">
      <c r="A33" s="159"/>
      <c r="B33" s="59"/>
      <c r="C33" s="24">
        <f t="shared" si="12"/>
        <v>1</v>
      </c>
      <c r="D33" s="718"/>
      <c r="E33" s="24">
        <f t="shared" si="13"/>
        <v>0</v>
      </c>
      <c r="F33" s="718"/>
      <c r="G33" s="24">
        <f t="shared" si="14"/>
        <v>0</v>
      </c>
      <c r="H33" s="718"/>
      <c r="I33" s="24">
        <f t="shared" si="15"/>
        <v>1</v>
      </c>
      <c r="J33" s="718"/>
      <c r="K33" s="24">
        <f t="shared" si="16"/>
        <v>1</v>
      </c>
      <c r="L33" s="718"/>
      <c r="M33" s="24">
        <f t="shared" si="17"/>
        <v>1</v>
      </c>
      <c r="N33" s="718"/>
      <c r="O33" s="24">
        <f t="shared" si="18"/>
        <v>1</v>
      </c>
      <c r="P33" s="718"/>
      <c r="Q33" s="24">
        <f t="shared" si="19"/>
        <v>0.4</v>
      </c>
      <c r="R33" s="714">
        <f t="shared" si="20"/>
        <v>0</v>
      </c>
      <c r="S33" s="361">
        <f t="shared" si="11"/>
        <v>0</v>
      </c>
    </row>
    <row r="34" spans="1:19">
      <c r="A34" s="159"/>
      <c r="B34" s="59"/>
      <c r="C34" s="24">
        <f t="shared" si="12"/>
        <v>1</v>
      </c>
      <c r="D34" s="718"/>
      <c r="E34" s="24">
        <f t="shared" si="13"/>
        <v>0</v>
      </c>
      <c r="F34" s="718"/>
      <c r="G34" s="24">
        <f t="shared" si="14"/>
        <v>0</v>
      </c>
      <c r="H34" s="718"/>
      <c r="I34" s="24">
        <f t="shared" si="15"/>
        <v>1</v>
      </c>
      <c r="J34" s="718"/>
      <c r="K34" s="24">
        <f t="shared" si="16"/>
        <v>1</v>
      </c>
      <c r="L34" s="718"/>
      <c r="M34" s="24">
        <f t="shared" si="17"/>
        <v>1</v>
      </c>
      <c r="N34" s="718"/>
      <c r="O34" s="24">
        <f t="shared" si="18"/>
        <v>1</v>
      </c>
      <c r="P34" s="718"/>
      <c r="Q34" s="24">
        <f t="shared" si="19"/>
        <v>0.4</v>
      </c>
      <c r="R34" s="714">
        <f t="shared" si="20"/>
        <v>0</v>
      </c>
      <c r="S34" s="361">
        <f t="shared" si="11"/>
        <v>0</v>
      </c>
    </row>
    <row r="35" spans="1:19">
      <c r="A35" s="159"/>
      <c r="B35" s="59"/>
      <c r="C35" s="24">
        <f t="shared" si="12"/>
        <v>1</v>
      </c>
      <c r="D35" s="718"/>
      <c r="E35" s="24">
        <f t="shared" si="13"/>
        <v>0</v>
      </c>
      <c r="F35" s="718"/>
      <c r="G35" s="24">
        <f t="shared" si="14"/>
        <v>0</v>
      </c>
      <c r="H35" s="718"/>
      <c r="I35" s="24">
        <f t="shared" si="15"/>
        <v>1</v>
      </c>
      <c r="J35" s="718"/>
      <c r="K35" s="24">
        <f t="shared" si="16"/>
        <v>1</v>
      </c>
      <c r="L35" s="718"/>
      <c r="M35" s="24">
        <f t="shared" si="17"/>
        <v>1</v>
      </c>
      <c r="N35" s="718"/>
      <c r="O35" s="24">
        <f t="shared" si="18"/>
        <v>1</v>
      </c>
      <c r="P35" s="718"/>
      <c r="Q35" s="24">
        <f t="shared" si="19"/>
        <v>0.4</v>
      </c>
      <c r="R35" s="714">
        <f t="shared" si="20"/>
        <v>0</v>
      </c>
      <c r="S35" s="361">
        <f t="shared" si="11"/>
        <v>0</v>
      </c>
    </row>
    <row r="36" spans="1:19">
      <c r="A36" s="159"/>
      <c r="B36" s="59"/>
      <c r="C36" s="24">
        <f t="shared" si="12"/>
        <v>1</v>
      </c>
      <c r="D36" s="718"/>
      <c r="E36" s="24">
        <f t="shared" si="13"/>
        <v>0</v>
      </c>
      <c r="F36" s="718"/>
      <c r="G36" s="24">
        <f t="shared" si="14"/>
        <v>0</v>
      </c>
      <c r="H36" s="718"/>
      <c r="I36" s="24">
        <f t="shared" si="15"/>
        <v>1</v>
      </c>
      <c r="J36" s="718"/>
      <c r="K36" s="24">
        <f t="shared" si="16"/>
        <v>1</v>
      </c>
      <c r="L36" s="718"/>
      <c r="M36" s="24">
        <f t="shared" si="17"/>
        <v>1</v>
      </c>
      <c r="N36" s="718"/>
      <c r="O36" s="24">
        <f t="shared" si="18"/>
        <v>1</v>
      </c>
      <c r="P36" s="718"/>
      <c r="Q36" s="24">
        <f t="shared" si="19"/>
        <v>0.4</v>
      </c>
      <c r="R36" s="714">
        <f t="shared" si="20"/>
        <v>0</v>
      </c>
      <c r="S36" s="361">
        <f t="shared" si="11"/>
        <v>0</v>
      </c>
    </row>
    <row r="37" spans="1:19">
      <c r="A37" s="159"/>
      <c r="B37" s="59"/>
      <c r="C37" s="24">
        <f t="shared" si="12"/>
        <v>1</v>
      </c>
      <c r="D37" s="718"/>
      <c r="E37" s="24">
        <f t="shared" si="13"/>
        <v>0</v>
      </c>
      <c r="F37" s="718"/>
      <c r="G37" s="24">
        <f t="shared" si="14"/>
        <v>0</v>
      </c>
      <c r="H37" s="718"/>
      <c r="I37" s="24">
        <f t="shared" si="15"/>
        <v>1</v>
      </c>
      <c r="J37" s="718"/>
      <c r="K37" s="24">
        <f t="shared" si="16"/>
        <v>1</v>
      </c>
      <c r="L37" s="718"/>
      <c r="M37" s="24">
        <f t="shared" si="17"/>
        <v>1</v>
      </c>
      <c r="N37" s="718"/>
      <c r="O37" s="24">
        <f t="shared" si="18"/>
        <v>1</v>
      </c>
      <c r="P37" s="718"/>
      <c r="Q37" s="24">
        <f t="shared" si="19"/>
        <v>0.4</v>
      </c>
      <c r="R37" s="714">
        <f t="shared" si="20"/>
        <v>0</v>
      </c>
      <c r="S37" s="361">
        <f t="shared" si="11"/>
        <v>0</v>
      </c>
    </row>
    <row r="38" spans="1:19">
      <c r="A38" s="159"/>
      <c r="B38" s="59"/>
      <c r="C38" s="24">
        <f t="shared" si="12"/>
        <v>1</v>
      </c>
      <c r="D38" s="718"/>
      <c r="E38" s="24">
        <f t="shared" si="13"/>
        <v>0</v>
      </c>
      <c r="F38" s="718"/>
      <c r="G38" s="24">
        <f t="shared" si="14"/>
        <v>0</v>
      </c>
      <c r="H38" s="718"/>
      <c r="I38" s="24">
        <f t="shared" si="15"/>
        <v>1</v>
      </c>
      <c r="J38" s="718"/>
      <c r="K38" s="24">
        <f t="shared" si="16"/>
        <v>1</v>
      </c>
      <c r="L38" s="718"/>
      <c r="M38" s="24">
        <f t="shared" si="17"/>
        <v>1</v>
      </c>
      <c r="N38" s="718"/>
      <c r="O38" s="24">
        <f t="shared" si="18"/>
        <v>1</v>
      </c>
      <c r="P38" s="718"/>
      <c r="Q38" s="24">
        <f t="shared" si="19"/>
        <v>0.4</v>
      </c>
      <c r="R38" s="714">
        <f t="shared" si="20"/>
        <v>0</v>
      </c>
      <c r="S38" s="361">
        <f t="shared" si="11"/>
        <v>0</v>
      </c>
    </row>
    <row r="39" spans="1:19">
      <c r="A39" s="159"/>
      <c r="B39" s="59"/>
      <c r="C39" s="24">
        <f t="shared" si="12"/>
        <v>1</v>
      </c>
      <c r="D39" s="718"/>
      <c r="E39" s="24">
        <f t="shared" si="13"/>
        <v>0</v>
      </c>
      <c r="F39" s="718"/>
      <c r="G39" s="24">
        <f t="shared" si="14"/>
        <v>0</v>
      </c>
      <c r="H39" s="718"/>
      <c r="I39" s="24">
        <f t="shared" si="15"/>
        <v>1</v>
      </c>
      <c r="J39" s="718"/>
      <c r="K39" s="24">
        <f t="shared" si="16"/>
        <v>1</v>
      </c>
      <c r="L39" s="718"/>
      <c r="M39" s="24">
        <f t="shared" si="17"/>
        <v>1</v>
      </c>
      <c r="N39" s="718"/>
      <c r="O39" s="24">
        <f t="shared" si="18"/>
        <v>1</v>
      </c>
      <c r="P39" s="718"/>
      <c r="Q39" s="24">
        <f t="shared" si="19"/>
        <v>0.4</v>
      </c>
      <c r="R39" s="714">
        <f t="shared" si="20"/>
        <v>0</v>
      </c>
      <c r="S39" s="361">
        <f t="shared" si="11"/>
        <v>0</v>
      </c>
    </row>
    <row r="40" spans="1:19">
      <c r="A40" s="159"/>
      <c r="B40" s="59"/>
      <c r="C40" s="24">
        <f t="shared" si="12"/>
        <v>1</v>
      </c>
      <c r="D40" s="718"/>
      <c r="E40" s="24">
        <f t="shared" si="13"/>
        <v>0</v>
      </c>
      <c r="F40" s="718"/>
      <c r="G40" s="24">
        <f t="shared" si="14"/>
        <v>0</v>
      </c>
      <c r="H40" s="718"/>
      <c r="I40" s="24">
        <f t="shared" si="15"/>
        <v>1</v>
      </c>
      <c r="J40" s="718"/>
      <c r="K40" s="24">
        <f t="shared" si="16"/>
        <v>1</v>
      </c>
      <c r="L40" s="718"/>
      <c r="M40" s="24">
        <f t="shared" si="17"/>
        <v>1</v>
      </c>
      <c r="N40" s="718"/>
      <c r="O40" s="24">
        <f t="shared" si="18"/>
        <v>1</v>
      </c>
      <c r="P40" s="718"/>
      <c r="Q40" s="24">
        <f t="shared" si="19"/>
        <v>0.4</v>
      </c>
      <c r="R40" s="714">
        <f t="shared" si="20"/>
        <v>0</v>
      </c>
      <c r="S40" s="361">
        <f t="shared" si="11"/>
        <v>0</v>
      </c>
    </row>
    <row r="41" spans="1:19">
      <c r="A41" s="159"/>
      <c r="B41" s="59"/>
      <c r="C41" s="24">
        <f t="shared" si="12"/>
        <v>1</v>
      </c>
      <c r="D41" s="718"/>
      <c r="E41" s="24">
        <f t="shared" si="13"/>
        <v>0</v>
      </c>
      <c r="F41" s="718"/>
      <c r="G41" s="24">
        <f t="shared" si="14"/>
        <v>0</v>
      </c>
      <c r="H41" s="718"/>
      <c r="I41" s="24">
        <f t="shared" si="15"/>
        <v>1</v>
      </c>
      <c r="J41" s="718"/>
      <c r="K41" s="24">
        <f t="shared" si="16"/>
        <v>1</v>
      </c>
      <c r="L41" s="718"/>
      <c r="M41" s="24">
        <f t="shared" si="17"/>
        <v>1</v>
      </c>
      <c r="N41" s="718"/>
      <c r="O41" s="24">
        <f t="shared" si="18"/>
        <v>1</v>
      </c>
      <c r="P41" s="718"/>
      <c r="Q41" s="24">
        <f t="shared" si="19"/>
        <v>0.4</v>
      </c>
      <c r="R41" s="714">
        <f t="shared" si="20"/>
        <v>0</v>
      </c>
      <c r="S41" s="361">
        <f t="shared" si="11"/>
        <v>0</v>
      </c>
    </row>
    <row r="42" spans="1:19">
      <c r="A42" s="159"/>
      <c r="B42" s="59"/>
      <c r="C42" s="24">
        <f t="shared" si="12"/>
        <v>1</v>
      </c>
      <c r="D42" s="718"/>
      <c r="E42" s="24">
        <f t="shared" si="13"/>
        <v>0</v>
      </c>
      <c r="F42" s="718"/>
      <c r="G42" s="24">
        <f t="shared" si="14"/>
        <v>0</v>
      </c>
      <c r="H42" s="718"/>
      <c r="I42" s="24">
        <f t="shared" si="15"/>
        <v>1</v>
      </c>
      <c r="J42" s="718"/>
      <c r="K42" s="24">
        <f t="shared" si="16"/>
        <v>1</v>
      </c>
      <c r="L42" s="718"/>
      <c r="M42" s="24">
        <f t="shared" si="17"/>
        <v>1</v>
      </c>
      <c r="N42" s="718"/>
      <c r="O42" s="24">
        <f t="shared" si="18"/>
        <v>1</v>
      </c>
      <c r="P42" s="718"/>
      <c r="Q42" s="24">
        <f t="shared" si="19"/>
        <v>0.4</v>
      </c>
      <c r="R42" s="714">
        <f t="shared" si="20"/>
        <v>0</v>
      </c>
      <c r="S42" s="361">
        <f t="shared" si="11"/>
        <v>0</v>
      </c>
    </row>
    <row r="43" spans="1:19">
      <c r="A43" s="159"/>
      <c r="B43" s="59"/>
      <c r="C43" s="24">
        <f t="shared" si="12"/>
        <v>1</v>
      </c>
      <c r="D43" s="718"/>
      <c r="E43" s="24">
        <f t="shared" si="13"/>
        <v>0</v>
      </c>
      <c r="F43" s="718"/>
      <c r="G43" s="24">
        <f t="shared" si="14"/>
        <v>0</v>
      </c>
      <c r="H43" s="718"/>
      <c r="I43" s="24">
        <f t="shared" si="15"/>
        <v>1</v>
      </c>
      <c r="J43" s="718"/>
      <c r="K43" s="24">
        <f t="shared" si="16"/>
        <v>1</v>
      </c>
      <c r="L43" s="718"/>
      <c r="M43" s="24">
        <f t="shared" si="17"/>
        <v>1</v>
      </c>
      <c r="N43" s="718"/>
      <c r="O43" s="24">
        <f t="shared" si="18"/>
        <v>1</v>
      </c>
      <c r="P43" s="718"/>
      <c r="Q43" s="24">
        <f t="shared" si="19"/>
        <v>0.4</v>
      </c>
      <c r="R43" s="714">
        <f t="shared" si="20"/>
        <v>0</v>
      </c>
      <c r="S43" s="361">
        <f t="shared" si="11"/>
        <v>0</v>
      </c>
    </row>
    <row r="44" spans="1:19">
      <c r="A44" s="159"/>
      <c r="B44" s="59"/>
      <c r="C44" s="24">
        <f t="shared" si="12"/>
        <v>1</v>
      </c>
      <c r="D44" s="718"/>
      <c r="E44" s="24">
        <f t="shared" si="13"/>
        <v>0</v>
      </c>
      <c r="F44" s="718"/>
      <c r="G44" s="24">
        <f t="shared" si="14"/>
        <v>0</v>
      </c>
      <c r="H44" s="718"/>
      <c r="I44" s="24">
        <f t="shared" si="15"/>
        <v>1</v>
      </c>
      <c r="J44" s="718"/>
      <c r="K44" s="24">
        <f t="shared" si="16"/>
        <v>1</v>
      </c>
      <c r="L44" s="718"/>
      <c r="M44" s="24">
        <f t="shared" si="17"/>
        <v>1</v>
      </c>
      <c r="N44" s="718"/>
      <c r="O44" s="24">
        <f t="shared" si="18"/>
        <v>1</v>
      </c>
      <c r="P44" s="718"/>
      <c r="Q44" s="24">
        <f t="shared" si="19"/>
        <v>0.4</v>
      </c>
      <c r="R44" s="714">
        <f t="shared" si="20"/>
        <v>0</v>
      </c>
      <c r="S44" s="361">
        <f t="shared" si="11"/>
        <v>0</v>
      </c>
    </row>
    <row r="45" spans="1:19">
      <c r="A45" s="159"/>
      <c r="B45" s="59"/>
      <c r="C45" s="24">
        <f t="shared" si="12"/>
        <v>1</v>
      </c>
      <c r="D45" s="718"/>
      <c r="E45" s="24">
        <f t="shared" si="13"/>
        <v>0</v>
      </c>
      <c r="F45" s="718"/>
      <c r="G45" s="24">
        <f t="shared" si="14"/>
        <v>0</v>
      </c>
      <c r="H45" s="718"/>
      <c r="I45" s="24">
        <f t="shared" si="15"/>
        <v>1</v>
      </c>
      <c r="J45" s="718"/>
      <c r="K45" s="24">
        <f t="shared" si="16"/>
        <v>1</v>
      </c>
      <c r="L45" s="718"/>
      <c r="M45" s="24">
        <f t="shared" si="17"/>
        <v>1</v>
      </c>
      <c r="N45" s="718"/>
      <c r="O45" s="24">
        <f t="shared" si="18"/>
        <v>1</v>
      </c>
      <c r="P45" s="718"/>
      <c r="Q45" s="24">
        <f t="shared" si="19"/>
        <v>0.4</v>
      </c>
      <c r="R45" s="714">
        <f t="shared" si="20"/>
        <v>0</v>
      </c>
      <c r="S45" s="361">
        <f t="shared" si="11"/>
        <v>0</v>
      </c>
    </row>
    <row r="46" spans="1:19">
      <c r="A46" s="159"/>
      <c r="B46" s="59"/>
      <c r="C46" s="24">
        <f t="shared" si="12"/>
        <v>1</v>
      </c>
      <c r="D46" s="718"/>
      <c r="E46" s="24">
        <f t="shared" si="13"/>
        <v>0</v>
      </c>
      <c r="F46" s="718"/>
      <c r="G46" s="24">
        <f t="shared" si="14"/>
        <v>0</v>
      </c>
      <c r="H46" s="718"/>
      <c r="I46" s="24">
        <f t="shared" si="15"/>
        <v>1</v>
      </c>
      <c r="J46" s="718"/>
      <c r="K46" s="24">
        <f t="shared" si="16"/>
        <v>1</v>
      </c>
      <c r="L46" s="718"/>
      <c r="M46" s="24">
        <f t="shared" si="17"/>
        <v>1</v>
      </c>
      <c r="N46" s="718"/>
      <c r="O46" s="24">
        <f t="shared" si="18"/>
        <v>1</v>
      </c>
      <c r="P46" s="718"/>
      <c r="Q46" s="24">
        <f t="shared" si="19"/>
        <v>0.4</v>
      </c>
      <c r="R46" s="714">
        <f t="shared" si="20"/>
        <v>0</v>
      </c>
      <c r="S46" s="361">
        <f t="shared" si="11"/>
        <v>0</v>
      </c>
    </row>
    <row r="47" spans="1:19">
      <c r="A47" s="159"/>
      <c r="B47" s="59"/>
      <c r="C47" s="24">
        <f t="shared" si="12"/>
        <v>1</v>
      </c>
      <c r="D47" s="718"/>
      <c r="E47" s="24">
        <f t="shared" si="13"/>
        <v>0</v>
      </c>
      <c r="F47" s="718"/>
      <c r="G47" s="24">
        <f t="shared" si="14"/>
        <v>0</v>
      </c>
      <c r="H47" s="718"/>
      <c r="I47" s="24">
        <f t="shared" si="15"/>
        <v>1</v>
      </c>
      <c r="J47" s="718"/>
      <c r="K47" s="24">
        <f t="shared" si="16"/>
        <v>1</v>
      </c>
      <c r="L47" s="718"/>
      <c r="M47" s="24">
        <f t="shared" si="17"/>
        <v>1</v>
      </c>
      <c r="N47" s="718"/>
      <c r="O47" s="24">
        <f t="shared" si="18"/>
        <v>1</v>
      </c>
      <c r="P47" s="718"/>
      <c r="Q47" s="24">
        <f t="shared" si="19"/>
        <v>0.4</v>
      </c>
      <c r="R47" s="714">
        <f t="shared" si="20"/>
        <v>0</v>
      </c>
      <c r="S47" s="361">
        <f t="shared" si="11"/>
        <v>0</v>
      </c>
    </row>
    <row r="48" spans="1:19">
      <c r="A48" s="159"/>
      <c r="B48" s="59"/>
      <c r="C48" s="24">
        <f t="shared" si="12"/>
        <v>1</v>
      </c>
      <c r="D48" s="718"/>
      <c r="E48" s="24">
        <f t="shared" si="13"/>
        <v>0</v>
      </c>
      <c r="F48" s="718"/>
      <c r="G48" s="24">
        <f t="shared" si="14"/>
        <v>0</v>
      </c>
      <c r="H48" s="718"/>
      <c r="I48" s="24">
        <f t="shared" si="15"/>
        <v>1</v>
      </c>
      <c r="J48" s="718"/>
      <c r="K48" s="24">
        <f t="shared" si="16"/>
        <v>1</v>
      </c>
      <c r="L48" s="718"/>
      <c r="M48" s="24">
        <f t="shared" si="17"/>
        <v>1</v>
      </c>
      <c r="N48" s="718"/>
      <c r="O48" s="24">
        <f t="shared" si="18"/>
        <v>1</v>
      </c>
      <c r="P48" s="718"/>
      <c r="Q48" s="24">
        <f t="shared" si="19"/>
        <v>0.4</v>
      </c>
      <c r="R48" s="714">
        <f t="shared" si="20"/>
        <v>0</v>
      </c>
      <c r="S48" s="361">
        <f t="shared" si="11"/>
        <v>0</v>
      </c>
    </row>
    <row r="49" spans="1:19">
      <c r="A49" s="159"/>
      <c r="B49" s="59"/>
      <c r="C49" s="24">
        <f t="shared" si="12"/>
        <v>1</v>
      </c>
      <c r="D49" s="718"/>
      <c r="E49" s="24">
        <f t="shared" si="13"/>
        <v>0</v>
      </c>
      <c r="F49" s="718"/>
      <c r="G49" s="24">
        <f t="shared" si="14"/>
        <v>0</v>
      </c>
      <c r="H49" s="718"/>
      <c r="I49" s="24">
        <f t="shared" si="15"/>
        <v>1</v>
      </c>
      <c r="J49" s="718"/>
      <c r="K49" s="24">
        <f t="shared" si="16"/>
        <v>1</v>
      </c>
      <c r="L49" s="718"/>
      <c r="M49" s="24">
        <f t="shared" si="17"/>
        <v>1</v>
      </c>
      <c r="N49" s="718"/>
      <c r="O49" s="24">
        <f t="shared" si="18"/>
        <v>1</v>
      </c>
      <c r="P49" s="718"/>
      <c r="Q49" s="24">
        <f t="shared" si="19"/>
        <v>0.4</v>
      </c>
      <c r="R49" s="714">
        <f t="shared" si="20"/>
        <v>0</v>
      </c>
      <c r="S49" s="361">
        <f t="shared" si="11"/>
        <v>0</v>
      </c>
    </row>
    <row r="50" spans="1:19">
      <c r="A50" s="159"/>
      <c r="B50" s="59"/>
      <c r="C50" s="24">
        <f t="shared" si="12"/>
        <v>1</v>
      </c>
      <c r="D50" s="718"/>
      <c r="E50" s="24">
        <f t="shared" si="13"/>
        <v>0</v>
      </c>
      <c r="F50" s="718"/>
      <c r="G50" s="24">
        <f t="shared" si="14"/>
        <v>0</v>
      </c>
      <c r="H50" s="718"/>
      <c r="I50" s="24">
        <f t="shared" si="15"/>
        <v>1</v>
      </c>
      <c r="J50" s="718"/>
      <c r="K50" s="24">
        <f t="shared" si="16"/>
        <v>1</v>
      </c>
      <c r="L50" s="718"/>
      <c r="M50" s="24">
        <f t="shared" si="17"/>
        <v>1</v>
      </c>
      <c r="N50" s="718"/>
      <c r="O50" s="24">
        <f t="shared" si="18"/>
        <v>1</v>
      </c>
      <c r="P50" s="718"/>
      <c r="Q50" s="24">
        <f t="shared" si="19"/>
        <v>0.4</v>
      </c>
      <c r="R50" s="714">
        <f t="shared" si="20"/>
        <v>0</v>
      </c>
      <c r="S50" s="361">
        <f t="shared" si="11"/>
        <v>0</v>
      </c>
    </row>
    <row r="51" spans="1:19">
      <c r="A51" s="159"/>
      <c r="B51" s="59"/>
      <c r="C51" s="24">
        <f t="shared" si="12"/>
        <v>1</v>
      </c>
      <c r="D51" s="718"/>
      <c r="E51" s="24">
        <f t="shared" si="13"/>
        <v>0</v>
      </c>
      <c r="F51" s="718"/>
      <c r="G51" s="24">
        <f t="shared" si="14"/>
        <v>0</v>
      </c>
      <c r="H51" s="718"/>
      <c r="I51" s="24">
        <f t="shared" si="15"/>
        <v>1</v>
      </c>
      <c r="J51" s="718"/>
      <c r="K51" s="24">
        <f t="shared" si="16"/>
        <v>1</v>
      </c>
      <c r="L51" s="718"/>
      <c r="M51" s="24">
        <f t="shared" si="17"/>
        <v>1</v>
      </c>
      <c r="N51" s="718"/>
      <c r="O51" s="24">
        <f t="shared" si="18"/>
        <v>1</v>
      </c>
      <c r="P51" s="718"/>
      <c r="Q51" s="24">
        <f t="shared" si="19"/>
        <v>0.4</v>
      </c>
      <c r="R51" s="714">
        <f t="shared" si="20"/>
        <v>0</v>
      </c>
      <c r="S51" s="361">
        <f t="shared" si="11"/>
        <v>0</v>
      </c>
    </row>
    <row r="52" spans="1:19">
      <c r="A52" s="159"/>
      <c r="B52" s="59"/>
      <c r="C52" s="24">
        <f t="shared" si="12"/>
        <v>1</v>
      </c>
      <c r="D52" s="718"/>
      <c r="E52" s="24">
        <f t="shared" si="13"/>
        <v>0</v>
      </c>
      <c r="F52" s="718"/>
      <c r="G52" s="24">
        <f t="shared" si="14"/>
        <v>0</v>
      </c>
      <c r="H52" s="718"/>
      <c r="I52" s="24">
        <f t="shared" si="15"/>
        <v>1</v>
      </c>
      <c r="J52" s="718"/>
      <c r="K52" s="24">
        <f t="shared" si="16"/>
        <v>1</v>
      </c>
      <c r="L52" s="718"/>
      <c r="M52" s="24">
        <f t="shared" si="17"/>
        <v>1</v>
      </c>
      <c r="N52" s="718"/>
      <c r="O52" s="24">
        <f t="shared" si="18"/>
        <v>1</v>
      </c>
      <c r="P52" s="718"/>
      <c r="Q52" s="24">
        <f t="shared" si="19"/>
        <v>0.4</v>
      </c>
      <c r="R52" s="714">
        <f t="shared" si="20"/>
        <v>0</v>
      </c>
      <c r="S52" s="361">
        <f t="shared" si="11"/>
        <v>0</v>
      </c>
    </row>
    <row r="53" spans="1:19">
      <c r="A53" s="159"/>
      <c r="B53" s="59"/>
      <c r="C53" s="24">
        <f t="shared" si="12"/>
        <v>1</v>
      </c>
      <c r="D53" s="718"/>
      <c r="E53" s="24">
        <f t="shared" si="13"/>
        <v>0</v>
      </c>
      <c r="F53" s="718"/>
      <c r="G53" s="24">
        <f t="shared" si="14"/>
        <v>0</v>
      </c>
      <c r="H53" s="718"/>
      <c r="I53" s="24">
        <f t="shared" si="15"/>
        <v>1</v>
      </c>
      <c r="J53" s="718"/>
      <c r="K53" s="24">
        <f t="shared" si="16"/>
        <v>1</v>
      </c>
      <c r="L53" s="718"/>
      <c r="M53" s="24">
        <f t="shared" si="17"/>
        <v>1</v>
      </c>
      <c r="N53" s="718"/>
      <c r="O53" s="24">
        <f t="shared" si="18"/>
        <v>1</v>
      </c>
      <c r="P53" s="718"/>
      <c r="Q53" s="24">
        <f t="shared" si="19"/>
        <v>0.4</v>
      </c>
      <c r="R53" s="714">
        <f t="shared" si="20"/>
        <v>0</v>
      </c>
      <c r="S53" s="361">
        <f t="shared" si="11"/>
        <v>0</v>
      </c>
    </row>
    <row r="54" spans="1:19">
      <c r="A54" s="159"/>
      <c r="B54" s="59"/>
      <c r="C54" s="24">
        <f t="shared" si="12"/>
        <v>1</v>
      </c>
      <c r="D54" s="718"/>
      <c r="E54" s="24">
        <f t="shared" si="13"/>
        <v>0</v>
      </c>
      <c r="F54" s="718"/>
      <c r="G54" s="24">
        <f t="shared" si="14"/>
        <v>0</v>
      </c>
      <c r="H54" s="718"/>
      <c r="I54" s="24">
        <f t="shared" si="15"/>
        <v>1</v>
      </c>
      <c r="J54" s="718"/>
      <c r="K54" s="24">
        <f t="shared" si="16"/>
        <v>1</v>
      </c>
      <c r="L54" s="718"/>
      <c r="M54" s="24">
        <f t="shared" si="17"/>
        <v>1</v>
      </c>
      <c r="N54" s="718"/>
      <c r="O54" s="24">
        <f t="shared" si="18"/>
        <v>1</v>
      </c>
      <c r="P54" s="718"/>
      <c r="Q54" s="24">
        <f t="shared" si="19"/>
        <v>0.4</v>
      </c>
      <c r="R54" s="714">
        <f t="shared" si="20"/>
        <v>0</v>
      </c>
      <c r="S54" s="361">
        <f t="shared" si="11"/>
        <v>0</v>
      </c>
    </row>
    <row r="55" spans="1:19">
      <c r="A55" s="159"/>
      <c r="B55" s="59"/>
      <c r="C55" s="24">
        <f t="shared" si="12"/>
        <v>1</v>
      </c>
      <c r="D55" s="718"/>
      <c r="E55" s="24">
        <f t="shared" si="13"/>
        <v>0</v>
      </c>
      <c r="F55" s="718"/>
      <c r="G55" s="24">
        <f t="shared" si="14"/>
        <v>0</v>
      </c>
      <c r="H55" s="718"/>
      <c r="I55" s="24">
        <f t="shared" si="15"/>
        <v>1</v>
      </c>
      <c r="J55" s="718"/>
      <c r="K55" s="24">
        <f t="shared" si="16"/>
        <v>1</v>
      </c>
      <c r="L55" s="718"/>
      <c r="M55" s="24">
        <f t="shared" si="17"/>
        <v>1</v>
      </c>
      <c r="N55" s="718"/>
      <c r="O55" s="24">
        <f t="shared" si="18"/>
        <v>1</v>
      </c>
      <c r="P55" s="718"/>
      <c r="Q55" s="24">
        <f t="shared" si="19"/>
        <v>0.4</v>
      </c>
      <c r="R55" s="714">
        <f t="shared" si="20"/>
        <v>0</v>
      </c>
      <c r="S55" s="361">
        <f t="shared" ref="S55:S77" si="21">ROUND(R55*B55/10000,0)</f>
        <v>0</v>
      </c>
    </row>
    <row r="56" spans="1:19">
      <c r="A56" s="159"/>
      <c r="B56" s="59"/>
      <c r="C56" s="24">
        <f t="shared" si="12"/>
        <v>1</v>
      </c>
      <c r="D56" s="718"/>
      <c r="E56" s="24">
        <f t="shared" si="13"/>
        <v>0</v>
      </c>
      <c r="F56" s="718"/>
      <c r="G56" s="24">
        <f t="shared" si="14"/>
        <v>0</v>
      </c>
      <c r="H56" s="718"/>
      <c r="I56" s="24">
        <f t="shared" si="15"/>
        <v>1</v>
      </c>
      <c r="J56" s="718"/>
      <c r="K56" s="24">
        <f t="shared" si="16"/>
        <v>1</v>
      </c>
      <c r="L56" s="718"/>
      <c r="M56" s="24">
        <f t="shared" si="17"/>
        <v>1</v>
      </c>
      <c r="N56" s="718"/>
      <c r="O56" s="24">
        <f t="shared" si="18"/>
        <v>1</v>
      </c>
      <c r="P56" s="718"/>
      <c r="Q56" s="24">
        <f t="shared" si="19"/>
        <v>0.4</v>
      </c>
      <c r="R56" s="714">
        <f t="shared" si="20"/>
        <v>0</v>
      </c>
      <c r="S56" s="361">
        <f t="shared" si="21"/>
        <v>0</v>
      </c>
    </row>
    <row r="57" spans="1:19">
      <c r="A57" s="159"/>
      <c r="B57" s="59"/>
      <c r="C57" s="24">
        <f t="shared" si="12"/>
        <v>1</v>
      </c>
      <c r="D57" s="718"/>
      <c r="E57" s="24">
        <f t="shared" si="13"/>
        <v>0</v>
      </c>
      <c r="F57" s="718"/>
      <c r="G57" s="24">
        <f t="shared" si="14"/>
        <v>0</v>
      </c>
      <c r="H57" s="718"/>
      <c r="I57" s="24">
        <f t="shared" si="15"/>
        <v>1</v>
      </c>
      <c r="J57" s="718"/>
      <c r="K57" s="24">
        <f t="shared" si="16"/>
        <v>1</v>
      </c>
      <c r="L57" s="718"/>
      <c r="M57" s="24">
        <f t="shared" si="17"/>
        <v>1</v>
      </c>
      <c r="N57" s="718"/>
      <c r="O57" s="24">
        <f t="shared" si="18"/>
        <v>1</v>
      </c>
      <c r="P57" s="718"/>
      <c r="Q57" s="24">
        <f t="shared" si="19"/>
        <v>0.4</v>
      </c>
      <c r="R57" s="714">
        <f t="shared" si="20"/>
        <v>0</v>
      </c>
      <c r="S57" s="361">
        <f t="shared" si="21"/>
        <v>0</v>
      </c>
    </row>
    <row r="58" spans="1:19">
      <c r="A58" s="159"/>
      <c r="B58" s="59"/>
      <c r="C58" s="24">
        <f t="shared" si="12"/>
        <v>1</v>
      </c>
      <c r="D58" s="718"/>
      <c r="E58" s="24">
        <f t="shared" si="13"/>
        <v>0</v>
      </c>
      <c r="F58" s="718"/>
      <c r="G58" s="24">
        <f t="shared" si="14"/>
        <v>0</v>
      </c>
      <c r="H58" s="718"/>
      <c r="I58" s="24">
        <f t="shared" si="15"/>
        <v>1</v>
      </c>
      <c r="J58" s="718"/>
      <c r="K58" s="24">
        <f t="shared" si="16"/>
        <v>1</v>
      </c>
      <c r="L58" s="718"/>
      <c r="M58" s="24">
        <f t="shared" si="17"/>
        <v>1</v>
      </c>
      <c r="N58" s="718"/>
      <c r="O58" s="24">
        <f t="shared" si="18"/>
        <v>1</v>
      </c>
      <c r="P58" s="718"/>
      <c r="Q58" s="24">
        <f t="shared" si="19"/>
        <v>0.4</v>
      </c>
      <c r="R58" s="714">
        <f t="shared" si="20"/>
        <v>0</v>
      </c>
      <c r="S58" s="361">
        <f t="shared" si="21"/>
        <v>0</v>
      </c>
    </row>
    <row r="59" spans="1:19">
      <c r="A59" s="159"/>
      <c r="B59" s="59"/>
      <c r="C59" s="24">
        <f t="shared" si="12"/>
        <v>1</v>
      </c>
      <c r="D59" s="718"/>
      <c r="E59" s="24">
        <f t="shared" si="13"/>
        <v>0</v>
      </c>
      <c r="F59" s="718"/>
      <c r="G59" s="24">
        <f t="shared" si="14"/>
        <v>0</v>
      </c>
      <c r="H59" s="718"/>
      <c r="I59" s="24">
        <f t="shared" si="15"/>
        <v>1</v>
      </c>
      <c r="J59" s="718"/>
      <c r="K59" s="24">
        <f t="shared" si="16"/>
        <v>1</v>
      </c>
      <c r="L59" s="718"/>
      <c r="M59" s="24">
        <f t="shared" si="17"/>
        <v>1</v>
      </c>
      <c r="N59" s="718"/>
      <c r="O59" s="24">
        <f t="shared" si="18"/>
        <v>1</v>
      </c>
      <c r="P59" s="718"/>
      <c r="Q59" s="24">
        <f t="shared" si="19"/>
        <v>0.4</v>
      </c>
      <c r="R59" s="714">
        <f t="shared" si="20"/>
        <v>0</v>
      </c>
      <c r="S59" s="361">
        <f t="shared" si="21"/>
        <v>0</v>
      </c>
    </row>
    <row r="60" spans="1:19">
      <c r="A60" s="159"/>
      <c r="B60" s="59"/>
      <c r="C60" s="24">
        <f t="shared" si="12"/>
        <v>1</v>
      </c>
      <c r="D60" s="718"/>
      <c r="E60" s="24">
        <f t="shared" si="13"/>
        <v>0</v>
      </c>
      <c r="F60" s="718"/>
      <c r="G60" s="24">
        <f t="shared" si="14"/>
        <v>0</v>
      </c>
      <c r="H60" s="718"/>
      <c r="I60" s="24">
        <f t="shared" si="15"/>
        <v>1</v>
      </c>
      <c r="J60" s="718"/>
      <c r="K60" s="24">
        <f t="shared" si="16"/>
        <v>1</v>
      </c>
      <c r="L60" s="718"/>
      <c r="M60" s="24">
        <f t="shared" si="17"/>
        <v>1</v>
      </c>
      <c r="N60" s="718"/>
      <c r="O60" s="24">
        <f t="shared" si="18"/>
        <v>1</v>
      </c>
      <c r="P60" s="718"/>
      <c r="Q60" s="24">
        <f t="shared" si="19"/>
        <v>0.4</v>
      </c>
      <c r="R60" s="714">
        <f t="shared" si="20"/>
        <v>0</v>
      </c>
      <c r="S60" s="361">
        <f t="shared" si="21"/>
        <v>0</v>
      </c>
    </row>
    <row r="61" spans="1:19">
      <c r="A61" s="159"/>
      <c r="B61" s="59"/>
      <c r="C61" s="24">
        <f t="shared" si="12"/>
        <v>1</v>
      </c>
      <c r="D61" s="718"/>
      <c r="E61" s="24">
        <f t="shared" si="13"/>
        <v>0</v>
      </c>
      <c r="F61" s="718"/>
      <c r="G61" s="24">
        <f t="shared" si="14"/>
        <v>0</v>
      </c>
      <c r="H61" s="718"/>
      <c r="I61" s="24">
        <f t="shared" si="15"/>
        <v>1</v>
      </c>
      <c r="J61" s="718"/>
      <c r="K61" s="24">
        <f t="shared" si="16"/>
        <v>1</v>
      </c>
      <c r="L61" s="718"/>
      <c r="M61" s="24">
        <f t="shared" si="17"/>
        <v>1</v>
      </c>
      <c r="N61" s="718"/>
      <c r="O61" s="24">
        <f t="shared" si="18"/>
        <v>1</v>
      </c>
      <c r="P61" s="718"/>
      <c r="Q61" s="24">
        <f t="shared" si="19"/>
        <v>0.4</v>
      </c>
      <c r="R61" s="714">
        <f t="shared" si="20"/>
        <v>0</v>
      </c>
      <c r="S61" s="361">
        <f t="shared" si="21"/>
        <v>0</v>
      </c>
    </row>
    <row r="62" spans="1:19">
      <c r="A62" s="159"/>
      <c r="B62" s="59"/>
      <c r="C62" s="24">
        <f t="shared" si="12"/>
        <v>1</v>
      </c>
      <c r="D62" s="718"/>
      <c r="E62" s="24">
        <f t="shared" si="13"/>
        <v>0</v>
      </c>
      <c r="F62" s="718"/>
      <c r="G62" s="24">
        <f t="shared" si="14"/>
        <v>0</v>
      </c>
      <c r="H62" s="718"/>
      <c r="I62" s="24">
        <f t="shared" si="15"/>
        <v>1</v>
      </c>
      <c r="J62" s="718"/>
      <c r="K62" s="24">
        <f t="shared" si="16"/>
        <v>1</v>
      </c>
      <c r="L62" s="718"/>
      <c r="M62" s="24">
        <f t="shared" si="17"/>
        <v>1</v>
      </c>
      <c r="N62" s="718"/>
      <c r="O62" s="24">
        <f t="shared" si="18"/>
        <v>1</v>
      </c>
      <c r="P62" s="718"/>
      <c r="Q62" s="24">
        <f t="shared" si="19"/>
        <v>0.4</v>
      </c>
      <c r="R62" s="714">
        <f t="shared" si="20"/>
        <v>0</v>
      </c>
      <c r="S62" s="361">
        <f t="shared" si="21"/>
        <v>0</v>
      </c>
    </row>
    <row r="63" spans="1:19">
      <c r="A63" s="159"/>
      <c r="B63" s="59"/>
      <c r="C63" s="24">
        <f t="shared" si="12"/>
        <v>1</v>
      </c>
      <c r="D63" s="718"/>
      <c r="E63" s="24">
        <f t="shared" si="13"/>
        <v>0</v>
      </c>
      <c r="F63" s="718"/>
      <c r="G63" s="24">
        <f t="shared" si="14"/>
        <v>0</v>
      </c>
      <c r="H63" s="718"/>
      <c r="I63" s="24">
        <f t="shared" si="15"/>
        <v>1</v>
      </c>
      <c r="J63" s="718"/>
      <c r="K63" s="24">
        <f t="shared" si="16"/>
        <v>1</v>
      </c>
      <c r="L63" s="718"/>
      <c r="M63" s="24">
        <f t="shared" si="17"/>
        <v>1</v>
      </c>
      <c r="N63" s="718"/>
      <c r="O63" s="24">
        <f t="shared" si="18"/>
        <v>1</v>
      </c>
      <c r="P63" s="718"/>
      <c r="Q63" s="24">
        <f t="shared" si="19"/>
        <v>0.4</v>
      </c>
      <c r="R63" s="714">
        <f t="shared" si="20"/>
        <v>0</v>
      </c>
      <c r="S63" s="361">
        <f t="shared" si="21"/>
        <v>0</v>
      </c>
    </row>
    <row r="64" spans="1:19">
      <c r="A64" s="159"/>
      <c r="B64" s="59"/>
      <c r="C64" s="24">
        <f t="shared" si="12"/>
        <v>1</v>
      </c>
      <c r="D64" s="718"/>
      <c r="E64" s="24">
        <f t="shared" si="13"/>
        <v>0</v>
      </c>
      <c r="F64" s="718"/>
      <c r="G64" s="24">
        <f t="shared" si="14"/>
        <v>0</v>
      </c>
      <c r="H64" s="718"/>
      <c r="I64" s="24">
        <f t="shared" si="15"/>
        <v>1</v>
      </c>
      <c r="J64" s="718"/>
      <c r="K64" s="24">
        <f t="shared" si="16"/>
        <v>1</v>
      </c>
      <c r="L64" s="718"/>
      <c r="M64" s="24">
        <f t="shared" si="17"/>
        <v>1</v>
      </c>
      <c r="N64" s="718"/>
      <c r="O64" s="24">
        <f t="shared" si="18"/>
        <v>1</v>
      </c>
      <c r="P64" s="718"/>
      <c r="Q64" s="24">
        <f t="shared" si="19"/>
        <v>0.4</v>
      </c>
      <c r="R64" s="714">
        <f t="shared" si="20"/>
        <v>0</v>
      </c>
      <c r="S64" s="361">
        <f t="shared" si="21"/>
        <v>0</v>
      </c>
    </row>
    <row r="65" spans="1:19">
      <c r="A65" s="159"/>
      <c r="B65" s="59"/>
      <c r="C65" s="24">
        <f t="shared" si="12"/>
        <v>1</v>
      </c>
      <c r="D65" s="718"/>
      <c r="E65" s="24">
        <f t="shared" si="13"/>
        <v>0</v>
      </c>
      <c r="F65" s="718"/>
      <c r="G65" s="24">
        <f t="shared" si="14"/>
        <v>0</v>
      </c>
      <c r="H65" s="718"/>
      <c r="I65" s="24">
        <f t="shared" si="15"/>
        <v>1</v>
      </c>
      <c r="J65" s="718"/>
      <c r="K65" s="24">
        <f t="shared" si="16"/>
        <v>1</v>
      </c>
      <c r="L65" s="718"/>
      <c r="M65" s="24">
        <f t="shared" si="17"/>
        <v>1</v>
      </c>
      <c r="N65" s="718"/>
      <c r="O65" s="24">
        <f t="shared" si="18"/>
        <v>1</v>
      </c>
      <c r="P65" s="718"/>
      <c r="Q65" s="24">
        <f t="shared" si="19"/>
        <v>0.4</v>
      </c>
      <c r="R65" s="714">
        <f t="shared" si="20"/>
        <v>0</v>
      </c>
      <c r="S65" s="361">
        <f t="shared" si="21"/>
        <v>0</v>
      </c>
    </row>
    <row r="66" spans="1:19">
      <c r="A66" s="159"/>
      <c r="B66" s="59"/>
      <c r="C66" s="24">
        <f t="shared" si="12"/>
        <v>1</v>
      </c>
      <c r="D66" s="718"/>
      <c r="E66" s="24">
        <f t="shared" si="13"/>
        <v>0</v>
      </c>
      <c r="F66" s="718"/>
      <c r="G66" s="24">
        <f t="shared" si="14"/>
        <v>0</v>
      </c>
      <c r="H66" s="718"/>
      <c r="I66" s="24">
        <f t="shared" si="15"/>
        <v>1</v>
      </c>
      <c r="J66" s="718"/>
      <c r="K66" s="24">
        <f t="shared" si="16"/>
        <v>1</v>
      </c>
      <c r="L66" s="718"/>
      <c r="M66" s="24">
        <f t="shared" si="17"/>
        <v>1</v>
      </c>
      <c r="N66" s="718"/>
      <c r="O66" s="24">
        <f t="shared" si="18"/>
        <v>1</v>
      </c>
      <c r="P66" s="718"/>
      <c r="Q66" s="24">
        <f t="shared" si="19"/>
        <v>0.4</v>
      </c>
      <c r="R66" s="714">
        <f t="shared" si="20"/>
        <v>0</v>
      </c>
      <c r="S66" s="361">
        <f t="shared" si="21"/>
        <v>0</v>
      </c>
    </row>
    <row r="67" spans="1:19">
      <c r="A67" s="159"/>
      <c r="B67" s="59"/>
      <c r="C67" s="24">
        <f t="shared" si="12"/>
        <v>1</v>
      </c>
      <c r="D67" s="718"/>
      <c r="E67" s="24">
        <f t="shared" si="13"/>
        <v>0</v>
      </c>
      <c r="F67" s="718"/>
      <c r="G67" s="24">
        <f t="shared" si="14"/>
        <v>0</v>
      </c>
      <c r="H67" s="718"/>
      <c r="I67" s="24">
        <f t="shared" si="15"/>
        <v>1</v>
      </c>
      <c r="J67" s="718"/>
      <c r="K67" s="24">
        <f t="shared" si="16"/>
        <v>1</v>
      </c>
      <c r="L67" s="718"/>
      <c r="M67" s="24">
        <f t="shared" si="17"/>
        <v>1</v>
      </c>
      <c r="N67" s="718"/>
      <c r="O67" s="24">
        <f t="shared" si="18"/>
        <v>1</v>
      </c>
      <c r="P67" s="718"/>
      <c r="Q67" s="24">
        <f t="shared" si="19"/>
        <v>0.4</v>
      </c>
      <c r="R67" s="714">
        <f t="shared" si="20"/>
        <v>0</v>
      </c>
      <c r="S67" s="361">
        <f t="shared" si="21"/>
        <v>0</v>
      </c>
    </row>
    <row r="68" spans="1:19">
      <c r="A68" s="159"/>
      <c r="B68" s="59"/>
      <c r="C68" s="24">
        <f t="shared" si="12"/>
        <v>1</v>
      </c>
      <c r="D68" s="718"/>
      <c r="E68" s="24">
        <f t="shared" si="13"/>
        <v>0</v>
      </c>
      <c r="F68" s="718"/>
      <c r="G68" s="24">
        <f t="shared" si="14"/>
        <v>0</v>
      </c>
      <c r="H68" s="718"/>
      <c r="I68" s="24">
        <f t="shared" si="15"/>
        <v>1</v>
      </c>
      <c r="J68" s="718"/>
      <c r="K68" s="24">
        <f t="shared" si="16"/>
        <v>1</v>
      </c>
      <c r="L68" s="718"/>
      <c r="M68" s="24">
        <f t="shared" si="17"/>
        <v>1</v>
      </c>
      <c r="N68" s="718"/>
      <c r="O68" s="24">
        <f t="shared" si="18"/>
        <v>1</v>
      </c>
      <c r="P68" s="718"/>
      <c r="Q68" s="24">
        <f t="shared" si="19"/>
        <v>0.4</v>
      </c>
      <c r="R68" s="714">
        <f t="shared" si="20"/>
        <v>0</v>
      </c>
      <c r="S68" s="361">
        <f t="shared" si="21"/>
        <v>0</v>
      </c>
    </row>
    <row r="69" spans="1:19">
      <c r="A69" s="159"/>
      <c r="B69" s="59"/>
      <c r="C69" s="24">
        <f t="shared" si="12"/>
        <v>1</v>
      </c>
      <c r="D69" s="718"/>
      <c r="E69" s="24">
        <f t="shared" si="13"/>
        <v>0</v>
      </c>
      <c r="F69" s="718"/>
      <c r="G69" s="24">
        <f t="shared" si="14"/>
        <v>0</v>
      </c>
      <c r="H69" s="718"/>
      <c r="I69" s="24">
        <f t="shared" si="15"/>
        <v>1</v>
      </c>
      <c r="J69" s="718"/>
      <c r="K69" s="24">
        <f t="shared" si="16"/>
        <v>1</v>
      </c>
      <c r="L69" s="718"/>
      <c r="M69" s="24">
        <f t="shared" si="17"/>
        <v>1</v>
      </c>
      <c r="N69" s="718"/>
      <c r="O69" s="24">
        <f t="shared" si="18"/>
        <v>1</v>
      </c>
      <c r="P69" s="718"/>
      <c r="Q69" s="24">
        <f t="shared" si="19"/>
        <v>0.4</v>
      </c>
      <c r="R69" s="714">
        <f t="shared" si="20"/>
        <v>0</v>
      </c>
      <c r="S69" s="361">
        <f t="shared" si="21"/>
        <v>0</v>
      </c>
    </row>
    <row r="70" spans="1:19">
      <c r="A70" s="159"/>
      <c r="B70" s="59"/>
      <c r="C70" s="24">
        <f t="shared" si="12"/>
        <v>1</v>
      </c>
      <c r="D70" s="718"/>
      <c r="E70" s="24">
        <f t="shared" si="13"/>
        <v>0</v>
      </c>
      <c r="F70" s="718"/>
      <c r="G70" s="24">
        <f t="shared" si="14"/>
        <v>0</v>
      </c>
      <c r="H70" s="718"/>
      <c r="I70" s="24">
        <f t="shared" si="15"/>
        <v>1</v>
      </c>
      <c r="J70" s="718"/>
      <c r="K70" s="24">
        <f t="shared" si="16"/>
        <v>1</v>
      </c>
      <c r="L70" s="718"/>
      <c r="M70" s="24">
        <f t="shared" si="17"/>
        <v>1</v>
      </c>
      <c r="N70" s="718"/>
      <c r="O70" s="24">
        <f t="shared" si="18"/>
        <v>1</v>
      </c>
      <c r="P70" s="718"/>
      <c r="Q70" s="24">
        <f t="shared" si="19"/>
        <v>0.4</v>
      </c>
      <c r="R70" s="714">
        <f t="shared" si="20"/>
        <v>0</v>
      </c>
      <c r="S70" s="361">
        <f t="shared" si="21"/>
        <v>0</v>
      </c>
    </row>
    <row r="71" spans="1:19">
      <c r="A71" s="159"/>
      <c r="B71" s="59"/>
      <c r="C71" s="24">
        <f t="shared" si="12"/>
        <v>1</v>
      </c>
      <c r="D71" s="718"/>
      <c r="E71" s="24">
        <f t="shared" si="13"/>
        <v>0</v>
      </c>
      <c r="F71" s="718"/>
      <c r="G71" s="24">
        <f t="shared" si="14"/>
        <v>0</v>
      </c>
      <c r="H71" s="718"/>
      <c r="I71" s="24">
        <f t="shared" si="15"/>
        <v>1</v>
      </c>
      <c r="J71" s="718"/>
      <c r="K71" s="24">
        <f t="shared" si="16"/>
        <v>1</v>
      </c>
      <c r="L71" s="718"/>
      <c r="M71" s="24">
        <f t="shared" si="17"/>
        <v>1</v>
      </c>
      <c r="N71" s="718"/>
      <c r="O71" s="24">
        <f t="shared" si="18"/>
        <v>1</v>
      </c>
      <c r="P71" s="718"/>
      <c r="Q71" s="24">
        <f t="shared" si="19"/>
        <v>0.4</v>
      </c>
      <c r="R71" s="714">
        <f t="shared" si="20"/>
        <v>0</v>
      </c>
      <c r="S71" s="361">
        <f t="shared" si="21"/>
        <v>0</v>
      </c>
    </row>
    <row r="72" spans="1:19">
      <c r="A72" s="159"/>
      <c r="B72" s="59"/>
      <c r="C72" s="24">
        <f t="shared" si="12"/>
        <v>1</v>
      </c>
      <c r="D72" s="718"/>
      <c r="E72" s="24">
        <f t="shared" si="13"/>
        <v>0</v>
      </c>
      <c r="F72" s="718"/>
      <c r="G72" s="24">
        <f t="shared" si="14"/>
        <v>0</v>
      </c>
      <c r="H72" s="718"/>
      <c r="I72" s="24">
        <f t="shared" si="15"/>
        <v>1</v>
      </c>
      <c r="J72" s="718"/>
      <c r="K72" s="24">
        <f t="shared" si="16"/>
        <v>1</v>
      </c>
      <c r="L72" s="718"/>
      <c r="M72" s="24">
        <f t="shared" si="17"/>
        <v>1</v>
      </c>
      <c r="N72" s="718"/>
      <c r="O72" s="24">
        <f t="shared" si="18"/>
        <v>1</v>
      </c>
      <c r="P72" s="718"/>
      <c r="Q72" s="24">
        <f t="shared" si="19"/>
        <v>0.4</v>
      </c>
      <c r="R72" s="714">
        <f t="shared" si="20"/>
        <v>0</v>
      </c>
      <c r="S72" s="361">
        <f t="shared" si="21"/>
        <v>0</v>
      </c>
    </row>
    <row r="73" spans="1:19">
      <c r="A73" s="159"/>
      <c r="B73" s="59"/>
      <c r="C73" s="24">
        <f t="shared" si="12"/>
        <v>1</v>
      </c>
      <c r="D73" s="718"/>
      <c r="E73" s="24">
        <f t="shared" si="13"/>
        <v>0</v>
      </c>
      <c r="F73" s="718"/>
      <c r="G73" s="24">
        <f t="shared" si="14"/>
        <v>0</v>
      </c>
      <c r="H73" s="718"/>
      <c r="I73" s="24">
        <f t="shared" si="15"/>
        <v>1</v>
      </c>
      <c r="J73" s="718"/>
      <c r="K73" s="24">
        <f t="shared" si="16"/>
        <v>1</v>
      </c>
      <c r="L73" s="718"/>
      <c r="M73" s="24">
        <f t="shared" si="17"/>
        <v>1</v>
      </c>
      <c r="N73" s="718"/>
      <c r="O73" s="24">
        <f t="shared" si="18"/>
        <v>1</v>
      </c>
      <c r="P73" s="718"/>
      <c r="Q73" s="24">
        <f t="shared" si="19"/>
        <v>0.4</v>
      </c>
      <c r="R73" s="714">
        <f t="shared" si="20"/>
        <v>0</v>
      </c>
      <c r="S73" s="361">
        <f t="shared" si="21"/>
        <v>0</v>
      </c>
    </row>
    <row r="74" spans="1:19">
      <c r="A74" s="159"/>
      <c r="B74" s="59"/>
      <c r="C74" s="24">
        <f t="shared" si="12"/>
        <v>1</v>
      </c>
      <c r="D74" s="718"/>
      <c r="E74" s="24">
        <f t="shared" si="13"/>
        <v>0</v>
      </c>
      <c r="F74" s="718"/>
      <c r="G74" s="24">
        <f t="shared" si="14"/>
        <v>0</v>
      </c>
      <c r="H74" s="718"/>
      <c r="I74" s="24">
        <f t="shared" si="15"/>
        <v>1</v>
      </c>
      <c r="J74" s="718"/>
      <c r="K74" s="24">
        <f t="shared" si="16"/>
        <v>1</v>
      </c>
      <c r="L74" s="718"/>
      <c r="M74" s="24">
        <f t="shared" si="17"/>
        <v>1</v>
      </c>
      <c r="N74" s="718"/>
      <c r="O74" s="24">
        <f t="shared" si="18"/>
        <v>1</v>
      </c>
      <c r="P74" s="718"/>
      <c r="Q74" s="24">
        <f t="shared" si="19"/>
        <v>0.4</v>
      </c>
      <c r="R74" s="714">
        <f t="shared" si="20"/>
        <v>0</v>
      </c>
      <c r="S74" s="361">
        <f t="shared" si="21"/>
        <v>0</v>
      </c>
    </row>
    <row r="75" spans="1:19">
      <c r="A75" s="159"/>
      <c r="B75" s="59"/>
      <c r="C75" s="24">
        <f t="shared" si="12"/>
        <v>1</v>
      </c>
      <c r="D75" s="718"/>
      <c r="E75" s="24">
        <f t="shared" si="13"/>
        <v>0</v>
      </c>
      <c r="F75" s="718"/>
      <c r="G75" s="24">
        <f t="shared" si="14"/>
        <v>0</v>
      </c>
      <c r="H75" s="718"/>
      <c r="I75" s="24">
        <f t="shared" si="15"/>
        <v>1</v>
      </c>
      <c r="J75" s="718"/>
      <c r="K75" s="24">
        <f t="shared" si="16"/>
        <v>1</v>
      </c>
      <c r="L75" s="718"/>
      <c r="M75" s="24">
        <f t="shared" si="17"/>
        <v>1</v>
      </c>
      <c r="N75" s="718"/>
      <c r="O75" s="24">
        <f t="shared" si="18"/>
        <v>1</v>
      </c>
      <c r="P75" s="718"/>
      <c r="Q75" s="24">
        <f t="shared" si="19"/>
        <v>0.4</v>
      </c>
      <c r="R75" s="714">
        <f t="shared" si="20"/>
        <v>0</v>
      </c>
      <c r="S75" s="361">
        <f t="shared" si="21"/>
        <v>0</v>
      </c>
    </row>
    <row r="76" spans="1:19">
      <c r="A76" s="159"/>
      <c r="B76" s="59"/>
      <c r="C76" s="24">
        <f t="shared" si="12"/>
        <v>1</v>
      </c>
      <c r="D76" s="718"/>
      <c r="E76" s="24">
        <f t="shared" si="13"/>
        <v>0</v>
      </c>
      <c r="F76" s="718"/>
      <c r="G76" s="24">
        <f t="shared" si="14"/>
        <v>0</v>
      </c>
      <c r="H76" s="718"/>
      <c r="I76" s="24">
        <f t="shared" si="15"/>
        <v>1</v>
      </c>
      <c r="J76" s="718"/>
      <c r="K76" s="24">
        <f t="shared" si="16"/>
        <v>1</v>
      </c>
      <c r="L76" s="718"/>
      <c r="M76" s="24">
        <f t="shared" si="17"/>
        <v>1</v>
      </c>
      <c r="N76" s="718"/>
      <c r="O76" s="24">
        <f t="shared" si="18"/>
        <v>1</v>
      </c>
      <c r="P76" s="718"/>
      <c r="Q76" s="24">
        <f t="shared" si="19"/>
        <v>0.4</v>
      </c>
      <c r="R76" s="714">
        <f t="shared" si="20"/>
        <v>0</v>
      </c>
      <c r="S76" s="361">
        <f t="shared" si="21"/>
        <v>0</v>
      </c>
    </row>
    <row r="77" spans="1:19">
      <c r="A77" s="159"/>
      <c r="B77" s="59"/>
      <c r="C77" s="24">
        <f t="shared" si="12"/>
        <v>1</v>
      </c>
      <c r="D77" s="718"/>
      <c r="E77" s="24">
        <f t="shared" si="13"/>
        <v>0</v>
      </c>
      <c r="F77" s="718"/>
      <c r="G77" s="24">
        <f t="shared" si="14"/>
        <v>0</v>
      </c>
      <c r="H77" s="718"/>
      <c r="I77" s="24">
        <f t="shared" si="15"/>
        <v>1</v>
      </c>
      <c r="J77" s="718"/>
      <c r="K77" s="24">
        <f t="shared" si="16"/>
        <v>1</v>
      </c>
      <c r="L77" s="718"/>
      <c r="M77" s="24">
        <f t="shared" si="17"/>
        <v>1</v>
      </c>
      <c r="N77" s="718"/>
      <c r="O77" s="24">
        <f t="shared" si="18"/>
        <v>1</v>
      </c>
      <c r="P77" s="718"/>
      <c r="Q77" s="24">
        <f t="shared" si="19"/>
        <v>0.4</v>
      </c>
      <c r="R77" s="714">
        <f t="shared" si="20"/>
        <v>0</v>
      </c>
      <c r="S77" s="361">
        <f t="shared" si="21"/>
        <v>0</v>
      </c>
    </row>
    <row r="78" spans="1:19">
      <c r="A78" s="159"/>
      <c r="B78" s="59"/>
      <c r="C78" s="24">
        <f t="shared" si="12"/>
        <v>1</v>
      </c>
      <c r="D78" s="718"/>
      <c r="E78" s="24">
        <f t="shared" si="13"/>
        <v>0</v>
      </c>
      <c r="F78" s="718"/>
      <c r="G78" s="24">
        <f t="shared" si="14"/>
        <v>0</v>
      </c>
      <c r="H78" s="718"/>
      <c r="I78" s="24">
        <f t="shared" si="15"/>
        <v>1</v>
      </c>
      <c r="J78" s="718"/>
      <c r="K78" s="24">
        <f t="shared" si="16"/>
        <v>1</v>
      </c>
      <c r="L78" s="718"/>
      <c r="M78" s="24">
        <f t="shared" si="17"/>
        <v>1</v>
      </c>
      <c r="N78" s="718"/>
      <c r="O78" s="24">
        <f t="shared" si="18"/>
        <v>1</v>
      </c>
      <c r="P78" s="718"/>
      <c r="Q78" s="24">
        <f t="shared" si="19"/>
        <v>0.4</v>
      </c>
      <c r="R78" s="714">
        <f t="shared" si="20"/>
        <v>0</v>
      </c>
      <c r="S78" s="361">
        <f t="shared" ref="S78:S122" si="22">ROUND(R78*B78/10000,0)</f>
        <v>0</v>
      </c>
    </row>
    <row r="79" spans="1:19">
      <c r="A79" s="159"/>
      <c r="B79" s="59"/>
      <c r="C79" s="24">
        <f t="shared" si="12"/>
        <v>1</v>
      </c>
      <c r="D79" s="718"/>
      <c r="E79" s="24">
        <f t="shared" si="13"/>
        <v>0</v>
      </c>
      <c r="F79" s="718"/>
      <c r="G79" s="24">
        <f t="shared" si="14"/>
        <v>0</v>
      </c>
      <c r="H79" s="718"/>
      <c r="I79" s="24">
        <f t="shared" si="15"/>
        <v>1</v>
      </c>
      <c r="J79" s="718"/>
      <c r="K79" s="24">
        <f t="shared" si="16"/>
        <v>1</v>
      </c>
      <c r="L79" s="718"/>
      <c r="M79" s="24">
        <f t="shared" si="17"/>
        <v>1</v>
      </c>
      <c r="N79" s="718"/>
      <c r="O79" s="24">
        <f t="shared" si="18"/>
        <v>1</v>
      </c>
      <c r="P79" s="718"/>
      <c r="Q79" s="24">
        <f t="shared" si="19"/>
        <v>0.4</v>
      </c>
      <c r="R79" s="714">
        <f t="shared" si="20"/>
        <v>0</v>
      </c>
      <c r="S79" s="361">
        <f t="shared" si="22"/>
        <v>0</v>
      </c>
    </row>
    <row r="80" spans="1:19">
      <c r="A80" s="159"/>
      <c r="B80" s="59"/>
      <c r="C80" s="24">
        <f t="shared" si="12"/>
        <v>1</v>
      </c>
      <c r="D80" s="718"/>
      <c r="E80" s="24">
        <f t="shared" si="13"/>
        <v>0</v>
      </c>
      <c r="F80" s="718"/>
      <c r="G80" s="24">
        <f t="shared" si="14"/>
        <v>0</v>
      </c>
      <c r="H80" s="718"/>
      <c r="I80" s="24">
        <f t="shared" si="15"/>
        <v>1</v>
      </c>
      <c r="J80" s="718"/>
      <c r="K80" s="24">
        <f t="shared" si="16"/>
        <v>1</v>
      </c>
      <c r="L80" s="718"/>
      <c r="M80" s="24">
        <f t="shared" si="17"/>
        <v>1</v>
      </c>
      <c r="N80" s="718"/>
      <c r="O80" s="24">
        <f t="shared" si="18"/>
        <v>1</v>
      </c>
      <c r="P80" s="718"/>
      <c r="Q80" s="24">
        <f t="shared" si="19"/>
        <v>0.4</v>
      </c>
      <c r="R80" s="714">
        <f t="shared" si="20"/>
        <v>0</v>
      </c>
      <c r="S80" s="361">
        <f t="shared" si="22"/>
        <v>0</v>
      </c>
    </row>
    <row r="81" spans="1:19">
      <c r="A81" s="159"/>
      <c r="B81" s="59"/>
      <c r="C81" s="24">
        <f t="shared" si="12"/>
        <v>1</v>
      </c>
      <c r="D81" s="718"/>
      <c r="E81" s="24">
        <f t="shared" si="13"/>
        <v>0</v>
      </c>
      <c r="F81" s="718"/>
      <c r="G81" s="24">
        <f t="shared" si="14"/>
        <v>0</v>
      </c>
      <c r="H81" s="718"/>
      <c r="I81" s="24">
        <f t="shared" si="15"/>
        <v>1</v>
      </c>
      <c r="J81" s="718"/>
      <c r="K81" s="24">
        <f t="shared" si="16"/>
        <v>1</v>
      </c>
      <c r="L81" s="718"/>
      <c r="M81" s="24">
        <f t="shared" si="17"/>
        <v>1</v>
      </c>
      <c r="N81" s="718"/>
      <c r="O81" s="24">
        <f t="shared" si="18"/>
        <v>1</v>
      </c>
      <c r="P81" s="718"/>
      <c r="Q81" s="24">
        <f t="shared" si="19"/>
        <v>0.4</v>
      </c>
      <c r="R81" s="714">
        <f t="shared" si="20"/>
        <v>0</v>
      </c>
      <c r="S81" s="361">
        <f t="shared" si="22"/>
        <v>0</v>
      </c>
    </row>
    <row r="82" spans="1:19">
      <c r="A82" s="159"/>
      <c r="B82" s="59"/>
      <c r="C82" s="24">
        <f t="shared" si="12"/>
        <v>1</v>
      </c>
      <c r="D82" s="718"/>
      <c r="E82" s="24">
        <f t="shared" si="13"/>
        <v>0</v>
      </c>
      <c r="F82" s="718"/>
      <c r="G82" s="24">
        <f t="shared" si="14"/>
        <v>0</v>
      </c>
      <c r="H82" s="718"/>
      <c r="I82" s="24">
        <f t="shared" si="15"/>
        <v>1</v>
      </c>
      <c r="J82" s="718"/>
      <c r="K82" s="24">
        <f t="shared" si="16"/>
        <v>1</v>
      </c>
      <c r="L82" s="718"/>
      <c r="M82" s="24">
        <f t="shared" si="17"/>
        <v>1</v>
      </c>
      <c r="N82" s="718"/>
      <c r="O82" s="24">
        <f t="shared" si="18"/>
        <v>1</v>
      </c>
      <c r="P82" s="718"/>
      <c r="Q82" s="24">
        <f t="shared" si="19"/>
        <v>0.4</v>
      </c>
      <c r="R82" s="714">
        <f t="shared" si="20"/>
        <v>0</v>
      </c>
      <c r="S82" s="361">
        <f t="shared" si="22"/>
        <v>0</v>
      </c>
    </row>
    <row r="83" spans="1:19">
      <c r="A83" s="159"/>
      <c r="B83" s="59"/>
      <c r="C83" s="24">
        <f t="shared" si="12"/>
        <v>1</v>
      </c>
      <c r="D83" s="718"/>
      <c r="E83" s="24">
        <f t="shared" si="13"/>
        <v>0</v>
      </c>
      <c r="F83" s="718"/>
      <c r="G83" s="24">
        <f t="shared" si="14"/>
        <v>0</v>
      </c>
      <c r="H83" s="718"/>
      <c r="I83" s="24">
        <f t="shared" si="15"/>
        <v>1</v>
      </c>
      <c r="J83" s="718"/>
      <c r="K83" s="24">
        <f t="shared" si="16"/>
        <v>1</v>
      </c>
      <c r="L83" s="718"/>
      <c r="M83" s="24">
        <f t="shared" si="17"/>
        <v>1</v>
      </c>
      <c r="N83" s="718"/>
      <c r="O83" s="24">
        <f t="shared" si="18"/>
        <v>1</v>
      </c>
      <c r="P83" s="718"/>
      <c r="Q83" s="24">
        <f t="shared" si="19"/>
        <v>0.4</v>
      </c>
      <c r="R83" s="714">
        <f t="shared" si="20"/>
        <v>0</v>
      </c>
      <c r="S83" s="361">
        <f t="shared" si="22"/>
        <v>0</v>
      </c>
    </row>
    <row r="84" spans="1:19">
      <c r="A84" s="159"/>
      <c r="B84" s="59"/>
      <c r="C84" s="24">
        <f t="shared" si="12"/>
        <v>1</v>
      </c>
      <c r="D84" s="718"/>
      <c r="E84" s="24">
        <f t="shared" si="13"/>
        <v>0</v>
      </c>
      <c r="F84" s="718"/>
      <c r="G84" s="24">
        <f t="shared" si="14"/>
        <v>0</v>
      </c>
      <c r="H84" s="718"/>
      <c r="I84" s="24">
        <f t="shared" si="15"/>
        <v>1</v>
      </c>
      <c r="J84" s="718"/>
      <c r="K84" s="24">
        <f t="shared" si="16"/>
        <v>1</v>
      </c>
      <c r="L84" s="718"/>
      <c r="M84" s="24">
        <f t="shared" si="17"/>
        <v>1</v>
      </c>
      <c r="N84" s="718"/>
      <c r="O84" s="24">
        <f t="shared" si="18"/>
        <v>1</v>
      </c>
      <c r="P84" s="718"/>
      <c r="Q84" s="24">
        <f t="shared" si="19"/>
        <v>0.4</v>
      </c>
      <c r="R84" s="714">
        <f t="shared" si="20"/>
        <v>0</v>
      </c>
      <c r="S84" s="361">
        <f t="shared" si="22"/>
        <v>0</v>
      </c>
    </row>
    <row r="85" spans="1:19">
      <c r="A85" s="159"/>
      <c r="B85" s="59"/>
      <c r="C85" s="24">
        <f t="shared" si="12"/>
        <v>1</v>
      </c>
      <c r="D85" s="718"/>
      <c r="E85" s="24">
        <f t="shared" si="13"/>
        <v>0</v>
      </c>
      <c r="F85" s="718"/>
      <c r="G85" s="24">
        <f t="shared" si="14"/>
        <v>0</v>
      </c>
      <c r="H85" s="718"/>
      <c r="I85" s="24">
        <f t="shared" si="15"/>
        <v>1</v>
      </c>
      <c r="J85" s="718"/>
      <c r="K85" s="24">
        <f t="shared" si="16"/>
        <v>1</v>
      </c>
      <c r="L85" s="718"/>
      <c r="M85" s="24">
        <f t="shared" si="17"/>
        <v>1</v>
      </c>
      <c r="N85" s="718"/>
      <c r="O85" s="24">
        <f t="shared" si="18"/>
        <v>1</v>
      </c>
      <c r="P85" s="718"/>
      <c r="Q85" s="24">
        <f t="shared" si="19"/>
        <v>0.4</v>
      </c>
      <c r="R85" s="714">
        <f t="shared" si="20"/>
        <v>0</v>
      </c>
      <c r="S85" s="361">
        <f t="shared" si="22"/>
        <v>0</v>
      </c>
    </row>
    <row r="86" spans="1:19">
      <c r="A86" s="159"/>
      <c r="B86" s="59"/>
      <c r="C86" s="24">
        <f t="shared" si="12"/>
        <v>1</v>
      </c>
      <c r="D86" s="718"/>
      <c r="E86" s="24">
        <f t="shared" si="13"/>
        <v>0</v>
      </c>
      <c r="F86" s="718"/>
      <c r="G86" s="24">
        <f t="shared" si="14"/>
        <v>0</v>
      </c>
      <c r="H86" s="718"/>
      <c r="I86" s="24">
        <f t="shared" si="15"/>
        <v>1</v>
      </c>
      <c r="J86" s="718"/>
      <c r="K86" s="24">
        <f t="shared" si="16"/>
        <v>1</v>
      </c>
      <c r="L86" s="718"/>
      <c r="M86" s="24">
        <f t="shared" si="17"/>
        <v>1</v>
      </c>
      <c r="N86" s="718"/>
      <c r="O86" s="24">
        <f t="shared" si="18"/>
        <v>1</v>
      </c>
      <c r="P86" s="718"/>
      <c r="Q86" s="24">
        <f t="shared" si="19"/>
        <v>0.4</v>
      </c>
      <c r="R86" s="714">
        <f t="shared" si="20"/>
        <v>0</v>
      </c>
      <c r="S86" s="361">
        <f t="shared" si="22"/>
        <v>0</v>
      </c>
    </row>
    <row r="87" spans="1:19">
      <c r="A87" s="159"/>
      <c r="B87" s="59"/>
      <c r="C87" s="24">
        <f t="shared" si="12"/>
        <v>1</v>
      </c>
      <c r="D87" s="718"/>
      <c r="E87" s="24">
        <f t="shared" si="13"/>
        <v>0</v>
      </c>
      <c r="F87" s="718"/>
      <c r="G87" s="24">
        <f t="shared" si="14"/>
        <v>0</v>
      </c>
      <c r="H87" s="718"/>
      <c r="I87" s="24">
        <f t="shared" si="15"/>
        <v>1</v>
      </c>
      <c r="J87" s="718"/>
      <c r="K87" s="24">
        <f t="shared" si="16"/>
        <v>1</v>
      </c>
      <c r="L87" s="718"/>
      <c r="M87" s="24">
        <f t="shared" si="17"/>
        <v>1</v>
      </c>
      <c r="N87" s="718"/>
      <c r="O87" s="24">
        <f t="shared" si="18"/>
        <v>1</v>
      </c>
      <c r="P87" s="718"/>
      <c r="Q87" s="24">
        <f t="shared" si="19"/>
        <v>0.4</v>
      </c>
      <c r="R87" s="714">
        <f t="shared" si="20"/>
        <v>0</v>
      </c>
      <c r="S87" s="361">
        <f t="shared" si="22"/>
        <v>0</v>
      </c>
    </row>
    <row r="88" spans="1:19">
      <c r="A88" s="159"/>
      <c r="B88" s="59"/>
      <c r="C88" s="24">
        <f t="shared" si="12"/>
        <v>1</v>
      </c>
      <c r="D88" s="718"/>
      <c r="E88" s="24">
        <f t="shared" si="13"/>
        <v>0</v>
      </c>
      <c r="F88" s="718"/>
      <c r="G88" s="24">
        <f t="shared" si="14"/>
        <v>0</v>
      </c>
      <c r="H88" s="718"/>
      <c r="I88" s="24">
        <f t="shared" si="15"/>
        <v>1</v>
      </c>
      <c r="J88" s="718"/>
      <c r="K88" s="24">
        <f t="shared" si="16"/>
        <v>1</v>
      </c>
      <c r="L88" s="718"/>
      <c r="M88" s="24">
        <f t="shared" si="17"/>
        <v>1</v>
      </c>
      <c r="N88" s="718"/>
      <c r="O88" s="24">
        <f t="shared" si="18"/>
        <v>1</v>
      </c>
      <c r="P88" s="718"/>
      <c r="Q88" s="24">
        <f t="shared" si="19"/>
        <v>0.4</v>
      </c>
      <c r="R88" s="714">
        <f t="shared" si="20"/>
        <v>0</v>
      </c>
      <c r="S88" s="361">
        <f t="shared" si="22"/>
        <v>0</v>
      </c>
    </row>
    <row r="89" spans="1:19">
      <c r="A89" s="159"/>
      <c r="B89" s="59"/>
      <c r="C89" s="24">
        <f t="shared" si="12"/>
        <v>1</v>
      </c>
      <c r="D89" s="718"/>
      <c r="E89" s="24">
        <f t="shared" si="13"/>
        <v>0</v>
      </c>
      <c r="F89" s="718"/>
      <c r="G89" s="24">
        <f t="shared" si="14"/>
        <v>0</v>
      </c>
      <c r="H89" s="718"/>
      <c r="I89" s="24">
        <f t="shared" si="15"/>
        <v>1</v>
      </c>
      <c r="J89" s="718"/>
      <c r="K89" s="24">
        <f t="shared" si="16"/>
        <v>1</v>
      </c>
      <c r="L89" s="718"/>
      <c r="M89" s="24">
        <f t="shared" si="17"/>
        <v>1</v>
      </c>
      <c r="N89" s="718"/>
      <c r="O89" s="24">
        <f t="shared" si="18"/>
        <v>1</v>
      </c>
      <c r="P89" s="718"/>
      <c r="Q89" s="24">
        <f t="shared" si="19"/>
        <v>0.4</v>
      </c>
      <c r="R89" s="714">
        <f t="shared" si="20"/>
        <v>0</v>
      </c>
      <c r="S89" s="361">
        <f t="shared" si="22"/>
        <v>0</v>
      </c>
    </row>
    <row r="90" spans="1:19">
      <c r="A90" s="159"/>
      <c r="B90" s="59"/>
      <c r="C90" s="24">
        <f t="shared" ref="C90:C153" si="23">IF(B90="",1,(LOOKUP(B90,$3:$3,$4:$4)-LOOKUP($B$24,$3:$3,$4:$4)+100)/100)</f>
        <v>1</v>
      </c>
      <c r="D90" s="718"/>
      <c r="E90" s="24">
        <f t="shared" ref="E90:E153" si="24">(SUMIF($5:$5,D90,$6:$6)-SUMIF($5:$5,$D$24,$6:$6)+100)/100</f>
        <v>0</v>
      </c>
      <c r="F90" s="718"/>
      <c r="G90" s="24">
        <f t="shared" ref="G90:G153" si="25">(SUMIF($7:$7,F90,$8:$8)-SUMIF($7:$7,$F$24,$8:$8)+100)/100</f>
        <v>0</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0.4</v>
      </c>
      <c r="R90" s="714">
        <f t="shared" ref="R90:R153" si="31">IF(B90="",0,ROUND($R$24*C90*E90*G90*I90*K90*M90*O90*Q90,0))</f>
        <v>0</v>
      </c>
      <c r="S90" s="361">
        <f t="shared" si="22"/>
        <v>0</v>
      </c>
    </row>
    <row r="91" spans="1:19">
      <c r="A91" s="159"/>
      <c r="B91" s="59"/>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0.4</v>
      </c>
      <c r="R91" s="714">
        <f t="shared" si="31"/>
        <v>0</v>
      </c>
      <c r="S91" s="361">
        <f t="shared" si="22"/>
        <v>0</v>
      </c>
    </row>
    <row r="92" spans="1:19">
      <c r="A92" s="159"/>
      <c r="B92" s="59"/>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0.4</v>
      </c>
      <c r="R92" s="714">
        <f t="shared" si="31"/>
        <v>0</v>
      </c>
      <c r="S92" s="361">
        <f t="shared" si="22"/>
        <v>0</v>
      </c>
    </row>
    <row r="93" spans="1:19">
      <c r="A93" s="159"/>
      <c r="B93" s="59"/>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0.4</v>
      </c>
      <c r="R93" s="714">
        <f t="shared" si="31"/>
        <v>0</v>
      </c>
      <c r="S93" s="361">
        <f t="shared" si="22"/>
        <v>0</v>
      </c>
    </row>
    <row r="94" spans="1:19">
      <c r="A94" s="159"/>
      <c r="B94" s="59"/>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0.4</v>
      </c>
      <c r="R94" s="714">
        <f t="shared" si="31"/>
        <v>0</v>
      </c>
      <c r="S94" s="361">
        <f t="shared" si="22"/>
        <v>0</v>
      </c>
    </row>
    <row r="95" spans="1:19">
      <c r="A95" s="159"/>
      <c r="B95" s="59"/>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0.4</v>
      </c>
      <c r="R95" s="714">
        <f t="shared" si="31"/>
        <v>0</v>
      </c>
      <c r="S95" s="361">
        <f t="shared" si="22"/>
        <v>0</v>
      </c>
    </row>
    <row r="96" spans="1:19">
      <c r="A96" s="159"/>
      <c r="B96" s="59"/>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0.4</v>
      </c>
      <c r="R96" s="714">
        <f t="shared" si="31"/>
        <v>0</v>
      </c>
      <c r="S96" s="361">
        <f t="shared" si="22"/>
        <v>0</v>
      </c>
    </row>
    <row r="97" spans="1:19">
      <c r="A97" s="159"/>
      <c r="B97" s="59"/>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0.4</v>
      </c>
      <c r="R97" s="714">
        <f t="shared" si="31"/>
        <v>0</v>
      </c>
      <c r="S97" s="361">
        <f t="shared" si="22"/>
        <v>0</v>
      </c>
    </row>
    <row r="98" spans="1:19">
      <c r="A98" s="159"/>
      <c r="B98" s="59"/>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0.4</v>
      </c>
      <c r="R98" s="714">
        <f t="shared" si="31"/>
        <v>0</v>
      </c>
      <c r="S98" s="361">
        <f t="shared" si="22"/>
        <v>0</v>
      </c>
    </row>
    <row r="99" spans="1:19">
      <c r="A99" s="159"/>
      <c r="B99" s="59"/>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0.4</v>
      </c>
      <c r="R99" s="714">
        <f t="shared" si="31"/>
        <v>0</v>
      </c>
      <c r="S99" s="361">
        <f t="shared" si="22"/>
        <v>0</v>
      </c>
    </row>
    <row r="100" spans="1:19">
      <c r="A100" s="159"/>
      <c r="B100" s="59"/>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0.4</v>
      </c>
      <c r="R100" s="714">
        <f t="shared" si="31"/>
        <v>0</v>
      </c>
      <c r="S100" s="361">
        <f t="shared" si="22"/>
        <v>0</v>
      </c>
    </row>
    <row r="101" spans="1:19">
      <c r="A101" s="159"/>
      <c r="B101" s="59"/>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0.4</v>
      </c>
      <c r="R101" s="714">
        <f t="shared" si="31"/>
        <v>0</v>
      </c>
      <c r="S101" s="361">
        <f t="shared" si="22"/>
        <v>0</v>
      </c>
    </row>
    <row r="102" spans="1:19">
      <c r="A102" s="159"/>
      <c r="B102" s="59"/>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0.4</v>
      </c>
      <c r="R102" s="714">
        <f t="shared" si="31"/>
        <v>0</v>
      </c>
      <c r="S102" s="361">
        <f t="shared" si="22"/>
        <v>0</v>
      </c>
    </row>
    <row r="103" spans="1:19">
      <c r="A103" s="159"/>
      <c r="B103" s="59"/>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0.4</v>
      </c>
      <c r="R103" s="714">
        <f t="shared" si="31"/>
        <v>0</v>
      </c>
      <c r="S103" s="361">
        <f t="shared" si="22"/>
        <v>0</v>
      </c>
    </row>
    <row r="104" spans="1:19">
      <c r="A104" s="159"/>
      <c r="B104" s="59"/>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0.4</v>
      </c>
      <c r="R104" s="714">
        <f t="shared" si="31"/>
        <v>0</v>
      </c>
      <c r="S104" s="361">
        <f t="shared" si="22"/>
        <v>0</v>
      </c>
    </row>
    <row r="105" spans="1:19">
      <c r="A105" s="159"/>
      <c r="B105" s="59"/>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0.4</v>
      </c>
      <c r="R105" s="714">
        <f t="shared" si="31"/>
        <v>0</v>
      </c>
      <c r="S105" s="361">
        <f t="shared" si="22"/>
        <v>0</v>
      </c>
    </row>
    <row r="106" spans="1:19">
      <c r="A106" s="159"/>
      <c r="B106" s="59"/>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0.4</v>
      </c>
      <c r="R106" s="714">
        <f t="shared" si="31"/>
        <v>0</v>
      </c>
      <c r="S106" s="361">
        <f t="shared" si="22"/>
        <v>0</v>
      </c>
    </row>
    <row r="107" spans="1:19">
      <c r="A107" s="159"/>
      <c r="B107" s="59"/>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0.4</v>
      </c>
      <c r="R107" s="714">
        <f t="shared" si="31"/>
        <v>0</v>
      </c>
      <c r="S107" s="361">
        <f t="shared" si="22"/>
        <v>0</v>
      </c>
    </row>
    <row r="108" spans="1:19">
      <c r="A108" s="159"/>
      <c r="B108" s="59"/>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0.4</v>
      </c>
      <c r="R108" s="714">
        <f t="shared" si="31"/>
        <v>0</v>
      </c>
      <c r="S108" s="361">
        <f t="shared" si="22"/>
        <v>0</v>
      </c>
    </row>
    <row r="109" spans="1:19">
      <c r="A109" s="159"/>
      <c r="B109" s="59"/>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0.4</v>
      </c>
      <c r="R109" s="714">
        <f t="shared" si="31"/>
        <v>0</v>
      </c>
      <c r="S109" s="361">
        <f t="shared" si="22"/>
        <v>0</v>
      </c>
    </row>
    <row r="110" spans="1:19">
      <c r="A110" s="159"/>
      <c r="B110" s="59"/>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0.4</v>
      </c>
      <c r="R110" s="714">
        <f t="shared" si="31"/>
        <v>0</v>
      </c>
      <c r="S110" s="361">
        <f t="shared" si="22"/>
        <v>0</v>
      </c>
    </row>
    <row r="111" spans="1:19">
      <c r="A111" s="159"/>
      <c r="B111" s="59"/>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0.4</v>
      </c>
      <c r="R111" s="714">
        <f t="shared" si="31"/>
        <v>0</v>
      </c>
      <c r="S111" s="361">
        <f t="shared" si="22"/>
        <v>0</v>
      </c>
    </row>
    <row r="112" spans="1:19">
      <c r="A112" s="159"/>
      <c r="B112" s="59"/>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0.4</v>
      </c>
      <c r="R112" s="714">
        <f t="shared" si="31"/>
        <v>0</v>
      </c>
      <c r="S112" s="361">
        <f t="shared" si="22"/>
        <v>0</v>
      </c>
    </row>
    <row r="113" spans="1:19">
      <c r="A113" s="159"/>
      <c r="B113" s="59"/>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0.4</v>
      </c>
      <c r="R113" s="714">
        <f t="shared" si="31"/>
        <v>0</v>
      </c>
      <c r="S113" s="361">
        <f t="shared" si="22"/>
        <v>0</v>
      </c>
    </row>
    <row r="114" spans="1:19">
      <c r="A114" s="159"/>
      <c r="B114" s="59"/>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0.4</v>
      </c>
      <c r="R114" s="714">
        <f t="shared" si="31"/>
        <v>0</v>
      </c>
      <c r="S114" s="361">
        <f t="shared" si="22"/>
        <v>0</v>
      </c>
    </row>
    <row r="115" spans="1:19">
      <c r="A115" s="159"/>
      <c r="B115" s="59"/>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0.4</v>
      </c>
      <c r="R115" s="714">
        <f t="shared" si="31"/>
        <v>0</v>
      </c>
      <c r="S115" s="361">
        <f t="shared" si="22"/>
        <v>0</v>
      </c>
    </row>
    <row r="116" spans="1:19">
      <c r="A116" s="159"/>
      <c r="B116" s="59"/>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0.4</v>
      </c>
      <c r="R116" s="714">
        <f t="shared" si="31"/>
        <v>0</v>
      </c>
      <c r="S116" s="361">
        <f t="shared" si="22"/>
        <v>0</v>
      </c>
    </row>
    <row r="117" spans="1:19">
      <c r="A117" s="159"/>
      <c r="B117" s="59"/>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0.4</v>
      </c>
      <c r="R117" s="714">
        <f t="shared" si="31"/>
        <v>0</v>
      </c>
      <c r="S117" s="361">
        <f t="shared" si="22"/>
        <v>0</v>
      </c>
    </row>
    <row r="118" spans="1:19">
      <c r="A118" s="159"/>
      <c r="B118" s="59"/>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0.4</v>
      </c>
      <c r="R118" s="714">
        <f t="shared" si="31"/>
        <v>0</v>
      </c>
      <c r="S118" s="361">
        <f t="shared" si="22"/>
        <v>0</v>
      </c>
    </row>
    <row r="119" spans="1:19">
      <c r="A119" s="159"/>
      <c r="B119" s="59"/>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0.4</v>
      </c>
      <c r="R119" s="714">
        <f t="shared" si="31"/>
        <v>0</v>
      </c>
      <c r="S119" s="361">
        <f t="shared" si="22"/>
        <v>0</v>
      </c>
    </row>
    <row r="120" spans="1:19">
      <c r="A120" s="159"/>
      <c r="B120" s="59"/>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0.4</v>
      </c>
      <c r="R120" s="714">
        <f t="shared" si="31"/>
        <v>0</v>
      </c>
      <c r="S120" s="361">
        <f t="shared" si="22"/>
        <v>0</v>
      </c>
    </row>
    <row r="121" spans="1:19">
      <c r="A121" s="159"/>
      <c r="B121" s="59"/>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0.4</v>
      </c>
      <c r="R121" s="714">
        <f t="shared" si="31"/>
        <v>0</v>
      </c>
      <c r="S121" s="361">
        <f t="shared" si="22"/>
        <v>0</v>
      </c>
    </row>
    <row r="122" spans="1:19">
      <c r="A122" s="159"/>
      <c r="B122" s="59"/>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0.4</v>
      </c>
      <c r="R122" s="714">
        <f t="shared" si="31"/>
        <v>0</v>
      </c>
      <c r="S122" s="361">
        <f t="shared" si="22"/>
        <v>0</v>
      </c>
    </row>
    <row r="123" spans="1:19">
      <c r="A123" s="159"/>
      <c r="B123" s="59"/>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0.4</v>
      </c>
      <c r="R123" s="714">
        <f t="shared" si="31"/>
        <v>0</v>
      </c>
      <c r="S123" s="361">
        <f t="shared" ref="S123:S186" si="32">ROUND(R123*B123/10000,0)</f>
        <v>0</v>
      </c>
    </row>
    <row r="124" spans="1:19">
      <c r="A124" s="159"/>
      <c r="B124" s="59"/>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0.4</v>
      </c>
      <c r="R124" s="714">
        <f t="shared" si="31"/>
        <v>0</v>
      </c>
      <c r="S124" s="361">
        <f t="shared" si="32"/>
        <v>0</v>
      </c>
    </row>
    <row r="125" spans="1:19">
      <c r="A125" s="159"/>
      <c r="B125" s="59"/>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0.4</v>
      </c>
      <c r="R125" s="714">
        <f t="shared" si="31"/>
        <v>0</v>
      </c>
      <c r="S125" s="361">
        <f t="shared" si="32"/>
        <v>0</v>
      </c>
    </row>
    <row r="126" spans="1:19">
      <c r="A126" s="159"/>
      <c r="B126" s="59"/>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0.4</v>
      </c>
      <c r="R126" s="714">
        <f t="shared" si="31"/>
        <v>0</v>
      </c>
      <c r="S126" s="361">
        <f t="shared" si="32"/>
        <v>0</v>
      </c>
    </row>
    <row r="127" spans="1:19">
      <c r="A127" s="159"/>
      <c r="B127" s="59"/>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0.4</v>
      </c>
      <c r="R127" s="714">
        <f t="shared" si="31"/>
        <v>0</v>
      </c>
      <c r="S127" s="361">
        <f t="shared" si="32"/>
        <v>0</v>
      </c>
    </row>
    <row r="128" spans="1:19">
      <c r="A128" s="159"/>
      <c r="B128" s="59"/>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0.4</v>
      </c>
      <c r="R128" s="714">
        <f t="shared" si="31"/>
        <v>0</v>
      </c>
      <c r="S128" s="361">
        <f t="shared" si="32"/>
        <v>0</v>
      </c>
    </row>
    <row r="129" spans="1:19">
      <c r="A129" s="159"/>
      <c r="B129" s="59"/>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0.4</v>
      </c>
      <c r="R129" s="714">
        <f t="shared" si="31"/>
        <v>0</v>
      </c>
      <c r="S129" s="361">
        <f t="shared" si="32"/>
        <v>0</v>
      </c>
    </row>
    <row r="130" spans="1:19">
      <c r="A130" s="159"/>
      <c r="B130" s="59"/>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0.4</v>
      </c>
      <c r="R130" s="714">
        <f t="shared" si="31"/>
        <v>0</v>
      </c>
      <c r="S130" s="361">
        <f t="shared" si="32"/>
        <v>0</v>
      </c>
    </row>
    <row r="131" spans="1:19">
      <c r="A131" s="159"/>
      <c r="B131" s="59"/>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0.4</v>
      </c>
      <c r="R131" s="714">
        <f t="shared" si="31"/>
        <v>0</v>
      </c>
      <c r="S131" s="361">
        <f t="shared" si="32"/>
        <v>0</v>
      </c>
    </row>
    <row r="132" spans="1:19">
      <c r="A132" s="159"/>
      <c r="B132" s="59"/>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0.4</v>
      </c>
      <c r="R132" s="714">
        <f t="shared" si="31"/>
        <v>0</v>
      </c>
      <c r="S132" s="361">
        <f t="shared" si="32"/>
        <v>0</v>
      </c>
    </row>
    <row r="133" spans="1:19">
      <c r="A133" s="159"/>
      <c r="B133" s="59"/>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0.4</v>
      </c>
      <c r="R133" s="714">
        <f t="shared" si="31"/>
        <v>0</v>
      </c>
      <c r="S133" s="361">
        <f t="shared" si="32"/>
        <v>0</v>
      </c>
    </row>
    <row r="134" spans="1:19">
      <c r="A134" s="159"/>
      <c r="B134" s="59"/>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0.4</v>
      </c>
      <c r="R134" s="714">
        <f t="shared" si="31"/>
        <v>0</v>
      </c>
      <c r="S134" s="361">
        <f t="shared" si="32"/>
        <v>0</v>
      </c>
    </row>
    <row r="135" spans="1:19">
      <c r="A135" s="159"/>
      <c r="B135" s="59"/>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0.4</v>
      </c>
      <c r="R135" s="714">
        <f t="shared" si="31"/>
        <v>0</v>
      </c>
      <c r="S135" s="361">
        <f t="shared" si="32"/>
        <v>0</v>
      </c>
    </row>
    <row r="136" spans="1:19">
      <c r="A136" s="159"/>
      <c r="B136" s="59"/>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0.4</v>
      </c>
      <c r="R136" s="714">
        <f t="shared" si="31"/>
        <v>0</v>
      </c>
      <c r="S136" s="361">
        <f t="shared" si="32"/>
        <v>0</v>
      </c>
    </row>
    <row r="137" spans="1:19">
      <c r="A137" s="159"/>
      <c r="B137" s="59"/>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0.4</v>
      </c>
      <c r="R137" s="714">
        <f t="shared" si="31"/>
        <v>0</v>
      </c>
      <c r="S137" s="361">
        <f t="shared" si="32"/>
        <v>0</v>
      </c>
    </row>
    <row r="138" spans="1:19">
      <c r="A138" s="159"/>
      <c r="B138" s="59"/>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0.4</v>
      </c>
      <c r="R138" s="714">
        <f t="shared" si="31"/>
        <v>0</v>
      </c>
      <c r="S138" s="361">
        <f t="shared" si="32"/>
        <v>0</v>
      </c>
    </row>
    <row r="139" spans="1:19">
      <c r="A139" s="159"/>
      <c r="B139" s="59"/>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0.4</v>
      </c>
      <c r="R139" s="714">
        <f t="shared" si="31"/>
        <v>0</v>
      </c>
      <c r="S139" s="361">
        <f t="shared" si="32"/>
        <v>0</v>
      </c>
    </row>
    <row r="140" spans="1:19">
      <c r="A140" s="159"/>
      <c r="B140" s="59"/>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0.4</v>
      </c>
      <c r="R140" s="714">
        <f t="shared" si="31"/>
        <v>0</v>
      </c>
      <c r="S140" s="361">
        <f t="shared" si="32"/>
        <v>0</v>
      </c>
    </row>
    <row r="141" spans="1:19">
      <c r="A141" s="159"/>
      <c r="B141" s="59"/>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0.4</v>
      </c>
      <c r="R141" s="714">
        <f t="shared" si="31"/>
        <v>0</v>
      </c>
      <c r="S141" s="361">
        <f t="shared" si="32"/>
        <v>0</v>
      </c>
    </row>
    <row r="142" spans="1:19">
      <c r="A142" s="159"/>
      <c r="B142" s="59"/>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0.4</v>
      </c>
      <c r="R142" s="714">
        <f t="shared" si="31"/>
        <v>0</v>
      </c>
      <c r="S142" s="361">
        <f t="shared" si="32"/>
        <v>0</v>
      </c>
    </row>
    <row r="143" spans="1:19">
      <c r="A143" s="159"/>
      <c r="B143" s="59"/>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0.4</v>
      </c>
      <c r="R143" s="714">
        <f t="shared" si="31"/>
        <v>0</v>
      </c>
      <c r="S143" s="361">
        <f t="shared" si="32"/>
        <v>0</v>
      </c>
    </row>
    <row r="144" spans="1:19">
      <c r="A144" s="159"/>
      <c r="B144" s="59"/>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0.4</v>
      </c>
      <c r="R144" s="714">
        <f t="shared" si="31"/>
        <v>0</v>
      </c>
      <c r="S144" s="361">
        <f t="shared" si="32"/>
        <v>0</v>
      </c>
    </row>
    <row r="145" spans="1:19">
      <c r="A145" s="159"/>
      <c r="B145" s="59"/>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0.4</v>
      </c>
      <c r="R145" s="714">
        <f t="shared" si="31"/>
        <v>0</v>
      </c>
      <c r="S145" s="361">
        <f t="shared" si="32"/>
        <v>0</v>
      </c>
    </row>
    <row r="146" spans="1:19">
      <c r="A146" s="159"/>
      <c r="B146" s="59"/>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0.4</v>
      </c>
      <c r="R146" s="714">
        <f t="shared" si="31"/>
        <v>0</v>
      </c>
      <c r="S146" s="361">
        <f t="shared" si="32"/>
        <v>0</v>
      </c>
    </row>
    <row r="147" spans="1:19">
      <c r="A147" s="159"/>
      <c r="B147" s="59"/>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0.4</v>
      </c>
      <c r="R147" s="714">
        <f t="shared" si="31"/>
        <v>0</v>
      </c>
      <c r="S147" s="361">
        <f t="shared" si="32"/>
        <v>0</v>
      </c>
    </row>
    <row r="148" spans="1:19">
      <c r="A148" s="159"/>
      <c r="B148" s="59"/>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0.4</v>
      </c>
      <c r="R148" s="714">
        <f t="shared" si="31"/>
        <v>0</v>
      </c>
      <c r="S148" s="361">
        <f t="shared" si="32"/>
        <v>0</v>
      </c>
    </row>
    <row r="149" spans="1:19">
      <c r="A149" s="159"/>
      <c r="B149" s="59"/>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0.4</v>
      </c>
      <c r="R149" s="714">
        <f t="shared" si="31"/>
        <v>0</v>
      </c>
      <c r="S149" s="361">
        <f t="shared" si="32"/>
        <v>0</v>
      </c>
    </row>
    <row r="150" spans="1:19">
      <c r="A150" s="159"/>
      <c r="B150" s="59"/>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0.4</v>
      </c>
      <c r="R150" s="714">
        <f t="shared" si="31"/>
        <v>0</v>
      </c>
      <c r="S150" s="361">
        <f t="shared" si="32"/>
        <v>0</v>
      </c>
    </row>
    <row r="151" spans="1:19">
      <c r="A151" s="159"/>
      <c r="B151" s="59"/>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0.4</v>
      </c>
      <c r="R151" s="714">
        <f t="shared" si="31"/>
        <v>0</v>
      </c>
      <c r="S151" s="361">
        <f t="shared" si="32"/>
        <v>0</v>
      </c>
    </row>
    <row r="152" spans="1:19">
      <c r="A152" s="159"/>
      <c r="B152" s="59"/>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0.4</v>
      </c>
      <c r="R152" s="714">
        <f t="shared" si="31"/>
        <v>0</v>
      </c>
      <c r="S152" s="361">
        <f t="shared" si="32"/>
        <v>0</v>
      </c>
    </row>
    <row r="153" spans="1:19">
      <c r="A153" s="159"/>
      <c r="B153" s="59"/>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0.4</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0.4</v>
      </c>
      <c r="R154" s="714">
        <f t="shared" ref="R154:R217" si="41">IF(B154="",0,ROUND($R$24*C154*E154*G154*I154*K154*M154*O154*Q154,0))</f>
        <v>0</v>
      </c>
      <c r="S154" s="361">
        <f t="shared" si="32"/>
        <v>0</v>
      </c>
    </row>
    <row r="155" spans="1:19">
      <c r="A155" s="159"/>
      <c r="B155" s="59"/>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0.4</v>
      </c>
      <c r="R155" s="714">
        <f t="shared" si="41"/>
        <v>0</v>
      </c>
      <c r="S155" s="361">
        <f t="shared" si="32"/>
        <v>0</v>
      </c>
    </row>
    <row r="156" spans="1:19">
      <c r="A156" s="159"/>
      <c r="B156" s="59"/>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0.4</v>
      </c>
      <c r="R156" s="714">
        <f t="shared" si="41"/>
        <v>0</v>
      </c>
      <c r="S156" s="361">
        <f t="shared" si="32"/>
        <v>0</v>
      </c>
    </row>
    <row r="157" spans="1:19">
      <c r="A157" s="159"/>
      <c r="B157" s="59"/>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0.4</v>
      </c>
      <c r="R157" s="714">
        <f t="shared" si="41"/>
        <v>0</v>
      </c>
      <c r="S157" s="361">
        <f t="shared" si="32"/>
        <v>0</v>
      </c>
    </row>
    <row r="158" spans="1:19">
      <c r="A158" s="159"/>
      <c r="B158" s="59"/>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0.4</v>
      </c>
      <c r="R158" s="714">
        <f t="shared" si="41"/>
        <v>0</v>
      </c>
      <c r="S158" s="361">
        <f t="shared" si="32"/>
        <v>0</v>
      </c>
    </row>
    <row r="159" spans="1:19">
      <c r="A159" s="159"/>
      <c r="B159" s="59"/>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0.4</v>
      </c>
      <c r="R159" s="714">
        <f t="shared" si="41"/>
        <v>0</v>
      </c>
      <c r="S159" s="361">
        <f t="shared" si="32"/>
        <v>0</v>
      </c>
    </row>
    <row r="160" spans="1:19">
      <c r="A160" s="159"/>
      <c r="B160" s="59"/>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0.4</v>
      </c>
      <c r="R160" s="714">
        <f t="shared" si="41"/>
        <v>0</v>
      </c>
      <c r="S160" s="361">
        <f t="shared" si="32"/>
        <v>0</v>
      </c>
    </row>
    <row r="161" spans="1:19">
      <c r="A161" s="159"/>
      <c r="B161" s="59"/>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0.4</v>
      </c>
      <c r="R161" s="714">
        <f t="shared" si="41"/>
        <v>0</v>
      </c>
      <c r="S161" s="361">
        <f t="shared" si="32"/>
        <v>0</v>
      </c>
    </row>
    <row r="162" spans="1:19">
      <c r="A162" s="159"/>
      <c r="B162" s="59"/>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0.4</v>
      </c>
      <c r="R162" s="714">
        <f t="shared" si="41"/>
        <v>0</v>
      </c>
      <c r="S162" s="361">
        <f t="shared" si="32"/>
        <v>0</v>
      </c>
    </row>
    <row r="163" spans="1:19">
      <c r="A163" s="159"/>
      <c r="B163" s="59"/>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0.4</v>
      </c>
      <c r="R163" s="714">
        <f t="shared" si="41"/>
        <v>0</v>
      </c>
      <c r="S163" s="361">
        <f t="shared" si="32"/>
        <v>0</v>
      </c>
    </row>
    <row r="164" spans="1:19">
      <c r="A164" s="159"/>
      <c r="B164" s="59"/>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0.4</v>
      </c>
      <c r="R164" s="714">
        <f t="shared" si="41"/>
        <v>0</v>
      </c>
      <c r="S164" s="361">
        <f t="shared" si="32"/>
        <v>0</v>
      </c>
    </row>
    <row r="165" spans="1:19">
      <c r="A165" s="159"/>
      <c r="B165" s="59"/>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0.4</v>
      </c>
      <c r="R165" s="714">
        <f t="shared" si="41"/>
        <v>0</v>
      </c>
      <c r="S165" s="361">
        <f t="shared" si="32"/>
        <v>0</v>
      </c>
    </row>
    <row r="166" spans="1:19">
      <c r="A166" s="159"/>
      <c r="B166" s="59"/>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0.4</v>
      </c>
      <c r="R166" s="714">
        <f t="shared" si="41"/>
        <v>0</v>
      </c>
      <c r="S166" s="361">
        <f t="shared" si="32"/>
        <v>0</v>
      </c>
    </row>
    <row r="167" spans="1:19">
      <c r="A167" s="159"/>
      <c r="B167" s="59"/>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0.4</v>
      </c>
      <c r="R167" s="714">
        <f t="shared" si="41"/>
        <v>0</v>
      </c>
      <c r="S167" s="361">
        <f t="shared" si="32"/>
        <v>0</v>
      </c>
    </row>
    <row r="168" spans="1:19">
      <c r="A168" s="159"/>
      <c r="B168" s="59"/>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0.4</v>
      </c>
      <c r="R168" s="714">
        <f t="shared" si="41"/>
        <v>0</v>
      </c>
      <c r="S168" s="361">
        <f t="shared" si="32"/>
        <v>0</v>
      </c>
    </row>
    <row r="169" spans="1:19">
      <c r="A169" s="159"/>
      <c r="B169" s="59"/>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0.4</v>
      </c>
      <c r="R169" s="714">
        <f t="shared" si="41"/>
        <v>0</v>
      </c>
      <c r="S169" s="361">
        <f t="shared" si="32"/>
        <v>0</v>
      </c>
    </row>
    <row r="170" spans="1:19">
      <c r="A170" s="159"/>
      <c r="B170" s="59"/>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0.4</v>
      </c>
      <c r="R170" s="714">
        <f t="shared" si="41"/>
        <v>0</v>
      </c>
      <c r="S170" s="361">
        <f t="shared" si="32"/>
        <v>0</v>
      </c>
    </row>
    <row r="171" spans="1:19">
      <c r="A171" s="159"/>
      <c r="B171" s="59"/>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0.4</v>
      </c>
      <c r="R171" s="714">
        <f t="shared" si="41"/>
        <v>0</v>
      </c>
      <c r="S171" s="361">
        <f t="shared" si="32"/>
        <v>0</v>
      </c>
    </row>
    <row r="172" spans="1:19">
      <c r="A172" s="159"/>
      <c r="B172" s="59"/>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0.4</v>
      </c>
      <c r="R172" s="714">
        <f t="shared" si="41"/>
        <v>0</v>
      </c>
      <c r="S172" s="361">
        <f t="shared" si="32"/>
        <v>0</v>
      </c>
    </row>
    <row r="173" spans="1:19">
      <c r="A173" s="159"/>
      <c r="B173" s="59"/>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0.4</v>
      </c>
      <c r="R173" s="714">
        <f t="shared" si="41"/>
        <v>0</v>
      </c>
      <c r="S173" s="361">
        <f t="shared" si="32"/>
        <v>0</v>
      </c>
    </row>
    <row r="174" spans="1:19">
      <c r="A174" s="159"/>
      <c r="B174" s="59"/>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0.4</v>
      </c>
      <c r="R174" s="714">
        <f t="shared" si="41"/>
        <v>0</v>
      </c>
      <c r="S174" s="361">
        <f t="shared" si="32"/>
        <v>0</v>
      </c>
    </row>
    <row r="175" spans="1:19">
      <c r="A175" s="159"/>
      <c r="B175" s="59"/>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0.4</v>
      </c>
      <c r="R175" s="714">
        <f t="shared" si="41"/>
        <v>0</v>
      </c>
      <c r="S175" s="361">
        <f t="shared" si="32"/>
        <v>0</v>
      </c>
    </row>
    <row r="176" spans="1:19">
      <c r="A176" s="159"/>
      <c r="B176" s="59"/>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0.4</v>
      </c>
      <c r="R176" s="714">
        <f t="shared" si="41"/>
        <v>0</v>
      </c>
      <c r="S176" s="361">
        <f t="shared" si="32"/>
        <v>0</v>
      </c>
    </row>
    <row r="177" spans="1:19">
      <c r="A177" s="159"/>
      <c r="B177" s="59"/>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0.4</v>
      </c>
      <c r="R177" s="714">
        <f t="shared" si="41"/>
        <v>0</v>
      </c>
      <c r="S177" s="361">
        <f t="shared" si="32"/>
        <v>0</v>
      </c>
    </row>
    <row r="178" spans="1:19">
      <c r="A178" s="159"/>
      <c r="B178" s="59"/>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0.4</v>
      </c>
      <c r="R178" s="714">
        <f t="shared" si="41"/>
        <v>0</v>
      </c>
      <c r="S178" s="361">
        <f t="shared" si="32"/>
        <v>0</v>
      </c>
    </row>
    <row r="179" spans="1:19">
      <c r="A179" s="159"/>
      <c r="B179" s="59"/>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0.4</v>
      </c>
      <c r="R179" s="714">
        <f t="shared" si="41"/>
        <v>0</v>
      </c>
      <c r="S179" s="361">
        <f t="shared" si="32"/>
        <v>0</v>
      </c>
    </row>
    <row r="180" spans="1:19">
      <c r="A180" s="159"/>
      <c r="B180" s="59"/>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0.4</v>
      </c>
      <c r="R180" s="714">
        <f t="shared" si="41"/>
        <v>0</v>
      </c>
      <c r="S180" s="361">
        <f t="shared" si="32"/>
        <v>0</v>
      </c>
    </row>
    <row r="181" spans="1:19">
      <c r="A181" s="159"/>
      <c r="B181" s="59"/>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0.4</v>
      </c>
      <c r="R181" s="714">
        <f t="shared" si="41"/>
        <v>0</v>
      </c>
      <c r="S181" s="361">
        <f t="shared" si="32"/>
        <v>0</v>
      </c>
    </row>
    <row r="182" spans="1:19">
      <c r="A182" s="159"/>
      <c r="B182" s="59"/>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0.4</v>
      </c>
      <c r="R182" s="714">
        <f t="shared" si="41"/>
        <v>0</v>
      </c>
      <c r="S182" s="361">
        <f t="shared" si="32"/>
        <v>0</v>
      </c>
    </row>
    <row r="183" spans="1:19">
      <c r="A183" s="159"/>
      <c r="B183" s="59"/>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0.4</v>
      </c>
      <c r="R183" s="714">
        <f t="shared" si="41"/>
        <v>0</v>
      </c>
      <c r="S183" s="361">
        <f t="shared" si="32"/>
        <v>0</v>
      </c>
    </row>
    <row r="184" spans="1:19">
      <c r="A184" s="159"/>
      <c r="B184" s="59"/>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0.4</v>
      </c>
      <c r="R184" s="714">
        <f t="shared" si="41"/>
        <v>0</v>
      </c>
      <c r="S184" s="361">
        <f t="shared" si="32"/>
        <v>0</v>
      </c>
    </row>
    <row r="185" spans="1:19">
      <c r="A185" s="159"/>
      <c r="B185" s="59"/>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0.4</v>
      </c>
      <c r="R185" s="714">
        <f t="shared" si="41"/>
        <v>0</v>
      </c>
      <c r="S185" s="361">
        <f t="shared" si="32"/>
        <v>0</v>
      </c>
    </row>
    <row r="186" spans="1:19">
      <c r="A186" s="159"/>
      <c r="B186" s="59"/>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0.4</v>
      </c>
      <c r="R186" s="714">
        <f t="shared" si="41"/>
        <v>0</v>
      </c>
      <c r="S186" s="361">
        <f t="shared" si="32"/>
        <v>0</v>
      </c>
    </row>
    <row r="187" spans="1:19">
      <c r="A187" s="159"/>
      <c r="B187" s="59"/>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0.4</v>
      </c>
      <c r="R187" s="714">
        <f t="shared" si="41"/>
        <v>0</v>
      </c>
      <c r="S187" s="361">
        <f t="shared" ref="S187:S222" si="42">ROUND(R187*B187/10000,0)</f>
        <v>0</v>
      </c>
    </row>
    <row r="188" spans="1:19">
      <c r="A188" s="159"/>
      <c r="B188" s="59"/>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0.4</v>
      </c>
      <c r="R188" s="714">
        <f t="shared" si="41"/>
        <v>0</v>
      </c>
      <c r="S188" s="361">
        <f t="shared" si="42"/>
        <v>0</v>
      </c>
    </row>
    <row r="189" spans="1:19">
      <c r="A189" s="159"/>
      <c r="B189" s="59"/>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0.4</v>
      </c>
      <c r="R189" s="714">
        <f t="shared" si="41"/>
        <v>0</v>
      </c>
      <c r="S189" s="361">
        <f t="shared" si="42"/>
        <v>0</v>
      </c>
    </row>
    <row r="190" spans="1:19">
      <c r="A190" s="159"/>
      <c r="B190" s="59"/>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0.4</v>
      </c>
      <c r="R190" s="714">
        <f t="shared" si="41"/>
        <v>0</v>
      </c>
      <c r="S190" s="361">
        <f t="shared" si="42"/>
        <v>0</v>
      </c>
    </row>
    <row r="191" spans="1:19">
      <c r="A191" s="159"/>
      <c r="B191" s="59"/>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0.4</v>
      </c>
      <c r="R191" s="714">
        <f t="shared" si="41"/>
        <v>0</v>
      </c>
      <c r="S191" s="361">
        <f t="shared" si="42"/>
        <v>0</v>
      </c>
    </row>
    <row r="192" spans="1:19">
      <c r="A192" s="159"/>
      <c r="B192" s="59"/>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0.4</v>
      </c>
      <c r="R192" s="714">
        <f t="shared" si="41"/>
        <v>0</v>
      </c>
      <c r="S192" s="361">
        <f t="shared" si="42"/>
        <v>0</v>
      </c>
    </row>
    <row r="193" spans="1:19">
      <c r="A193" s="159"/>
      <c r="B193" s="59"/>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0.4</v>
      </c>
      <c r="R193" s="714">
        <f t="shared" si="41"/>
        <v>0</v>
      </c>
      <c r="S193" s="361">
        <f t="shared" si="42"/>
        <v>0</v>
      </c>
    </row>
    <row r="194" spans="1:19">
      <c r="A194" s="159"/>
      <c r="B194" s="59"/>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0.4</v>
      </c>
      <c r="R194" s="714">
        <f t="shared" si="41"/>
        <v>0</v>
      </c>
      <c r="S194" s="361">
        <f t="shared" si="42"/>
        <v>0</v>
      </c>
    </row>
    <row r="195" spans="1:19">
      <c r="A195" s="159"/>
      <c r="B195" s="59"/>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0.4</v>
      </c>
      <c r="R195" s="714">
        <f t="shared" si="41"/>
        <v>0</v>
      </c>
      <c r="S195" s="361">
        <f t="shared" si="42"/>
        <v>0</v>
      </c>
    </row>
    <row r="196" spans="1:19">
      <c r="A196" s="159"/>
      <c r="B196" s="59"/>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0.4</v>
      </c>
      <c r="R196" s="714">
        <f t="shared" si="41"/>
        <v>0</v>
      </c>
      <c r="S196" s="361">
        <f t="shared" si="42"/>
        <v>0</v>
      </c>
    </row>
    <row r="197" spans="1:19">
      <c r="A197" s="159"/>
      <c r="B197" s="59"/>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0.4</v>
      </c>
      <c r="R197" s="714">
        <f t="shared" si="41"/>
        <v>0</v>
      </c>
      <c r="S197" s="361">
        <f t="shared" si="42"/>
        <v>0</v>
      </c>
    </row>
    <row r="198" spans="1:19">
      <c r="A198" s="159"/>
      <c r="B198" s="59"/>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0.4</v>
      </c>
      <c r="R198" s="714">
        <f t="shared" si="41"/>
        <v>0</v>
      </c>
      <c r="S198" s="361">
        <f t="shared" si="42"/>
        <v>0</v>
      </c>
    </row>
    <row r="199" spans="1:19">
      <c r="A199" s="159"/>
      <c r="B199" s="59"/>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0.4</v>
      </c>
      <c r="R199" s="714">
        <f t="shared" si="41"/>
        <v>0</v>
      </c>
      <c r="S199" s="361">
        <f t="shared" si="42"/>
        <v>0</v>
      </c>
    </row>
    <row r="200" spans="1:19">
      <c r="A200" s="159"/>
      <c r="B200" s="59"/>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0.4</v>
      </c>
      <c r="R200" s="714">
        <f t="shared" si="41"/>
        <v>0</v>
      </c>
      <c r="S200" s="361">
        <f t="shared" si="42"/>
        <v>0</v>
      </c>
    </row>
    <row r="201" spans="1:19">
      <c r="A201" s="159"/>
      <c r="B201" s="59"/>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0.4</v>
      </c>
      <c r="R201" s="714">
        <f t="shared" si="41"/>
        <v>0</v>
      </c>
      <c r="S201" s="361">
        <f t="shared" si="42"/>
        <v>0</v>
      </c>
    </row>
    <row r="202" spans="1:19">
      <c r="A202" s="159"/>
      <c r="B202" s="59"/>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0.4</v>
      </c>
      <c r="R202" s="714">
        <f t="shared" si="41"/>
        <v>0</v>
      </c>
      <c r="S202" s="361">
        <f t="shared" si="42"/>
        <v>0</v>
      </c>
    </row>
    <row r="203" spans="1:19">
      <c r="A203" s="159"/>
      <c r="B203" s="59"/>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0.4</v>
      </c>
      <c r="R203" s="714">
        <f t="shared" si="41"/>
        <v>0</v>
      </c>
      <c r="S203" s="361">
        <f t="shared" si="42"/>
        <v>0</v>
      </c>
    </row>
    <row r="204" spans="1:19">
      <c r="A204" s="159"/>
      <c r="B204" s="59"/>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0.4</v>
      </c>
      <c r="R204" s="714">
        <f t="shared" si="41"/>
        <v>0</v>
      </c>
      <c r="S204" s="361">
        <f t="shared" si="42"/>
        <v>0</v>
      </c>
    </row>
    <row r="205" spans="1:19">
      <c r="A205" s="159"/>
      <c r="B205" s="59"/>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0.4</v>
      </c>
      <c r="R205" s="714">
        <f t="shared" si="41"/>
        <v>0</v>
      </c>
      <c r="S205" s="361">
        <f t="shared" si="42"/>
        <v>0</v>
      </c>
    </row>
    <row r="206" spans="1:19">
      <c r="A206" s="159"/>
      <c r="B206" s="59"/>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0.4</v>
      </c>
      <c r="R206" s="714">
        <f t="shared" si="41"/>
        <v>0</v>
      </c>
      <c r="S206" s="361">
        <f t="shared" si="42"/>
        <v>0</v>
      </c>
    </row>
    <row r="207" spans="1:19">
      <c r="A207" s="159"/>
      <c r="B207" s="59"/>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0.4</v>
      </c>
      <c r="R207" s="714">
        <f t="shared" si="41"/>
        <v>0</v>
      </c>
      <c r="S207" s="361">
        <f t="shared" si="42"/>
        <v>0</v>
      </c>
    </row>
    <row r="208" spans="1:19">
      <c r="A208" s="159"/>
      <c r="B208" s="59"/>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0.4</v>
      </c>
      <c r="R208" s="714">
        <f t="shared" si="41"/>
        <v>0</v>
      </c>
      <c r="S208" s="361">
        <f t="shared" si="42"/>
        <v>0</v>
      </c>
    </row>
    <row r="209" spans="1:19">
      <c r="A209" s="159"/>
      <c r="B209" s="59"/>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0.4</v>
      </c>
      <c r="R209" s="714">
        <f t="shared" si="41"/>
        <v>0</v>
      </c>
      <c r="S209" s="361">
        <f t="shared" si="42"/>
        <v>0</v>
      </c>
    </row>
    <row r="210" spans="1:19">
      <c r="A210" s="159"/>
      <c r="B210" s="59"/>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0.4</v>
      </c>
      <c r="R210" s="714">
        <f t="shared" si="41"/>
        <v>0</v>
      </c>
      <c r="S210" s="361">
        <f t="shared" si="42"/>
        <v>0</v>
      </c>
    </row>
    <row r="211" spans="1:19">
      <c r="A211" s="159"/>
      <c r="B211" s="59"/>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0.4</v>
      </c>
      <c r="R211" s="714">
        <f t="shared" si="41"/>
        <v>0</v>
      </c>
      <c r="S211" s="361">
        <f t="shared" si="42"/>
        <v>0</v>
      </c>
    </row>
    <row r="212" spans="1:19">
      <c r="A212" s="159"/>
      <c r="B212" s="59"/>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0.4</v>
      </c>
      <c r="R212" s="714">
        <f t="shared" si="41"/>
        <v>0</v>
      </c>
      <c r="S212" s="361">
        <f t="shared" si="42"/>
        <v>0</v>
      </c>
    </row>
    <row r="213" spans="1:19">
      <c r="A213" s="159"/>
      <c r="B213" s="59"/>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0.4</v>
      </c>
      <c r="R213" s="714">
        <f t="shared" si="41"/>
        <v>0</v>
      </c>
      <c r="S213" s="361">
        <f t="shared" si="42"/>
        <v>0</v>
      </c>
    </row>
    <row r="214" spans="1:19">
      <c r="A214" s="159"/>
      <c r="B214" s="59"/>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0.4</v>
      </c>
      <c r="R214" s="714">
        <f t="shared" si="41"/>
        <v>0</v>
      </c>
      <c r="S214" s="361">
        <f t="shared" si="42"/>
        <v>0</v>
      </c>
    </row>
    <row r="215" spans="1:19">
      <c r="A215" s="159"/>
      <c r="B215" s="59"/>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0.4</v>
      </c>
      <c r="R215" s="714">
        <f t="shared" si="41"/>
        <v>0</v>
      </c>
      <c r="S215" s="361">
        <f t="shared" si="42"/>
        <v>0</v>
      </c>
    </row>
    <row r="216" spans="1:19">
      <c r="A216" s="159"/>
      <c r="B216" s="59"/>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0.4</v>
      </c>
      <c r="R216" s="714">
        <f t="shared" si="41"/>
        <v>0</v>
      </c>
      <c r="S216" s="361">
        <f t="shared" si="42"/>
        <v>0</v>
      </c>
    </row>
    <row r="217" spans="1:19">
      <c r="A217" s="159"/>
      <c r="B217" s="59"/>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0.4</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0.4</v>
      </c>
      <c r="R218" s="714">
        <f t="shared" ref="R218:R281" si="51">IF(B218="",0,ROUND($R$24*C218*E218*G218*I218*K218*M218*O218*Q218,0))</f>
        <v>0</v>
      </c>
      <c r="S218" s="361">
        <f t="shared" si="42"/>
        <v>0</v>
      </c>
    </row>
    <row r="219" spans="1:19">
      <c r="A219" s="159"/>
      <c r="B219" s="59"/>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0.4</v>
      </c>
      <c r="R219" s="714">
        <f t="shared" si="51"/>
        <v>0</v>
      </c>
      <c r="S219" s="361">
        <f t="shared" si="42"/>
        <v>0</v>
      </c>
    </row>
    <row r="220" spans="1:19">
      <c r="A220" s="159"/>
      <c r="B220" s="59"/>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0.4</v>
      </c>
      <c r="R220" s="714">
        <f t="shared" si="51"/>
        <v>0</v>
      </c>
      <c r="S220" s="361">
        <f t="shared" si="42"/>
        <v>0</v>
      </c>
    </row>
    <row r="221" spans="1:19">
      <c r="A221" s="159"/>
      <c r="B221" s="59"/>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0.4</v>
      </c>
      <c r="R221" s="714">
        <f t="shared" si="51"/>
        <v>0</v>
      </c>
      <c r="S221" s="361">
        <f t="shared" si="42"/>
        <v>0</v>
      </c>
    </row>
    <row r="222" spans="1:19">
      <c r="A222" s="159"/>
      <c r="B222" s="59"/>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0.4</v>
      </c>
      <c r="R222" s="714">
        <f t="shared" si="51"/>
        <v>0</v>
      </c>
      <c r="S222" s="361">
        <f t="shared" si="42"/>
        <v>0</v>
      </c>
    </row>
    <row r="223" spans="1:19">
      <c r="A223" s="159"/>
      <c r="B223" s="59"/>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0.4</v>
      </c>
      <c r="R223" s="714">
        <f t="shared" si="51"/>
        <v>0</v>
      </c>
      <c r="S223" s="361">
        <f t="shared" ref="S223:S286" si="52">ROUND(R223*B223/10000,0)</f>
        <v>0</v>
      </c>
    </row>
    <row r="224" spans="1:19">
      <c r="A224" s="159"/>
      <c r="B224" s="59"/>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0.4</v>
      </c>
      <c r="R224" s="714">
        <f t="shared" si="51"/>
        <v>0</v>
      </c>
      <c r="S224" s="361">
        <f t="shared" si="52"/>
        <v>0</v>
      </c>
    </row>
    <row r="225" spans="1:19">
      <c r="A225" s="159"/>
      <c r="B225" s="59"/>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0.4</v>
      </c>
      <c r="R225" s="714">
        <f t="shared" si="51"/>
        <v>0</v>
      </c>
      <c r="S225" s="361">
        <f t="shared" si="52"/>
        <v>0</v>
      </c>
    </row>
    <row r="226" spans="1:19">
      <c r="A226" s="159"/>
      <c r="B226" s="59"/>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0.4</v>
      </c>
      <c r="R226" s="714">
        <f t="shared" si="51"/>
        <v>0</v>
      </c>
      <c r="S226" s="361">
        <f t="shared" si="52"/>
        <v>0</v>
      </c>
    </row>
    <row r="227" spans="1:19">
      <c r="A227" s="159"/>
      <c r="B227" s="59"/>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0.4</v>
      </c>
      <c r="R227" s="714">
        <f t="shared" si="51"/>
        <v>0</v>
      </c>
      <c r="S227" s="361">
        <f t="shared" si="52"/>
        <v>0</v>
      </c>
    </row>
    <row r="228" spans="1:19">
      <c r="A228" s="159"/>
      <c r="B228" s="59"/>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0.4</v>
      </c>
      <c r="R228" s="714">
        <f t="shared" si="51"/>
        <v>0</v>
      </c>
      <c r="S228" s="361">
        <f t="shared" si="52"/>
        <v>0</v>
      </c>
    </row>
    <row r="229" spans="1:19">
      <c r="A229" s="159"/>
      <c r="B229" s="59"/>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0.4</v>
      </c>
      <c r="R229" s="714">
        <f t="shared" si="51"/>
        <v>0</v>
      </c>
      <c r="S229" s="361">
        <f t="shared" si="52"/>
        <v>0</v>
      </c>
    </row>
    <row r="230" spans="1:19">
      <c r="A230" s="159"/>
      <c r="B230" s="59"/>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0.4</v>
      </c>
      <c r="R230" s="714">
        <f t="shared" si="51"/>
        <v>0</v>
      </c>
      <c r="S230" s="361">
        <f t="shared" si="52"/>
        <v>0</v>
      </c>
    </row>
    <row r="231" spans="1:19">
      <c r="A231" s="159"/>
      <c r="B231" s="59"/>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0.4</v>
      </c>
      <c r="R231" s="714">
        <f t="shared" si="51"/>
        <v>0</v>
      </c>
      <c r="S231" s="361">
        <f t="shared" si="52"/>
        <v>0</v>
      </c>
    </row>
    <row r="232" spans="1:19">
      <c r="A232" s="159"/>
      <c r="B232" s="59"/>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0.4</v>
      </c>
      <c r="R232" s="714">
        <f t="shared" si="51"/>
        <v>0</v>
      </c>
      <c r="S232" s="361">
        <f t="shared" si="52"/>
        <v>0</v>
      </c>
    </row>
    <row r="233" spans="1:19">
      <c r="A233" s="159"/>
      <c r="B233" s="59"/>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0.4</v>
      </c>
      <c r="R233" s="714">
        <f t="shared" si="51"/>
        <v>0</v>
      </c>
      <c r="S233" s="361">
        <f t="shared" si="52"/>
        <v>0</v>
      </c>
    </row>
    <row r="234" spans="1:19">
      <c r="A234" s="159"/>
      <c r="B234" s="59"/>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0.4</v>
      </c>
      <c r="R234" s="714">
        <f t="shared" si="51"/>
        <v>0</v>
      </c>
      <c r="S234" s="361">
        <f t="shared" si="52"/>
        <v>0</v>
      </c>
    </row>
    <row r="235" spans="1:19">
      <c r="A235" s="159"/>
      <c r="B235" s="59"/>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0.4</v>
      </c>
      <c r="R235" s="714">
        <f t="shared" si="51"/>
        <v>0</v>
      </c>
      <c r="S235" s="361">
        <f t="shared" si="52"/>
        <v>0</v>
      </c>
    </row>
    <row r="236" spans="1:19">
      <c r="A236" s="159"/>
      <c r="B236" s="59"/>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0.4</v>
      </c>
      <c r="R236" s="714">
        <f t="shared" si="51"/>
        <v>0</v>
      </c>
      <c r="S236" s="361">
        <f t="shared" si="52"/>
        <v>0</v>
      </c>
    </row>
    <row r="237" spans="1:19">
      <c r="A237" s="159"/>
      <c r="B237" s="59"/>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0.4</v>
      </c>
      <c r="R237" s="714">
        <f t="shared" si="51"/>
        <v>0</v>
      </c>
      <c r="S237" s="361">
        <f t="shared" si="52"/>
        <v>0</v>
      </c>
    </row>
    <row r="238" spans="1:19">
      <c r="A238" s="159"/>
      <c r="B238" s="59"/>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0.4</v>
      </c>
      <c r="R238" s="714">
        <f t="shared" si="51"/>
        <v>0</v>
      </c>
      <c r="S238" s="361">
        <f t="shared" si="52"/>
        <v>0</v>
      </c>
    </row>
    <row r="239" spans="1:19">
      <c r="A239" s="159"/>
      <c r="B239" s="59"/>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0.4</v>
      </c>
      <c r="R239" s="714">
        <f t="shared" si="51"/>
        <v>0</v>
      </c>
      <c r="S239" s="361">
        <f t="shared" si="52"/>
        <v>0</v>
      </c>
    </row>
    <row r="240" spans="1:19">
      <c r="A240" s="159"/>
      <c r="B240" s="59"/>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0.4</v>
      </c>
      <c r="R240" s="714">
        <f t="shared" si="51"/>
        <v>0</v>
      </c>
      <c r="S240" s="361">
        <f t="shared" si="52"/>
        <v>0</v>
      </c>
    </row>
    <row r="241" spans="1:19">
      <c r="A241" s="159"/>
      <c r="B241" s="59"/>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0.4</v>
      </c>
      <c r="R241" s="714">
        <f t="shared" si="51"/>
        <v>0</v>
      </c>
      <c r="S241" s="361">
        <f t="shared" si="52"/>
        <v>0</v>
      </c>
    </row>
    <row r="242" spans="1:19">
      <c r="A242" s="159"/>
      <c r="B242" s="59"/>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0.4</v>
      </c>
      <c r="R242" s="714">
        <f t="shared" si="51"/>
        <v>0</v>
      </c>
      <c r="S242" s="361">
        <f t="shared" si="52"/>
        <v>0</v>
      </c>
    </row>
    <row r="243" spans="1:19">
      <c r="A243" s="159"/>
      <c r="B243" s="59"/>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0.4</v>
      </c>
      <c r="R243" s="714">
        <f t="shared" si="51"/>
        <v>0</v>
      </c>
      <c r="S243" s="361">
        <f t="shared" si="52"/>
        <v>0</v>
      </c>
    </row>
    <row r="244" spans="1:19">
      <c r="A244" s="159"/>
      <c r="B244" s="59"/>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0.4</v>
      </c>
      <c r="R244" s="714">
        <f t="shared" si="51"/>
        <v>0</v>
      </c>
      <c r="S244" s="361">
        <f t="shared" si="52"/>
        <v>0</v>
      </c>
    </row>
    <row r="245" spans="1:19">
      <c r="A245" s="159"/>
      <c r="B245" s="59"/>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0.4</v>
      </c>
      <c r="R245" s="714">
        <f t="shared" si="51"/>
        <v>0</v>
      </c>
      <c r="S245" s="361">
        <f t="shared" si="52"/>
        <v>0</v>
      </c>
    </row>
    <row r="246" spans="1:19">
      <c r="A246" s="159"/>
      <c r="B246" s="59"/>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0.4</v>
      </c>
      <c r="R246" s="714">
        <f t="shared" si="51"/>
        <v>0</v>
      </c>
      <c r="S246" s="361">
        <f t="shared" si="52"/>
        <v>0</v>
      </c>
    </row>
    <row r="247" spans="1:19">
      <c r="A247" s="159"/>
      <c r="B247" s="59"/>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0.4</v>
      </c>
      <c r="R247" s="714">
        <f t="shared" si="51"/>
        <v>0</v>
      </c>
      <c r="S247" s="361">
        <f t="shared" si="52"/>
        <v>0</v>
      </c>
    </row>
    <row r="248" spans="1:19">
      <c r="A248" s="159"/>
      <c r="B248" s="59"/>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0.4</v>
      </c>
      <c r="R248" s="714">
        <f t="shared" si="51"/>
        <v>0</v>
      </c>
      <c r="S248" s="361">
        <f t="shared" si="52"/>
        <v>0</v>
      </c>
    </row>
    <row r="249" spans="1:19">
      <c r="A249" s="159"/>
      <c r="B249" s="59"/>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0.4</v>
      </c>
      <c r="R249" s="714">
        <f t="shared" si="51"/>
        <v>0</v>
      </c>
      <c r="S249" s="361">
        <f t="shared" si="52"/>
        <v>0</v>
      </c>
    </row>
    <row r="250" spans="1:19">
      <c r="A250" s="159"/>
      <c r="B250" s="59"/>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0.4</v>
      </c>
      <c r="R250" s="714">
        <f t="shared" si="51"/>
        <v>0</v>
      </c>
      <c r="S250" s="361">
        <f t="shared" si="52"/>
        <v>0</v>
      </c>
    </row>
    <row r="251" spans="1:19">
      <c r="A251" s="159"/>
      <c r="B251" s="59"/>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0.4</v>
      </c>
      <c r="R251" s="714">
        <f t="shared" si="51"/>
        <v>0</v>
      </c>
      <c r="S251" s="361">
        <f t="shared" si="52"/>
        <v>0</v>
      </c>
    </row>
    <row r="252" spans="1:19">
      <c r="A252" s="159"/>
      <c r="B252" s="59"/>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0.4</v>
      </c>
      <c r="R252" s="714">
        <f t="shared" si="51"/>
        <v>0</v>
      </c>
      <c r="S252" s="361">
        <f t="shared" si="52"/>
        <v>0</v>
      </c>
    </row>
    <row r="253" spans="1:19">
      <c r="A253" s="159"/>
      <c r="B253" s="59"/>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0.4</v>
      </c>
      <c r="R253" s="714">
        <f t="shared" si="51"/>
        <v>0</v>
      </c>
      <c r="S253" s="361">
        <f t="shared" si="52"/>
        <v>0</v>
      </c>
    </row>
    <row r="254" spans="1:19">
      <c r="A254" s="159"/>
      <c r="B254" s="59"/>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0.4</v>
      </c>
      <c r="R254" s="714">
        <f t="shared" si="51"/>
        <v>0</v>
      </c>
      <c r="S254" s="361">
        <f t="shared" si="52"/>
        <v>0</v>
      </c>
    </row>
    <row r="255" spans="1:19">
      <c r="A255" s="159"/>
      <c r="B255" s="59"/>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0.4</v>
      </c>
      <c r="R255" s="714">
        <f t="shared" si="51"/>
        <v>0</v>
      </c>
      <c r="S255" s="361">
        <f t="shared" si="52"/>
        <v>0</v>
      </c>
    </row>
    <row r="256" spans="1:19">
      <c r="A256" s="159"/>
      <c r="B256" s="59"/>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0.4</v>
      </c>
      <c r="R256" s="714">
        <f t="shared" si="51"/>
        <v>0</v>
      </c>
      <c r="S256" s="361">
        <f t="shared" si="52"/>
        <v>0</v>
      </c>
    </row>
    <row r="257" spans="1:19">
      <c r="A257" s="159"/>
      <c r="B257" s="59"/>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0.4</v>
      </c>
      <c r="R257" s="714">
        <f t="shared" si="51"/>
        <v>0</v>
      </c>
      <c r="S257" s="361">
        <f t="shared" si="52"/>
        <v>0</v>
      </c>
    </row>
    <row r="258" spans="1:19">
      <c r="A258" s="159"/>
      <c r="B258" s="59"/>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0.4</v>
      </c>
      <c r="R258" s="714">
        <f t="shared" si="51"/>
        <v>0</v>
      </c>
      <c r="S258" s="361">
        <f t="shared" si="52"/>
        <v>0</v>
      </c>
    </row>
    <row r="259" spans="1:19">
      <c r="A259" s="159"/>
      <c r="B259" s="59"/>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0.4</v>
      </c>
      <c r="R259" s="714">
        <f t="shared" si="51"/>
        <v>0</v>
      </c>
      <c r="S259" s="361">
        <f t="shared" si="52"/>
        <v>0</v>
      </c>
    </row>
    <row r="260" spans="1:19">
      <c r="A260" s="159"/>
      <c r="B260" s="59"/>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0.4</v>
      </c>
      <c r="R260" s="714">
        <f t="shared" si="51"/>
        <v>0</v>
      </c>
      <c r="S260" s="361">
        <f t="shared" si="52"/>
        <v>0</v>
      </c>
    </row>
    <row r="261" spans="1:19">
      <c r="A261" s="159"/>
      <c r="B261" s="59"/>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0.4</v>
      </c>
      <c r="R261" s="714">
        <f t="shared" si="51"/>
        <v>0</v>
      </c>
      <c r="S261" s="361">
        <f t="shared" si="52"/>
        <v>0</v>
      </c>
    </row>
    <row r="262" spans="1:19">
      <c r="A262" s="159"/>
      <c r="B262" s="59"/>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0.4</v>
      </c>
      <c r="R262" s="714">
        <f t="shared" si="51"/>
        <v>0</v>
      </c>
      <c r="S262" s="361">
        <f t="shared" si="52"/>
        <v>0</v>
      </c>
    </row>
    <row r="263" spans="1:19">
      <c r="A263" s="159"/>
      <c r="B263" s="59"/>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0.4</v>
      </c>
      <c r="R263" s="714">
        <f t="shared" si="51"/>
        <v>0</v>
      </c>
      <c r="S263" s="361">
        <f t="shared" si="52"/>
        <v>0</v>
      </c>
    </row>
    <row r="264" spans="1:19">
      <c r="A264" s="159"/>
      <c r="B264" s="59"/>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0.4</v>
      </c>
      <c r="R264" s="714">
        <f t="shared" si="51"/>
        <v>0</v>
      </c>
      <c r="S264" s="361">
        <f t="shared" si="52"/>
        <v>0</v>
      </c>
    </row>
    <row r="265" spans="1:19">
      <c r="A265" s="159"/>
      <c r="B265" s="59"/>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0.4</v>
      </c>
      <c r="R265" s="714">
        <f t="shared" si="51"/>
        <v>0</v>
      </c>
      <c r="S265" s="361">
        <f t="shared" si="52"/>
        <v>0</v>
      </c>
    </row>
    <row r="266" spans="1:19">
      <c r="A266" s="159"/>
      <c r="B266" s="59"/>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0.4</v>
      </c>
      <c r="R266" s="714">
        <f t="shared" si="51"/>
        <v>0</v>
      </c>
      <c r="S266" s="361">
        <f t="shared" si="52"/>
        <v>0</v>
      </c>
    </row>
    <row r="267" spans="1:19">
      <c r="A267" s="159"/>
      <c r="B267" s="59"/>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0.4</v>
      </c>
      <c r="R267" s="714">
        <f t="shared" si="51"/>
        <v>0</v>
      </c>
      <c r="S267" s="361">
        <f t="shared" si="52"/>
        <v>0</v>
      </c>
    </row>
    <row r="268" spans="1:19">
      <c r="A268" s="159"/>
      <c r="B268" s="59"/>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0.4</v>
      </c>
      <c r="R268" s="714">
        <f t="shared" si="51"/>
        <v>0</v>
      </c>
      <c r="S268" s="361">
        <f t="shared" si="52"/>
        <v>0</v>
      </c>
    </row>
    <row r="269" spans="1:19">
      <c r="A269" s="159"/>
      <c r="B269" s="59"/>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0.4</v>
      </c>
      <c r="R269" s="714">
        <f t="shared" si="51"/>
        <v>0</v>
      </c>
      <c r="S269" s="361">
        <f t="shared" si="52"/>
        <v>0</v>
      </c>
    </row>
    <row r="270" spans="1:19">
      <c r="A270" s="159"/>
      <c r="B270" s="59"/>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0.4</v>
      </c>
      <c r="R270" s="714">
        <f t="shared" si="51"/>
        <v>0</v>
      </c>
      <c r="S270" s="361">
        <f t="shared" si="52"/>
        <v>0</v>
      </c>
    </row>
    <row r="271" spans="1:19">
      <c r="A271" s="159"/>
      <c r="B271" s="59"/>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0.4</v>
      </c>
      <c r="R271" s="714">
        <f t="shared" si="51"/>
        <v>0</v>
      </c>
      <c r="S271" s="361">
        <f t="shared" si="52"/>
        <v>0</v>
      </c>
    </row>
    <row r="272" spans="1:19">
      <c r="A272" s="159"/>
      <c r="B272" s="59"/>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0.4</v>
      </c>
      <c r="R272" s="714">
        <f t="shared" si="51"/>
        <v>0</v>
      </c>
      <c r="S272" s="361">
        <f t="shared" si="52"/>
        <v>0</v>
      </c>
    </row>
    <row r="273" spans="1:19">
      <c r="A273" s="159"/>
      <c r="B273" s="59"/>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0.4</v>
      </c>
      <c r="R273" s="714">
        <f t="shared" si="51"/>
        <v>0</v>
      </c>
      <c r="S273" s="361">
        <f t="shared" si="52"/>
        <v>0</v>
      </c>
    </row>
    <row r="274" spans="1:19">
      <c r="A274" s="159"/>
      <c r="B274" s="59"/>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0.4</v>
      </c>
      <c r="R274" s="714">
        <f t="shared" si="51"/>
        <v>0</v>
      </c>
      <c r="S274" s="361">
        <f t="shared" si="52"/>
        <v>0</v>
      </c>
    </row>
    <row r="275" spans="1:19">
      <c r="A275" s="159"/>
      <c r="B275" s="59"/>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0.4</v>
      </c>
      <c r="R275" s="714">
        <f t="shared" si="51"/>
        <v>0</v>
      </c>
      <c r="S275" s="361">
        <f t="shared" si="52"/>
        <v>0</v>
      </c>
    </row>
    <row r="276" spans="1:19">
      <c r="A276" s="159"/>
      <c r="B276" s="59"/>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0.4</v>
      </c>
      <c r="R276" s="714">
        <f t="shared" si="51"/>
        <v>0</v>
      </c>
      <c r="S276" s="361">
        <f t="shared" si="52"/>
        <v>0</v>
      </c>
    </row>
    <row r="277" spans="1:19">
      <c r="A277" s="159"/>
      <c r="B277" s="59"/>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0.4</v>
      </c>
      <c r="R277" s="714">
        <f t="shared" si="51"/>
        <v>0</v>
      </c>
      <c r="S277" s="361">
        <f t="shared" si="52"/>
        <v>0</v>
      </c>
    </row>
    <row r="278" spans="1:19">
      <c r="A278" s="159"/>
      <c r="B278" s="59"/>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0.4</v>
      </c>
      <c r="R278" s="714">
        <f t="shared" si="51"/>
        <v>0</v>
      </c>
      <c r="S278" s="361">
        <f t="shared" si="52"/>
        <v>0</v>
      </c>
    </row>
    <row r="279" spans="1:19">
      <c r="A279" s="159"/>
      <c r="B279" s="59"/>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0.4</v>
      </c>
      <c r="R279" s="714">
        <f t="shared" si="51"/>
        <v>0</v>
      </c>
      <c r="S279" s="361">
        <f t="shared" si="52"/>
        <v>0</v>
      </c>
    </row>
    <row r="280" spans="1:19">
      <c r="A280" s="159"/>
      <c r="B280" s="59"/>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0.4</v>
      </c>
      <c r="R280" s="714">
        <f t="shared" si="51"/>
        <v>0</v>
      </c>
      <c r="S280" s="361">
        <f t="shared" si="52"/>
        <v>0</v>
      </c>
    </row>
    <row r="281" spans="1:19">
      <c r="A281" s="159"/>
      <c r="B281" s="59"/>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0.4</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0.4</v>
      </c>
      <c r="R282" s="714">
        <f t="shared" ref="R282:R345" si="61">IF(B282="",0,ROUND($R$24*C282*E282*G282*I282*K282*M282*O282*Q282,0))</f>
        <v>0</v>
      </c>
      <c r="S282" s="361">
        <f t="shared" si="52"/>
        <v>0</v>
      </c>
    </row>
    <row r="283" spans="1:19">
      <c r="A283" s="159"/>
      <c r="B283" s="59"/>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0.4</v>
      </c>
      <c r="R283" s="714">
        <f t="shared" si="61"/>
        <v>0</v>
      </c>
      <c r="S283" s="361">
        <f t="shared" si="52"/>
        <v>0</v>
      </c>
    </row>
    <row r="284" spans="1:19">
      <c r="A284" s="159"/>
      <c r="B284" s="59"/>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0.4</v>
      </c>
      <c r="R284" s="714">
        <f t="shared" si="61"/>
        <v>0</v>
      </c>
      <c r="S284" s="361">
        <f t="shared" si="52"/>
        <v>0</v>
      </c>
    </row>
    <row r="285" spans="1:19">
      <c r="A285" s="159"/>
      <c r="B285" s="59"/>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0.4</v>
      </c>
      <c r="R285" s="714">
        <f t="shared" si="61"/>
        <v>0</v>
      </c>
      <c r="S285" s="361">
        <f t="shared" si="52"/>
        <v>0</v>
      </c>
    </row>
    <row r="286" spans="1:19">
      <c r="A286" s="159"/>
      <c r="B286" s="59"/>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0.4</v>
      </c>
      <c r="R286" s="714">
        <f t="shared" si="61"/>
        <v>0</v>
      </c>
      <c r="S286" s="361">
        <f t="shared" si="52"/>
        <v>0</v>
      </c>
    </row>
    <row r="287" spans="1:19">
      <c r="A287" s="159"/>
      <c r="B287" s="59"/>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0.4</v>
      </c>
      <c r="R287" s="714">
        <f t="shared" si="61"/>
        <v>0</v>
      </c>
      <c r="S287" s="361">
        <f t="shared" ref="S287:S320" si="62">ROUND(R287*B287/10000,0)</f>
        <v>0</v>
      </c>
    </row>
    <row r="288" spans="1:19">
      <c r="A288" s="159"/>
      <c r="B288" s="59"/>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0.4</v>
      </c>
      <c r="R288" s="714">
        <f t="shared" si="61"/>
        <v>0</v>
      </c>
      <c r="S288" s="361">
        <f t="shared" si="62"/>
        <v>0</v>
      </c>
    </row>
    <row r="289" spans="1:19">
      <c r="A289" s="159"/>
      <c r="B289" s="59"/>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0.4</v>
      </c>
      <c r="R289" s="714">
        <f t="shared" si="61"/>
        <v>0</v>
      </c>
      <c r="S289" s="361">
        <f t="shared" si="62"/>
        <v>0</v>
      </c>
    </row>
    <row r="290" spans="1:19">
      <c r="A290" s="159"/>
      <c r="B290" s="59"/>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0.4</v>
      </c>
      <c r="R290" s="714">
        <f t="shared" si="61"/>
        <v>0</v>
      </c>
      <c r="S290" s="361">
        <f t="shared" si="62"/>
        <v>0</v>
      </c>
    </row>
    <row r="291" spans="1:19">
      <c r="A291" s="159"/>
      <c r="B291" s="59"/>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0.4</v>
      </c>
      <c r="R291" s="714">
        <f t="shared" si="61"/>
        <v>0</v>
      </c>
      <c r="S291" s="361">
        <f t="shared" si="62"/>
        <v>0</v>
      </c>
    </row>
    <row r="292" spans="1:19">
      <c r="A292" s="159"/>
      <c r="B292" s="59"/>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0.4</v>
      </c>
      <c r="R292" s="714">
        <f t="shared" si="61"/>
        <v>0</v>
      </c>
      <c r="S292" s="361">
        <f t="shared" si="62"/>
        <v>0</v>
      </c>
    </row>
    <row r="293" spans="1:19">
      <c r="A293" s="159"/>
      <c r="B293" s="59"/>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0.4</v>
      </c>
      <c r="R293" s="714">
        <f t="shared" si="61"/>
        <v>0</v>
      </c>
      <c r="S293" s="361">
        <f t="shared" si="62"/>
        <v>0</v>
      </c>
    </row>
    <row r="294" spans="1:19">
      <c r="A294" s="159"/>
      <c r="B294" s="59"/>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0.4</v>
      </c>
      <c r="R294" s="714">
        <f t="shared" si="61"/>
        <v>0</v>
      </c>
      <c r="S294" s="361">
        <f t="shared" si="62"/>
        <v>0</v>
      </c>
    </row>
    <row r="295" spans="1:19">
      <c r="A295" s="159"/>
      <c r="B295" s="59"/>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0.4</v>
      </c>
      <c r="R295" s="714">
        <f t="shared" si="61"/>
        <v>0</v>
      </c>
      <c r="S295" s="361">
        <f t="shared" si="62"/>
        <v>0</v>
      </c>
    </row>
    <row r="296" spans="1:19">
      <c r="A296" s="159"/>
      <c r="B296" s="59"/>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0.4</v>
      </c>
      <c r="R296" s="714">
        <f t="shared" si="61"/>
        <v>0</v>
      </c>
      <c r="S296" s="361">
        <f t="shared" si="62"/>
        <v>0</v>
      </c>
    </row>
    <row r="297" spans="1:19">
      <c r="A297" s="159"/>
      <c r="B297" s="59"/>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0.4</v>
      </c>
      <c r="R297" s="714">
        <f t="shared" si="61"/>
        <v>0</v>
      </c>
      <c r="S297" s="361">
        <f t="shared" si="62"/>
        <v>0</v>
      </c>
    </row>
    <row r="298" spans="1:19">
      <c r="A298" s="159"/>
      <c r="B298" s="59"/>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0.4</v>
      </c>
      <c r="R298" s="714">
        <f t="shared" si="61"/>
        <v>0</v>
      </c>
      <c r="S298" s="361">
        <f t="shared" si="62"/>
        <v>0</v>
      </c>
    </row>
    <row r="299" spans="1:19">
      <c r="A299" s="159"/>
      <c r="B299" s="59"/>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0.4</v>
      </c>
      <c r="R299" s="714">
        <f t="shared" si="61"/>
        <v>0</v>
      </c>
      <c r="S299" s="361">
        <f t="shared" si="62"/>
        <v>0</v>
      </c>
    </row>
    <row r="300" spans="1:19">
      <c r="A300" s="159"/>
      <c r="B300" s="59"/>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0.4</v>
      </c>
      <c r="R300" s="714">
        <f t="shared" si="61"/>
        <v>0</v>
      </c>
      <c r="S300" s="361">
        <f t="shared" si="62"/>
        <v>0</v>
      </c>
    </row>
    <row r="301" spans="1:19">
      <c r="A301" s="159"/>
      <c r="B301" s="59"/>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0.4</v>
      </c>
      <c r="R301" s="714">
        <f t="shared" si="61"/>
        <v>0</v>
      </c>
      <c r="S301" s="361">
        <f t="shared" si="62"/>
        <v>0</v>
      </c>
    </row>
    <row r="302" spans="1:19">
      <c r="A302" s="159"/>
      <c r="B302" s="59"/>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0.4</v>
      </c>
      <c r="R302" s="714">
        <f t="shared" si="61"/>
        <v>0</v>
      </c>
      <c r="S302" s="361">
        <f t="shared" si="62"/>
        <v>0</v>
      </c>
    </row>
    <row r="303" spans="1:19">
      <c r="A303" s="159"/>
      <c r="B303" s="59"/>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0.4</v>
      </c>
      <c r="R303" s="714">
        <f t="shared" si="61"/>
        <v>0</v>
      </c>
      <c r="S303" s="361">
        <f t="shared" si="62"/>
        <v>0</v>
      </c>
    </row>
    <row r="304" spans="1:19">
      <c r="A304" s="159"/>
      <c r="B304" s="59"/>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0.4</v>
      </c>
      <c r="R304" s="714">
        <f t="shared" si="61"/>
        <v>0</v>
      </c>
      <c r="S304" s="361">
        <f t="shared" si="62"/>
        <v>0</v>
      </c>
    </row>
    <row r="305" spans="1:19">
      <c r="A305" s="159"/>
      <c r="B305" s="59"/>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0.4</v>
      </c>
      <c r="R305" s="714">
        <f t="shared" si="61"/>
        <v>0</v>
      </c>
      <c r="S305" s="361">
        <f t="shared" si="62"/>
        <v>0</v>
      </c>
    </row>
    <row r="306" spans="1:19">
      <c r="A306" s="159"/>
      <c r="B306" s="59"/>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0.4</v>
      </c>
      <c r="R306" s="714">
        <f t="shared" si="61"/>
        <v>0</v>
      </c>
      <c r="S306" s="361">
        <f t="shared" si="62"/>
        <v>0</v>
      </c>
    </row>
    <row r="307" spans="1:19">
      <c r="A307" s="159"/>
      <c r="B307" s="59"/>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0.4</v>
      </c>
      <c r="R307" s="714">
        <f t="shared" si="61"/>
        <v>0</v>
      </c>
      <c r="S307" s="361">
        <f t="shared" si="62"/>
        <v>0</v>
      </c>
    </row>
    <row r="308" spans="1:19">
      <c r="A308" s="159"/>
      <c r="B308" s="59"/>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0.4</v>
      </c>
      <c r="R308" s="714">
        <f t="shared" si="61"/>
        <v>0</v>
      </c>
      <c r="S308" s="361">
        <f t="shared" si="62"/>
        <v>0</v>
      </c>
    </row>
    <row r="309" spans="1:19">
      <c r="A309" s="159"/>
      <c r="B309" s="59"/>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0.4</v>
      </c>
      <c r="R309" s="714">
        <f t="shared" si="61"/>
        <v>0</v>
      </c>
      <c r="S309" s="361">
        <f t="shared" si="62"/>
        <v>0</v>
      </c>
    </row>
    <row r="310" spans="1:19">
      <c r="A310" s="159"/>
      <c r="B310" s="59"/>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0.4</v>
      </c>
      <c r="R310" s="714">
        <f t="shared" si="61"/>
        <v>0</v>
      </c>
      <c r="S310" s="361">
        <f t="shared" si="62"/>
        <v>0</v>
      </c>
    </row>
    <row r="311" spans="1:19">
      <c r="A311" s="159"/>
      <c r="B311" s="59"/>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0.4</v>
      </c>
      <c r="R311" s="714">
        <f t="shared" si="61"/>
        <v>0</v>
      </c>
      <c r="S311" s="361">
        <f t="shared" si="62"/>
        <v>0</v>
      </c>
    </row>
    <row r="312" spans="1:19">
      <c r="A312" s="159"/>
      <c r="B312" s="59"/>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0.4</v>
      </c>
      <c r="R312" s="714">
        <f t="shared" si="61"/>
        <v>0</v>
      </c>
      <c r="S312" s="361">
        <f t="shared" si="62"/>
        <v>0</v>
      </c>
    </row>
    <row r="313" spans="1:19">
      <c r="A313" s="159"/>
      <c r="B313" s="59"/>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0.4</v>
      </c>
      <c r="R313" s="714">
        <f t="shared" si="61"/>
        <v>0</v>
      </c>
      <c r="S313" s="361">
        <f t="shared" si="62"/>
        <v>0</v>
      </c>
    </row>
    <row r="314" spans="1:19">
      <c r="A314" s="159"/>
      <c r="B314" s="59"/>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0.4</v>
      </c>
      <c r="R314" s="714">
        <f t="shared" si="61"/>
        <v>0</v>
      </c>
      <c r="S314" s="361">
        <f t="shared" si="62"/>
        <v>0</v>
      </c>
    </row>
    <row r="315" spans="1:19">
      <c r="A315" s="159"/>
      <c r="B315" s="59"/>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0.4</v>
      </c>
      <c r="R315" s="714">
        <f t="shared" si="61"/>
        <v>0</v>
      </c>
      <c r="S315" s="361">
        <f t="shared" si="62"/>
        <v>0</v>
      </c>
    </row>
    <row r="316" spans="1:19">
      <c r="A316" s="159"/>
      <c r="B316" s="59"/>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0.4</v>
      </c>
      <c r="R316" s="714">
        <f t="shared" si="61"/>
        <v>0</v>
      </c>
      <c r="S316" s="361">
        <f t="shared" si="62"/>
        <v>0</v>
      </c>
    </row>
    <row r="317" spans="1:19">
      <c r="A317" s="159"/>
      <c r="B317" s="59"/>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0.4</v>
      </c>
      <c r="R317" s="714">
        <f t="shared" si="61"/>
        <v>0</v>
      </c>
      <c r="S317" s="361">
        <f t="shared" si="62"/>
        <v>0</v>
      </c>
    </row>
    <row r="318" spans="1:19">
      <c r="A318" s="159"/>
      <c r="B318" s="59"/>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0.4</v>
      </c>
      <c r="R318" s="714">
        <f t="shared" si="61"/>
        <v>0</v>
      </c>
      <c r="S318" s="361">
        <f t="shared" si="62"/>
        <v>0</v>
      </c>
    </row>
    <row r="319" spans="1:19">
      <c r="A319" s="159"/>
      <c r="B319" s="59"/>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0.4</v>
      </c>
      <c r="R319" s="714">
        <f t="shared" si="61"/>
        <v>0</v>
      </c>
      <c r="S319" s="361">
        <f t="shared" si="62"/>
        <v>0</v>
      </c>
    </row>
    <row r="320" spans="1:19">
      <c r="A320" s="159"/>
      <c r="B320" s="59"/>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0.4</v>
      </c>
      <c r="R320" s="714">
        <f t="shared" si="61"/>
        <v>0</v>
      </c>
      <c r="S320" s="361">
        <f t="shared" si="62"/>
        <v>0</v>
      </c>
    </row>
    <row r="321" spans="1:19">
      <c r="A321" s="159"/>
      <c r="B321" s="59"/>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0.4</v>
      </c>
      <c r="R321" s="714">
        <f t="shared" si="61"/>
        <v>0</v>
      </c>
      <c r="S321" s="361">
        <f t="shared" ref="S321:S384" si="63">ROUND(R321*B321/10000,0)</f>
        <v>0</v>
      </c>
    </row>
    <row r="322" spans="1:19">
      <c r="A322" s="159"/>
      <c r="B322" s="59"/>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0.4</v>
      </c>
      <c r="R322" s="714">
        <f t="shared" si="61"/>
        <v>0</v>
      </c>
      <c r="S322" s="361">
        <f t="shared" si="63"/>
        <v>0</v>
      </c>
    </row>
    <row r="323" spans="1:19">
      <c r="A323" s="159"/>
      <c r="B323" s="59"/>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0.4</v>
      </c>
      <c r="R323" s="714">
        <f t="shared" si="61"/>
        <v>0</v>
      </c>
      <c r="S323" s="361">
        <f t="shared" si="63"/>
        <v>0</v>
      </c>
    </row>
    <row r="324" spans="1:19">
      <c r="A324" s="159"/>
      <c r="B324" s="59"/>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0.4</v>
      </c>
      <c r="R324" s="714">
        <f t="shared" si="61"/>
        <v>0</v>
      </c>
      <c r="S324" s="361">
        <f t="shared" si="63"/>
        <v>0</v>
      </c>
    </row>
    <row r="325" spans="1:19">
      <c r="A325" s="159"/>
      <c r="B325" s="59"/>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0.4</v>
      </c>
      <c r="R325" s="714">
        <f t="shared" si="61"/>
        <v>0</v>
      </c>
      <c r="S325" s="361">
        <f t="shared" si="63"/>
        <v>0</v>
      </c>
    </row>
    <row r="326" spans="1:19">
      <c r="A326" s="159"/>
      <c r="B326" s="59"/>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0.4</v>
      </c>
      <c r="R326" s="714">
        <f t="shared" si="61"/>
        <v>0</v>
      </c>
      <c r="S326" s="361">
        <f t="shared" si="63"/>
        <v>0</v>
      </c>
    </row>
    <row r="327" spans="1:19">
      <c r="A327" s="159"/>
      <c r="B327" s="59"/>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0.4</v>
      </c>
      <c r="R327" s="714">
        <f t="shared" si="61"/>
        <v>0</v>
      </c>
      <c r="S327" s="361">
        <f t="shared" si="63"/>
        <v>0</v>
      </c>
    </row>
    <row r="328" spans="1:19">
      <c r="A328" s="159"/>
      <c r="B328" s="59"/>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0.4</v>
      </c>
      <c r="R328" s="714">
        <f t="shared" si="61"/>
        <v>0</v>
      </c>
      <c r="S328" s="361">
        <f t="shared" si="63"/>
        <v>0</v>
      </c>
    </row>
    <row r="329" spans="1:19">
      <c r="A329" s="159"/>
      <c r="B329" s="59"/>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0.4</v>
      </c>
      <c r="R329" s="714">
        <f t="shared" si="61"/>
        <v>0</v>
      </c>
      <c r="S329" s="361">
        <f t="shared" si="63"/>
        <v>0</v>
      </c>
    </row>
    <row r="330" spans="1:19">
      <c r="A330" s="159"/>
      <c r="B330" s="59"/>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0.4</v>
      </c>
      <c r="R330" s="714">
        <f t="shared" si="61"/>
        <v>0</v>
      </c>
      <c r="S330" s="361">
        <f t="shared" si="63"/>
        <v>0</v>
      </c>
    </row>
    <row r="331" spans="1:19">
      <c r="A331" s="159"/>
      <c r="B331" s="59"/>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0.4</v>
      </c>
      <c r="R331" s="714">
        <f t="shared" si="61"/>
        <v>0</v>
      </c>
      <c r="S331" s="361">
        <f t="shared" si="63"/>
        <v>0</v>
      </c>
    </row>
    <row r="332" spans="1:19">
      <c r="A332" s="159"/>
      <c r="B332" s="59"/>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0.4</v>
      </c>
      <c r="R332" s="714">
        <f t="shared" si="61"/>
        <v>0</v>
      </c>
      <c r="S332" s="361">
        <f t="shared" si="63"/>
        <v>0</v>
      </c>
    </row>
    <row r="333" spans="1:19">
      <c r="A333" s="159"/>
      <c r="B333" s="59"/>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0.4</v>
      </c>
      <c r="R333" s="714">
        <f t="shared" si="61"/>
        <v>0</v>
      </c>
      <c r="S333" s="361">
        <f t="shared" si="63"/>
        <v>0</v>
      </c>
    </row>
    <row r="334" spans="1:19">
      <c r="A334" s="159"/>
      <c r="B334" s="59"/>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0.4</v>
      </c>
      <c r="R334" s="714">
        <f t="shared" si="61"/>
        <v>0</v>
      </c>
      <c r="S334" s="361">
        <f t="shared" si="63"/>
        <v>0</v>
      </c>
    </row>
    <row r="335" spans="1:19">
      <c r="A335" s="159"/>
      <c r="B335" s="59"/>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0.4</v>
      </c>
      <c r="R335" s="714">
        <f t="shared" si="61"/>
        <v>0</v>
      </c>
      <c r="S335" s="361">
        <f t="shared" si="63"/>
        <v>0</v>
      </c>
    </row>
    <row r="336" spans="1:19">
      <c r="A336" s="159"/>
      <c r="B336" s="59"/>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0.4</v>
      </c>
      <c r="R336" s="714">
        <f t="shared" si="61"/>
        <v>0</v>
      </c>
      <c r="S336" s="361">
        <f t="shared" si="63"/>
        <v>0</v>
      </c>
    </row>
    <row r="337" spans="1:19">
      <c r="A337" s="159"/>
      <c r="B337" s="59"/>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0.4</v>
      </c>
      <c r="R337" s="714">
        <f t="shared" si="61"/>
        <v>0</v>
      </c>
      <c r="S337" s="361">
        <f t="shared" si="63"/>
        <v>0</v>
      </c>
    </row>
    <row r="338" spans="1:19">
      <c r="A338" s="159"/>
      <c r="B338" s="59"/>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0.4</v>
      </c>
      <c r="R338" s="714">
        <f t="shared" si="61"/>
        <v>0</v>
      </c>
      <c r="S338" s="361">
        <f t="shared" si="63"/>
        <v>0</v>
      </c>
    </row>
    <row r="339" spans="1:19">
      <c r="A339" s="159"/>
      <c r="B339" s="59"/>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0.4</v>
      </c>
      <c r="R339" s="714">
        <f t="shared" si="61"/>
        <v>0</v>
      </c>
      <c r="S339" s="361">
        <f t="shared" si="63"/>
        <v>0</v>
      </c>
    </row>
    <row r="340" spans="1:19">
      <c r="A340" s="159"/>
      <c r="B340" s="59"/>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0.4</v>
      </c>
      <c r="R340" s="714">
        <f t="shared" si="61"/>
        <v>0</v>
      </c>
      <c r="S340" s="361">
        <f t="shared" si="63"/>
        <v>0</v>
      </c>
    </row>
    <row r="341" spans="1:19">
      <c r="A341" s="159"/>
      <c r="B341" s="59"/>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0.4</v>
      </c>
      <c r="R341" s="714">
        <f t="shared" si="61"/>
        <v>0</v>
      </c>
      <c r="S341" s="361">
        <f t="shared" si="63"/>
        <v>0</v>
      </c>
    </row>
    <row r="342" spans="1:19">
      <c r="A342" s="159"/>
      <c r="B342" s="59"/>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0.4</v>
      </c>
      <c r="R342" s="714">
        <f t="shared" si="61"/>
        <v>0</v>
      </c>
      <c r="S342" s="361">
        <f t="shared" si="63"/>
        <v>0</v>
      </c>
    </row>
    <row r="343" spans="1:19">
      <c r="A343" s="159"/>
      <c r="B343" s="59"/>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0.4</v>
      </c>
      <c r="R343" s="714">
        <f t="shared" si="61"/>
        <v>0</v>
      </c>
      <c r="S343" s="361">
        <f t="shared" si="63"/>
        <v>0</v>
      </c>
    </row>
    <row r="344" spans="1:19">
      <c r="A344" s="159"/>
      <c r="B344" s="59"/>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0.4</v>
      </c>
      <c r="R344" s="714">
        <f t="shared" si="61"/>
        <v>0</v>
      </c>
      <c r="S344" s="361">
        <f t="shared" si="63"/>
        <v>0</v>
      </c>
    </row>
    <row r="345" spans="1:19">
      <c r="A345" s="159"/>
      <c r="B345" s="59"/>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0.4</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0.4</v>
      </c>
      <c r="R346" s="714">
        <f t="shared" ref="R346:R409" si="72">IF(B346="",0,ROUND($R$24*C346*E346*G346*I346*K346*M346*O346*Q346,0))</f>
        <v>0</v>
      </c>
      <c r="S346" s="361">
        <f t="shared" si="63"/>
        <v>0</v>
      </c>
    </row>
    <row r="347" spans="1:19">
      <c r="A347" s="159"/>
      <c r="B347" s="59"/>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0.4</v>
      </c>
      <c r="R347" s="714">
        <f t="shared" si="72"/>
        <v>0</v>
      </c>
      <c r="S347" s="361">
        <f t="shared" si="63"/>
        <v>0</v>
      </c>
    </row>
    <row r="348" spans="1:19">
      <c r="A348" s="159"/>
      <c r="B348" s="59"/>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0.4</v>
      </c>
      <c r="R348" s="714">
        <f t="shared" si="72"/>
        <v>0</v>
      </c>
      <c r="S348" s="361">
        <f t="shared" si="63"/>
        <v>0</v>
      </c>
    </row>
    <row r="349" spans="1:19">
      <c r="A349" s="159"/>
      <c r="B349" s="59"/>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0.4</v>
      </c>
      <c r="R349" s="714">
        <f t="shared" si="72"/>
        <v>0</v>
      </c>
      <c r="S349" s="361">
        <f t="shared" si="63"/>
        <v>0</v>
      </c>
    </row>
    <row r="350" spans="1:19">
      <c r="A350" s="159"/>
      <c r="B350" s="59"/>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0.4</v>
      </c>
      <c r="R350" s="714">
        <f t="shared" si="72"/>
        <v>0</v>
      </c>
      <c r="S350" s="361">
        <f t="shared" si="63"/>
        <v>0</v>
      </c>
    </row>
    <row r="351" spans="1:19">
      <c r="A351" s="159"/>
      <c r="B351" s="59"/>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0.4</v>
      </c>
      <c r="R351" s="714">
        <f t="shared" si="72"/>
        <v>0</v>
      </c>
      <c r="S351" s="361">
        <f t="shared" si="63"/>
        <v>0</v>
      </c>
    </row>
    <row r="352" spans="1:19">
      <c r="A352" s="159"/>
      <c r="B352" s="59"/>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0.4</v>
      </c>
      <c r="R352" s="714">
        <f t="shared" si="72"/>
        <v>0</v>
      </c>
      <c r="S352" s="361">
        <f t="shared" si="63"/>
        <v>0</v>
      </c>
    </row>
    <row r="353" spans="1:19">
      <c r="A353" s="159"/>
      <c r="B353" s="59"/>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0.4</v>
      </c>
      <c r="R353" s="714">
        <f t="shared" si="72"/>
        <v>0</v>
      </c>
      <c r="S353" s="361">
        <f t="shared" si="63"/>
        <v>0</v>
      </c>
    </row>
    <row r="354" spans="1:19">
      <c r="A354" s="159"/>
      <c r="B354" s="59"/>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0.4</v>
      </c>
      <c r="R354" s="714">
        <f t="shared" si="72"/>
        <v>0</v>
      </c>
      <c r="S354" s="361">
        <f t="shared" si="63"/>
        <v>0</v>
      </c>
    </row>
    <row r="355" spans="1:19">
      <c r="A355" s="159"/>
      <c r="B355" s="59"/>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0.4</v>
      </c>
      <c r="R355" s="714">
        <f t="shared" si="72"/>
        <v>0</v>
      </c>
      <c r="S355" s="361">
        <f t="shared" si="63"/>
        <v>0</v>
      </c>
    </row>
    <row r="356" spans="1:19">
      <c r="A356" s="159"/>
      <c r="B356" s="59"/>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0.4</v>
      </c>
      <c r="R356" s="714">
        <f t="shared" si="72"/>
        <v>0</v>
      </c>
      <c r="S356" s="361">
        <f t="shared" si="63"/>
        <v>0</v>
      </c>
    </row>
    <row r="357" spans="1:19">
      <c r="A357" s="159"/>
      <c r="B357" s="59"/>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0.4</v>
      </c>
      <c r="R357" s="714">
        <f t="shared" si="72"/>
        <v>0</v>
      </c>
      <c r="S357" s="361">
        <f t="shared" si="63"/>
        <v>0</v>
      </c>
    </row>
    <row r="358" spans="1:19">
      <c r="A358" s="159"/>
      <c r="B358" s="59"/>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0.4</v>
      </c>
      <c r="R358" s="714">
        <f t="shared" si="72"/>
        <v>0</v>
      </c>
      <c r="S358" s="361">
        <f t="shared" si="63"/>
        <v>0</v>
      </c>
    </row>
    <row r="359" spans="1:19">
      <c r="A359" s="159"/>
      <c r="B359" s="59"/>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0.4</v>
      </c>
      <c r="R359" s="714">
        <f t="shared" si="72"/>
        <v>0</v>
      </c>
      <c r="S359" s="361">
        <f t="shared" si="63"/>
        <v>0</v>
      </c>
    </row>
    <row r="360" spans="1:19">
      <c r="A360" s="159"/>
      <c r="B360" s="59"/>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0.4</v>
      </c>
      <c r="R360" s="714">
        <f t="shared" si="72"/>
        <v>0</v>
      </c>
      <c r="S360" s="361">
        <f t="shared" si="63"/>
        <v>0</v>
      </c>
    </row>
    <row r="361" spans="1:19">
      <c r="A361" s="159"/>
      <c r="B361" s="59"/>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0.4</v>
      </c>
      <c r="R361" s="714">
        <f t="shared" si="72"/>
        <v>0</v>
      </c>
      <c r="S361" s="361">
        <f t="shared" si="63"/>
        <v>0</v>
      </c>
    </row>
    <row r="362" spans="1:19">
      <c r="A362" s="159"/>
      <c r="B362" s="59"/>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0.4</v>
      </c>
      <c r="R362" s="714">
        <f t="shared" si="72"/>
        <v>0</v>
      </c>
      <c r="S362" s="361">
        <f t="shared" si="63"/>
        <v>0</v>
      </c>
    </row>
    <row r="363" spans="1:19">
      <c r="A363" s="159"/>
      <c r="B363" s="59"/>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0.4</v>
      </c>
      <c r="R363" s="714">
        <f t="shared" si="72"/>
        <v>0</v>
      </c>
      <c r="S363" s="361">
        <f t="shared" si="63"/>
        <v>0</v>
      </c>
    </row>
    <row r="364" spans="1:19">
      <c r="A364" s="159"/>
      <c r="B364" s="59"/>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0.4</v>
      </c>
      <c r="R364" s="714">
        <f t="shared" si="72"/>
        <v>0</v>
      </c>
      <c r="S364" s="361">
        <f t="shared" si="63"/>
        <v>0</v>
      </c>
    </row>
    <row r="365" spans="1:19">
      <c r="A365" s="159"/>
      <c r="B365" s="59"/>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0.4</v>
      </c>
      <c r="R365" s="714">
        <f t="shared" si="72"/>
        <v>0</v>
      </c>
      <c r="S365" s="361">
        <f t="shared" si="63"/>
        <v>0</v>
      </c>
    </row>
    <row r="366" spans="1:19">
      <c r="A366" s="159"/>
      <c r="B366" s="59"/>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0.4</v>
      </c>
      <c r="R366" s="714">
        <f t="shared" si="72"/>
        <v>0</v>
      </c>
      <c r="S366" s="361">
        <f t="shared" si="63"/>
        <v>0</v>
      </c>
    </row>
    <row r="367" spans="1:19">
      <c r="A367" s="159"/>
      <c r="B367" s="59"/>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0.4</v>
      </c>
      <c r="R367" s="714">
        <f t="shared" si="72"/>
        <v>0</v>
      </c>
      <c r="S367" s="361">
        <f t="shared" si="63"/>
        <v>0</v>
      </c>
    </row>
    <row r="368" spans="1:19">
      <c r="A368" s="159"/>
      <c r="B368" s="59"/>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0.4</v>
      </c>
      <c r="R368" s="714">
        <f t="shared" si="72"/>
        <v>0</v>
      </c>
      <c r="S368" s="361">
        <f t="shared" si="63"/>
        <v>0</v>
      </c>
    </row>
    <row r="369" spans="1:19">
      <c r="A369" s="159"/>
      <c r="B369" s="59"/>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0.4</v>
      </c>
      <c r="R369" s="714">
        <f t="shared" si="72"/>
        <v>0</v>
      </c>
      <c r="S369" s="361">
        <f t="shared" si="63"/>
        <v>0</v>
      </c>
    </row>
    <row r="370" spans="1:19">
      <c r="A370" s="159"/>
      <c r="B370" s="59"/>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0.4</v>
      </c>
      <c r="R370" s="714">
        <f t="shared" si="72"/>
        <v>0</v>
      </c>
      <c r="S370" s="361">
        <f t="shared" si="63"/>
        <v>0</v>
      </c>
    </row>
    <row r="371" spans="1:19">
      <c r="A371" s="159"/>
      <c r="B371" s="59"/>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0.4</v>
      </c>
      <c r="R371" s="714">
        <f t="shared" si="72"/>
        <v>0</v>
      </c>
      <c r="S371" s="361">
        <f t="shared" si="63"/>
        <v>0</v>
      </c>
    </row>
    <row r="372" spans="1:19">
      <c r="A372" s="159"/>
      <c r="B372" s="59"/>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0.4</v>
      </c>
      <c r="R372" s="714">
        <f t="shared" si="72"/>
        <v>0</v>
      </c>
      <c r="S372" s="361">
        <f t="shared" si="63"/>
        <v>0</v>
      </c>
    </row>
    <row r="373" spans="1:19">
      <c r="A373" s="159"/>
      <c r="B373" s="59"/>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0.4</v>
      </c>
      <c r="R373" s="714">
        <f t="shared" si="72"/>
        <v>0</v>
      </c>
      <c r="S373" s="361">
        <f t="shared" si="63"/>
        <v>0</v>
      </c>
    </row>
    <row r="374" spans="1:19">
      <c r="A374" s="159"/>
      <c r="B374" s="59"/>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0.4</v>
      </c>
      <c r="R374" s="714">
        <f t="shared" si="72"/>
        <v>0</v>
      </c>
      <c r="S374" s="361">
        <f t="shared" si="63"/>
        <v>0</v>
      </c>
    </row>
    <row r="375" spans="1:19">
      <c r="A375" s="159"/>
      <c r="B375" s="59"/>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0.4</v>
      </c>
      <c r="R375" s="714">
        <f t="shared" si="72"/>
        <v>0</v>
      </c>
      <c r="S375" s="361">
        <f t="shared" si="63"/>
        <v>0</v>
      </c>
    </row>
    <row r="376" spans="1:19">
      <c r="A376" s="159"/>
      <c r="B376" s="59"/>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0.4</v>
      </c>
      <c r="R376" s="714">
        <f t="shared" si="72"/>
        <v>0</v>
      </c>
      <c r="S376" s="361">
        <f t="shared" si="63"/>
        <v>0</v>
      </c>
    </row>
    <row r="377" spans="1:19">
      <c r="A377" s="159"/>
      <c r="B377" s="59"/>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0.4</v>
      </c>
      <c r="R377" s="714">
        <f t="shared" si="72"/>
        <v>0</v>
      </c>
      <c r="S377" s="361">
        <f t="shared" si="63"/>
        <v>0</v>
      </c>
    </row>
    <row r="378" spans="1:19">
      <c r="A378" s="159"/>
      <c r="B378" s="59"/>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0.4</v>
      </c>
      <c r="R378" s="714">
        <f t="shared" si="72"/>
        <v>0</v>
      </c>
      <c r="S378" s="361">
        <f t="shared" si="63"/>
        <v>0</v>
      </c>
    </row>
    <row r="379" spans="1:19">
      <c r="A379" s="159"/>
      <c r="B379" s="59"/>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0.4</v>
      </c>
      <c r="R379" s="714">
        <f t="shared" si="72"/>
        <v>0</v>
      </c>
      <c r="S379" s="361">
        <f t="shared" si="63"/>
        <v>0</v>
      </c>
    </row>
    <row r="380" spans="1:19">
      <c r="A380" s="159"/>
      <c r="B380" s="59"/>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0.4</v>
      </c>
      <c r="R380" s="714">
        <f t="shared" si="72"/>
        <v>0</v>
      </c>
      <c r="S380" s="361">
        <f t="shared" si="63"/>
        <v>0</v>
      </c>
    </row>
    <row r="381" spans="1:19">
      <c r="A381" s="159"/>
      <c r="B381" s="59"/>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0.4</v>
      </c>
      <c r="R381" s="714">
        <f t="shared" si="72"/>
        <v>0</v>
      </c>
      <c r="S381" s="361">
        <f t="shared" si="63"/>
        <v>0</v>
      </c>
    </row>
    <row r="382" spans="1:19">
      <c r="A382" s="159"/>
      <c r="B382" s="59"/>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0.4</v>
      </c>
      <c r="R382" s="714">
        <f t="shared" si="72"/>
        <v>0</v>
      </c>
      <c r="S382" s="361">
        <f t="shared" si="63"/>
        <v>0</v>
      </c>
    </row>
    <row r="383" spans="1:19">
      <c r="A383" s="159"/>
      <c r="B383" s="59"/>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0.4</v>
      </c>
      <c r="R383" s="714">
        <f t="shared" si="72"/>
        <v>0</v>
      </c>
      <c r="S383" s="361">
        <f t="shared" si="63"/>
        <v>0</v>
      </c>
    </row>
    <row r="384" spans="1:19">
      <c r="A384" s="159"/>
      <c r="B384" s="59"/>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0.4</v>
      </c>
      <c r="R384" s="714">
        <f t="shared" si="72"/>
        <v>0</v>
      </c>
      <c r="S384" s="361">
        <f t="shared" si="63"/>
        <v>0</v>
      </c>
    </row>
    <row r="385" spans="1:19">
      <c r="A385" s="159"/>
      <c r="B385" s="59"/>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0.4</v>
      </c>
      <c r="R385" s="714">
        <f t="shared" si="72"/>
        <v>0</v>
      </c>
      <c r="S385" s="361">
        <f t="shared" ref="S385:S422" si="73">ROUND(R385*B385/10000,0)</f>
        <v>0</v>
      </c>
    </row>
    <row r="386" spans="1:19">
      <c r="A386" s="159"/>
      <c r="B386" s="59"/>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0.4</v>
      </c>
      <c r="R386" s="714">
        <f t="shared" si="72"/>
        <v>0</v>
      </c>
      <c r="S386" s="361">
        <f t="shared" si="73"/>
        <v>0</v>
      </c>
    </row>
    <row r="387" spans="1:19">
      <c r="A387" s="159"/>
      <c r="B387" s="59"/>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0.4</v>
      </c>
      <c r="R387" s="714">
        <f t="shared" si="72"/>
        <v>0</v>
      </c>
      <c r="S387" s="361">
        <f t="shared" si="73"/>
        <v>0</v>
      </c>
    </row>
    <row r="388" spans="1:19">
      <c r="A388" s="159"/>
      <c r="B388" s="59"/>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0.4</v>
      </c>
      <c r="R388" s="714">
        <f t="shared" si="72"/>
        <v>0</v>
      </c>
      <c r="S388" s="361">
        <f t="shared" si="73"/>
        <v>0</v>
      </c>
    </row>
    <row r="389" spans="1:19">
      <c r="A389" s="159"/>
      <c r="B389" s="59"/>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0.4</v>
      </c>
      <c r="R389" s="714">
        <f t="shared" si="72"/>
        <v>0</v>
      </c>
      <c r="S389" s="361">
        <f t="shared" si="73"/>
        <v>0</v>
      </c>
    </row>
    <row r="390" spans="1:19">
      <c r="A390" s="159"/>
      <c r="B390" s="59"/>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0.4</v>
      </c>
      <c r="R390" s="714">
        <f t="shared" si="72"/>
        <v>0</v>
      </c>
      <c r="S390" s="361">
        <f t="shared" si="73"/>
        <v>0</v>
      </c>
    </row>
    <row r="391" spans="1:19">
      <c r="A391" s="159"/>
      <c r="B391" s="59"/>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0.4</v>
      </c>
      <c r="R391" s="714">
        <f t="shared" si="72"/>
        <v>0</v>
      </c>
      <c r="S391" s="361">
        <f t="shared" si="73"/>
        <v>0</v>
      </c>
    </row>
    <row r="392" spans="1:19">
      <c r="A392" s="159"/>
      <c r="B392" s="59"/>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0.4</v>
      </c>
      <c r="R392" s="714">
        <f t="shared" si="72"/>
        <v>0</v>
      </c>
      <c r="S392" s="361">
        <f t="shared" si="73"/>
        <v>0</v>
      </c>
    </row>
    <row r="393" spans="1:19">
      <c r="A393" s="159"/>
      <c r="B393" s="59"/>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0.4</v>
      </c>
      <c r="R393" s="714">
        <f t="shared" si="72"/>
        <v>0</v>
      </c>
      <c r="S393" s="361">
        <f t="shared" si="73"/>
        <v>0</v>
      </c>
    </row>
    <row r="394" spans="1:19">
      <c r="A394" s="159"/>
      <c r="B394" s="59"/>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0.4</v>
      </c>
      <c r="R394" s="714">
        <f t="shared" si="72"/>
        <v>0</v>
      </c>
      <c r="S394" s="361">
        <f t="shared" si="73"/>
        <v>0</v>
      </c>
    </row>
    <row r="395" spans="1:19">
      <c r="A395" s="159"/>
      <c r="B395" s="59"/>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0.4</v>
      </c>
      <c r="R395" s="714">
        <f t="shared" si="72"/>
        <v>0</v>
      </c>
      <c r="S395" s="361">
        <f t="shared" si="73"/>
        <v>0</v>
      </c>
    </row>
    <row r="396" spans="1:19">
      <c r="A396" s="159"/>
      <c r="B396" s="59"/>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0.4</v>
      </c>
      <c r="R396" s="714">
        <f t="shared" si="72"/>
        <v>0</v>
      </c>
      <c r="S396" s="361">
        <f t="shared" si="73"/>
        <v>0</v>
      </c>
    </row>
    <row r="397" spans="1:19">
      <c r="A397" s="159"/>
      <c r="B397" s="59"/>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0.4</v>
      </c>
      <c r="R397" s="714">
        <f t="shared" si="72"/>
        <v>0</v>
      </c>
      <c r="S397" s="361">
        <f t="shared" si="73"/>
        <v>0</v>
      </c>
    </row>
    <row r="398" spans="1:19">
      <c r="A398" s="159"/>
      <c r="B398" s="59"/>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0.4</v>
      </c>
      <c r="R398" s="714">
        <f t="shared" si="72"/>
        <v>0</v>
      </c>
      <c r="S398" s="361">
        <f t="shared" si="73"/>
        <v>0</v>
      </c>
    </row>
    <row r="399" spans="1:19">
      <c r="A399" s="159"/>
      <c r="B399" s="59"/>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0.4</v>
      </c>
      <c r="R399" s="714">
        <f t="shared" si="72"/>
        <v>0</v>
      </c>
      <c r="S399" s="361">
        <f t="shared" si="73"/>
        <v>0</v>
      </c>
    </row>
    <row r="400" spans="1:19">
      <c r="A400" s="159"/>
      <c r="B400" s="59"/>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0.4</v>
      </c>
      <c r="R400" s="714">
        <f t="shared" si="72"/>
        <v>0</v>
      </c>
      <c r="S400" s="361">
        <f t="shared" si="73"/>
        <v>0</v>
      </c>
    </row>
    <row r="401" spans="1:19">
      <c r="A401" s="159"/>
      <c r="B401" s="59"/>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0.4</v>
      </c>
      <c r="R401" s="714">
        <f t="shared" si="72"/>
        <v>0</v>
      </c>
      <c r="S401" s="361">
        <f t="shared" si="73"/>
        <v>0</v>
      </c>
    </row>
    <row r="402" spans="1:19">
      <c r="A402" s="159"/>
      <c r="B402" s="59"/>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0.4</v>
      </c>
      <c r="R402" s="714">
        <f t="shared" si="72"/>
        <v>0</v>
      </c>
      <c r="S402" s="361">
        <f t="shared" si="73"/>
        <v>0</v>
      </c>
    </row>
    <row r="403" spans="1:19">
      <c r="A403" s="159"/>
      <c r="B403" s="59"/>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0.4</v>
      </c>
      <c r="R403" s="714">
        <f t="shared" si="72"/>
        <v>0</v>
      </c>
      <c r="S403" s="361">
        <f t="shared" si="73"/>
        <v>0</v>
      </c>
    </row>
    <row r="404" spans="1:19">
      <c r="A404" s="159"/>
      <c r="B404" s="59"/>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0.4</v>
      </c>
      <c r="R404" s="714">
        <f t="shared" si="72"/>
        <v>0</v>
      </c>
      <c r="S404" s="361">
        <f t="shared" si="73"/>
        <v>0</v>
      </c>
    </row>
    <row r="405" spans="1:19">
      <c r="A405" s="159"/>
      <c r="B405" s="59"/>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0.4</v>
      </c>
      <c r="R405" s="714">
        <f t="shared" si="72"/>
        <v>0</v>
      </c>
      <c r="S405" s="361">
        <f t="shared" si="73"/>
        <v>0</v>
      </c>
    </row>
    <row r="406" spans="1:19">
      <c r="A406" s="159"/>
      <c r="B406" s="59"/>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0.4</v>
      </c>
      <c r="R406" s="714">
        <f t="shared" si="72"/>
        <v>0</v>
      </c>
      <c r="S406" s="361">
        <f t="shared" si="73"/>
        <v>0</v>
      </c>
    </row>
    <row r="407" spans="1:19">
      <c r="A407" s="159"/>
      <c r="B407" s="59"/>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0.4</v>
      </c>
      <c r="R407" s="714">
        <f t="shared" si="72"/>
        <v>0</v>
      </c>
      <c r="S407" s="361">
        <f t="shared" si="73"/>
        <v>0</v>
      </c>
    </row>
    <row r="408" spans="1:19">
      <c r="A408" s="159"/>
      <c r="B408" s="59"/>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0.4</v>
      </c>
      <c r="R408" s="714">
        <f t="shared" si="72"/>
        <v>0</v>
      </c>
      <c r="S408" s="361">
        <f t="shared" si="73"/>
        <v>0</v>
      </c>
    </row>
    <row r="409" spans="1:19">
      <c r="A409" s="159"/>
      <c r="B409" s="59"/>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0.4</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0.4</v>
      </c>
      <c r="R410" s="714">
        <f t="shared" ref="R410:R473" si="82">IF(B410="",0,ROUND($R$24*C410*E410*G410*I410*K410*M410*O410*Q410,0))</f>
        <v>0</v>
      </c>
      <c r="S410" s="361">
        <f t="shared" si="73"/>
        <v>0</v>
      </c>
    </row>
    <row r="411" spans="1:19">
      <c r="A411" s="159"/>
      <c r="B411" s="59"/>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0.4</v>
      </c>
      <c r="R411" s="714">
        <f t="shared" si="82"/>
        <v>0</v>
      </c>
      <c r="S411" s="361">
        <f t="shared" si="73"/>
        <v>0</v>
      </c>
    </row>
    <row r="412" spans="1:19">
      <c r="A412" s="159"/>
      <c r="B412" s="59"/>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0.4</v>
      </c>
      <c r="R412" s="714">
        <f t="shared" si="82"/>
        <v>0</v>
      </c>
      <c r="S412" s="361">
        <f t="shared" si="73"/>
        <v>0</v>
      </c>
    </row>
    <row r="413" spans="1:19">
      <c r="A413" s="159"/>
      <c r="B413" s="59"/>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0.4</v>
      </c>
      <c r="R413" s="714">
        <f t="shared" si="82"/>
        <v>0</v>
      </c>
      <c r="S413" s="361">
        <f t="shared" si="73"/>
        <v>0</v>
      </c>
    </row>
    <row r="414" spans="1:19">
      <c r="A414" s="159"/>
      <c r="B414" s="59"/>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0.4</v>
      </c>
      <c r="R414" s="714">
        <f t="shared" si="82"/>
        <v>0</v>
      </c>
      <c r="S414" s="361">
        <f t="shared" si="73"/>
        <v>0</v>
      </c>
    </row>
    <row r="415" spans="1:19">
      <c r="A415" s="159"/>
      <c r="B415" s="59"/>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0.4</v>
      </c>
      <c r="R415" s="714">
        <f t="shared" si="82"/>
        <v>0</v>
      </c>
      <c r="S415" s="361">
        <f t="shared" si="73"/>
        <v>0</v>
      </c>
    </row>
    <row r="416" spans="1:19">
      <c r="A416" s="159"/>
      <c r="B416" s="59"/>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0.4</v>
      </c>
      <c r="R416" s="714">
        <f t="shared" si="82"/>
        <v>0</v>
      </c>
      <c r="S416" s="361">
        <f t="shared" si="73"/>
        <v>0</v>
      </c>
    </row>
    <row r="417" spans="1:19">
      <c r="A417" s="159"/>
      <c r="B417" s="59"/>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0.4</v>
      </c>
      <c r="R417" s="714">
        <f t="shared" si="82"/>
        <v>0</v>
      </c>
      <c r="S417" s="361">
        <f t="shared" si="73"/>
        <v>0</v>
      </c>
    </row>
    <row r="418" spans="1:19">
      <c r="A418" s="159"/>
      <c r="B418" s="59"/>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0.4</v>
      </c>
      <c r="R418" s="714">
        <f t="shared" si="82"/>
        <v>0</v>
      </c>
      <c r="S418" s="361">
        <f t="shared" si="73"/>
        <v>0</v>
      </c>
    </row>
    <row r="419" spans="1:19">
      <c r="A419" s="159"/>
      <c r="B419" s="59"/>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0.4</v>
      </c>
      <c r="R419" s="714">
        <f t="shared" si="82"/>
        <v>0</v>
      </c>
      <c r="S419" s="361">
        <f t="shared" si="73"/>
        <v>0</v>
      </c>
    </row>
    <row r="420" spans="1:19">
      <c r="A420" s="159"/>
      <c r="B420" s="59"/>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0.4</v>
      </c>
      <c r="R420" s="714">
        <f t="shared" si="82"/>
        <v>0</v>
      </c>
      <c r="S420" s="361">
        <f t="shared" si="73"/>
        <v>0</v>
      </c>
    </row>
    <row r="421" spans="1:19">
      <c r="A421" s="159"/>
      <c r="B421" s="59"/>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0.4</v>
      </c>
      <c r="R421" s="714">
        <f t="shared" si="82"/>
        <v>0</v>
      </c>
      <c r="S421" s="361">
        <f t="shared" si="73"/>
        <v>0</v>
      </c>
    </row>
    <row r="422" spans="1:19">
      <c r="A422" s="159"/>
      <c r="B422" s="59"/>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0.4</v>
      </c>
      <c r="R422" s="714">
        <f t="shared" si="82"/>
        <v>0</v>
      </c>
      <c r="S422" s="361">
        <f t="shared" si="73"/>
        <v>0</v>
      </c>
    </row>
    <row r="423" spans="1:19">
      <c r="A423" s="159"/>
      <c r="B423" s="59"/>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0.4</v>
      </c>
      <c r="R423" s="714">
        <f t="shared" si="82"/>
        <v>0</v>
      </c>
      <c r="S423" s="361">
        <f t="shared" ref="S423:S467" si="83">ROUND(R423*B423/10000,0)</f>
        <v>0</v>
      </c>
    </row>
    <row r="424" spans="1:19">
      <c r="A424" s="159"/>
      <c r="B424" s="59"/>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0.4</v>
      </c>
      <c r="R424" s="714">
        <f t="shared" si="82"/>
        <v>0</v>
      </c>
      <c r="S424" s="361">
        <f t="shared" si="83"/>
        <v>0</v>
      </c>
    </row>
    <row r="425" spans="1:19">
      <c r="A425" s="159"/>
      <c r="B425" s="59"/>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0.4</v>
      </c>
      <c r="R425" s="714">
        <f t="shared" si="82"/>
        <v>0</v>
      </c>
      <c r="S425" s="361">
        <f t="shared" si="83"/>
        <v>0</v>
      </c>
    </row>
    <row r="426" spans="1:19">
      <c r="A426" s="159"/>
      <c r="B426" s="59"/>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0.4</v>
      </c>
      <c r="R426" s="714">
        <f t="shared" si="82"/>
        <v>0</v>
      </c>
      <c r="S426" s="361">
        <f t="shared" si="83"/>
        <v>0</v>
      </c>
    </row>
    <row r="427" spans="1:19">
      <c r="A427" s="159"/>
      <c r="B427" s="59"/>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0.4</v>
      </c>
      <c r="R427" s="714">
        <f t="shared" si="82"/>
        <v>0</v>
      </c>
      <c r="S427" s="361">
        <f t="shared" si="83"/>
        <v>0</v>
      </c>
    </row>
    <row r="428" spans="1:19">
      <c r="A428" s="159"/>
      <c r="B428" s="59"/>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0.4</v>
      </c>
      <c r="R428" s="714">
        <f t="shared" si="82"/>
        <v>0</v>
      </c>
      <c r="S428" s="361">
        <f t="shared" si="83"/>
        <v>0</v>
      </c>
    </row>
    <row r="429" spans="1:19">
      <c r="A429" s="159"/>
      <c r="B429" s="59"/>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0.4</v>
      </c>
      <c r="R429" s="714">
        <f t="shared" si="82"/>
        <v>0</v>
      </c>
      <c r="S429" s="361">
        <f t="shared" si="83"/>
        <v>0</v>
      </c>
    </row>
    <row r="430" spans="1:19">
      <c r="A430" s="159"/>
      <c r="B430" s="59"/>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0.4</v>
      </c>
      <c r="R430" s="714">
        <f t="shared" si="82"/>
        <v>0</v>
      </c>
      <c r="S430" s="361">
        <f t="shared" si="83"/>
        <v>0</v>
      </c>
    </row>
    <row r="431" spans="1:19">
      <c r="A431" s="159"/>
      <c r="B431" s="59"/>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0.4</v>
      </c>
      <c r="R431" s="714">
        <f t="shared" si="82"/>
        <v>0</v>
      </c>
      <c r="S431" s="361">
        <f t="shared" si="83"/>
        <v>0</v>
      </c>
    </row>
    <row r="432" spans="1:19">
      <c r="A432" s="159"/>
      <c r="B432" s="59"/>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0.4</v>
      </c>
      <c r="R432" s="714">
        <f t="shared" si="82"/>
        <v>0</v>
      </c>
      <c r="S432" s="361">
        <f t="shared" si="83"/>
        <v>0</v>
      </c>
    </row>
    <row r="433" spans="1:19">
      <c r="A433" s="159"/>
      <c r="B433" s="59"/>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0.4</v>
      </c>
      <c r="R433" s="714">
        <f t="shared" si="82"/>
        <v>0</v>
      </c>
      <c r="S433" s="361">
        <f t="shared" si="83"/>
        <v>0</v>
      </c>
    </row>
    <row r="434" spans="1:19">
      <c r="A434" s="159"/>
      <c r="B434" s="59"/>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0.4</v>
      </c>
      <c r="R434" s="714">
        <f t="shared" si="82"/>
        <v>0</v>
      </c>
      <c r="S434" s="361">
        <f t="shared" si="83"/>
        <v>0</v>
      </c>
    </row>
    <row r="435" spans="1:19">
      <c r="A435" s="159"/>
      <c r="B435" s="59"/>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0.4</v>
      </c>
      <c r="R435" s="714">
        <f t="shared" si="82"/>
        <v>0</v>
      </c>
      <c r="S435" s="361">
        <f t="shared" si="83"/>
        <v>0</v>
      </c>
    </row>
    <row r="436" spans="1:19">
      <c r="A436" s="159"/>
      <c r="B436" s="59"/>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0.4</v>
      </c>
      <c r="R436" s="714">
        <f t="shared" si="82"/>
        <v>0</v>
      </c>
      <c r="S436" s="361">
        <f t="shared" si="83"/>
        <v>0</v>
      </c>
    </row>
    <row r="437" spans="1:19">
      <c r="A437" s="159"/>
      <c r="B437" s="59"/>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0.4</v>
      </c>
      <c r="R437" s="714">
        <f t="shared" si="82"/>
        <v>0</v>
      </c>
      <c r="S437" s="361">
        <f t="shared" si="83"/>
        <v>0</v>
      </c>
    </row>
    <row r="438" spans="1:19">
      <c r="A438" s="159"/>
      <c r="B438" s="59"/>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0.4</v>
      </c>
      <c r="R438" s="714">
        <f t="shared" si="82"/>
        <v>0</v>
      </c>
      <c r="S438" s="361">
        <f t="shared" si="83"/>
        <v>0</v>
      </c>
    </row>
    <row r="439" spans="1:19">
      <c r="A439" s="159"/>
      <c r="B439" s="59"/>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0.4</v>
      </c>
      <c r="R439" s="714">
        <f t="shared" si="82"/>
        <v>0</v>
      </c>
      <c r="S439" s="361">
        <f t="shared" si="83"/>
        <v>0</v>
      </c>
    </row>
    <row r="440" spans="1:19">
      <c r="A440" s="159"/>
      <c r="B440" s="59"/>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0.4</v>
      </c>
      <c r="R440" s="714">
        <f t="shared" si="82"/>
        <v>0</v>
      </c>
      <c r="S440" s="361">
        <f t="shared" si="83"/>
        <v>0</v>
      </c>
    </row>
    <row r="441" spans="1:19">
      <c r="A441" s="159"/>
      <c r="B441" s="59"/>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0.4</v>
      </c>
      <c r="R441" s="714">
        <f t="shared" si="82"/>
        <v>0</v>
      </c>
      <c r="S441" s="361">
        <f t="shared" si="83"/>
        <v>0</v>
      </c>
    </row>
    <row r="442" spans="1:19">
      <c r="A442" s="159"/>
      <c r="B442" s="59"/>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0.4</v>
      </c>
      <c r="R442" s="714">
        <f t="shared" si="82"/>
        <v>0</v>
      </c>
      <c r="S442" s="361">
        <f t="shared" si="83"/>
        <v>0</v>
      </c>
    </row>
    <row r="443" spans="1:19">
      <c r="A443" s="159"/>
      <c r="B443" s="59"/>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0.4</v>
      </c>
      <c r="R443" s="714">
        <f t="shared" si="82"/>
        <v>0</v>
      </c>
      <c r="S443" s="361">
        <f t="shared" si="83"/>
        <v>0</v>
      </c>
    </row>
    <row r="444" spans="1:19">
      <c r="A444" s="159"/>
      <c r="B444" s="59"/>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0.4</v>
      </c>
      <c r="R444" s="714">
        <f t="shared" si="82"/>
        <v>0</v>
      </c>
      <c r="S444" s="361">
        <f t="shared" si="83"/>
        <v>0</v>
      </c>
    </row>
    <row r="445" spans="1:19">
      <c r="A445" s="159"/>
      <c r="B445" s="59"/>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0.4</v>
      </c>
      <c r="R445" s="714">
        <f t="shared" si="82"/>
        <v>0</v>
      </c>
      <c r="S445" s="361">
        <f t="shared" si="83"/>
        <v>0</v>
      </c>
    </row>
    <row r="446" spans="1:19">
      <c r="A446" s="159"/>
      <c r="B446" s="59"/>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0.4</v>
      </c>
      <c r="R446" s="714">
        <f t="shared" si="82"/>
        <v>0</v>
      </c>
      <c r="S446" s="361">
        <f t="shared" si="83"/>
        <v>0</v>
      </c>
    </row>
    <row r="447" spans="1:19">
      <c r="A447" s="159"/>
      <c r="B447" s="59"/>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0.4</v>
      </c>
      <c r="R447" s="714">
        <f t="shared" si="82"/>
        <v>0</v>
      </c>
      <c r="S447" s="361">
        <f t="shared" si="83"/>
        <v>0</v>
      </c>
    </row>
    <row r="448" spans="1:19">
      <c r="A448" s="159"/>
      <c r="B448" s="59"/>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0.4</v>
      </c>
      <c r="R448" s="714">
        <f t="shared" si="82"/>
        <v>0</v>
      </c>
      <c r="S448" s="361">
        <f t="shared" si="83"/>
        <v>0</v>
      </c>
    </row>
    <row r="449" spans="1:19">
      <c r="A449" s="159"/>
      <c r="B449" s="59"/>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0.4</v>
      </c>
      <c r="R449" s="714">
        <f t="shared" si="82"/>
        <v>0</v>
      </c>
      <c r="S449" s="361">
        <f t="shared" si="83"/>
        <v>0</v>
      </c>
    </row>
    <row r="450" spans="1:19">
      <c r="A450" s="159"/>
      <c r="B450" s="59"/>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0.4</v>
      </c>
      <c r="R450" s="714">
        <f t="shared" si="82"/>
        <v>0</v>
      </c>
      <c r="S450" s="361">
        <f t="shared" si="83"/>
        <v>0</v>
      </c>
    </row>
    <row r="451" spans="1:19">
      <c r="A451" s="159"/>
      <c r="B451" s="59"/>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0.4</v>
      </c>
      <c r="R451" s="714">
        <f t="shared" si="82"/>
        <v>0</v>
      </c>
      <c r="S451" s="361">
        <f t="shared" si="83"/>
        <v>0</v>
      </c>
    </row>
    <row r="452" spans="1:19">
      <c r="A452" s="159"/>
      <c r="B452" s="59"/>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0.4</v>
      </c>
      <c r="R452" s="714">
        <f t="shared" si="82"/>
        <v>0</v>
      </c>
      <c r="S452" s="361">
        <f t="shared" si="83"/>
        <v>0</v>
      </c>
    </row>
    <row r="453" spans="1:19">
      <c r="A453" s="159"/>
      <c r="B453" s="59"/>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0.4</v>
      </c>
      <c r="R453" s="714">
        <f t="shared" si="82"/>
        <v>0</v>
      </c>
      <c r="S453" s="361">
        <f t="shared" si="83"/>
        <v>0</v>
      </c>
    </row>
    <row r="454" spans="1:19">
      <c r="A454" s="159"/>
      <c r="B454" s="59"/>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0.4</v>
      </c>
      <c r="R454" s="714">
        <f t="shared" si="82"/>
        <v>0</v>
      </c>
      <c r="S454" s="361">
        <f t="shared" si="83"/>
        <v>0</v>
      </c>
    </row>
    <row r="455" spans="1:19">
      <c r="A455" s="159"/>
      <c r="B455" s="59"/>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0.4</v>
      </c>
      <c r="R455" s="714">
        <f t="shared" si="82"/>
        <v>0</v>
      </c>
      <c r="S455" s="361">
        <f t="shared" si="83"/>
        <v>0</v>
      </c>
    </row>
    <row r="456" spans="1:19">
      <c r="A456" s="159"/>
      <c r="B456" s="59"/>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0.4</v>
      </c>
      <c r="R456" s="714">
        <f t="shared" si="82"/>
        <v>0</v>
      </c>
      <c r="S456" s="361">
        <f t="shared" si="83"/>
        <v>0</v>
      </c>
    </row>
    <row r="457" spans="1:19">
      <c r="A457" s="159"/>
      <c r="B457" s="59"/>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0.4</v>
      </c>
      <c r="R457" s="714">
        <f t="shared" si="82"/>
        <v>0</v>
      </c>
      <c r="S457" s="361">
        <f t="shared" si="83"/>
        <v>0</v>
      </c>
    </row>
    <row r="458" spans="1:19">
      <c r="A458" s="159"/>
      <c r="B458" s="59"/>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0.4</v>
      </c>
      <c r="R458" s="714">
        <f t="shared" si="82"/>
        <v>0</v>
      </c>
      <c r="S458" s="361">
        <f t="shared" si="83"/>
        <v>0</v>
      </c>
    </row>
    <row r="459" spans="1:19">
      <c r="A459" s="159"/>
      <c r="B459" s="59"/>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0.4</v>
      </c>
      <c r="R459" s="714">
        <f t="shared" si="82"/>
        <v>0</v>
      </c>
      <c r="S459" s="361">
        <f t="shared" si="83"/>
        <v>0</v>
      </c>
    </row>
    <row r="460" spans="1:19">
      <c r="A460" s="159"/>
      <c r="B460" s="59"/>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0.4</v>
      </c>
      <c r="R460" s="714">
        <f t="shared" si="82"/>
        <v>0</v>
      </c>
      <c r="S460" s="361">
        <f t="shared" si="83"/>
        <v>0</v>
      </c>
    </row>
    <row r="461" spans="1:19">
      <c r="A461" s="159"/>
      <c r="B461" s="59"/>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0.4</v>
      </c>
      <c r="R461" s="714">
        <f t="shared" si="82"/>
        <v>0</v>
      </c>
      <c r="S461" s="361">
        <f t="shared" si="83"/>
        <v>0</v>
      </c>
    </row>
    <row r="462" spans="1:19">
      <c r="A462" s="159"/>
      <c r="B462" s="59"/>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0.4</v>
      </c>
      <c r="R462" s="714">
        <f t="shared" si="82"/>
        <v>0</v>
      </c>
      <c r="S462" s="361">
        <f t="shared" si="83"/>
        <v>0</v>
      </c>
    </row>
    <row r="463" spans="1:19">
      <c r="A463" s="159"/>
      <c r="B463" s="59"/>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0.4</v>
      </c>
      <c r="R463" s="714">
        <f t="shared" si="82"/>
        <v>0</v>
      </c>
      <c r="S463" s="361">
        <f t="shared" si="83"/>
        <v>0</v>
      </c>
    </row>
    <row r="464" spans="1:19">
      <c r="A464" s="159"/>
      <c r="B464" s="59"/>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0.4</v>
      </c>
      <c r="R464" s="714">
        <f t="shared" si="82"/>
        <v>0</v>
      </c>
      <c r="S464" s="361">
        <f t="shared" si="83"/>
        <v>0</v>
      </c>
    </row>
    <row r="465" spans="1:19">
      <c r="A465" s="159"/>
      <c r="B465" s="59"/>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0.4</v>
      </c>
      <c r="R465" s="714">
        <f t="shared" si="82"/>
        <v>0</v>
      </c>
      <c r="S465" s="361">
        <f t="shared" si="83"/>
        <v>0</v>
      </c>
    </row>
    <row r="466" spans="1:19">
      <c r="A466" s="159"/>
      <c r="B466" s="59"/>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0.4</v>
      </c>
      <c r="R466" s="714">
        <f t="shared" si="82"/>
        <v>0</v>
      </c>
      <c r="S466" s="361">
        <f t="shared" si="83"/>
        <v>0</v>
      </c>
    </row>
    <row r="467" spans="1:19">
      <c r="A467" s="159"/>
      <c r="B467" s="59"/>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0.4</v>
      </c>
      <c r="R467" s="714">
        <f t="shared" si="82"/>
        <v>0</v>
      </c>
      <c r="S467" s="361">
        <f t="shared" si="83"/>
        <v>0</v>
      </c>
    </row>
    <row r="468" spans="1:19">
      <c r="A468" s="159"/>
      <c r="B468" s="59"/>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0.4</v>
      </c>
      <c r="R468" s="714">
        <f t="shared" si="82"/>
        <v>0</v>
      </c>
      <c r="S468" s="361">
        <f t="shared" ref="S468:S497" si="84">ROUND(R468*B468/10000,0)</f>
        <v>0</v>
      </c>
    </row>
    <row r="469" spans="1:19">
      <c r="A469" s="159"/>
      <c r="B469" s="59"/>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0.4</v>
      </c>
      <c r="R469" s="714">
        <f t="shared" si="82"/>
        <v>0</v>
      </c>
      <c r="S469" s="361">
        <f t="shared" si="84"/>
        <v>0</v>
      </c>
    </row>
    <row r="470" spans="1:19">
      <c r="A470" s="159"/>
      <c r="B470" s="59"/>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0.4</v>
      </c>
      <c r="R470" s="714">
        <f t="shared" si="82"/>
        <v>0</v>
      </c>
      <c r="S470" s="361">
        <f t="shared" si="84"/>
        <v>0</v>
      </c>
    </row>
    <row r="471" spans="1:19">
      <c r="A471" s="159"/>
      <c r="B471" s="59"/>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0.4</v>
      </c>
      <c r="R471" s="714">
        <f t="shared" si="82"/>
        <v>0</v>
      </c>
      <c r="S471" s="361">
        <f t="shared" si="84"/>
        <v>0</v>
      </c>
    </row>
    <row r="472" spans="1:19">
      <c r="A472" s="159"/>
      <c r="B472" s="59"/>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0.4</v>
      </c>
      <c r="R472" s="714">
        <f t="shared" si="82"/>
        <v>0</v>
      </c>
      <c r="S472" s="361">
        <f t="shared" si="84"/>
        <v>0</v>
      </c>
    </row>
    <row r="473" spans="1:19">
      <c r="A473" s="159"/>
      <c r="B473" s="59"/>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0.4</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0.4</v>
      </c>
      <c r="R474" s="714">
        <f t="shared" ref="R474:R524" si="93">IF(B474="",0,ROUND($R$24*C474*E474*G474*I474*K474*M474*O474*Q474,0))</f>
        <v>0</v>
      </c>
      <c r="S474" s="361">
        <f t="shared" si="84"/>
        <v>0</v>
      </c>
    </row>
    <row r="475" spans="1:19">
      <c r="A475" s="159"/>
      <c r="B475" s="59"/>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0.4</v>
      </c>
      <c r="R475" s="714">
        <f t="shared" si="93"/>
        <v>0</v>
      </c>
      <c r="S475" s="361">
        <f t="shared" si="84"/>
        <v>0</v>
      </c>
    </row>
    <row r="476" spans="1:19">
      <c r="A476" s="159"/>
      <c r="B476" s="59"/>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0.4</v>
      </c>
      <c r="R476" s="714">
        <f t="shared" si="93"/>
        <v>0</v>
      </c>
      <c r="S476" s="361">
        <f t="shared" si="84"/>
        <v>0</v>
      </c>
    </row>
    <row r="477" spans="1:19">
      <c r="A477" s="159"/>
      <c r="B477" s="59"/>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0.4</v>
      </c>
      <c r="R477" s="714">
        <f t="shared" si="93"/>
        <v>0</v>
      </c>
      <c r="S477" s="361">
        <f t="shared" si="84"/>
        <v>0</v>
      </c>
    </row>
    <row r="478" spans="1:19">
      <c r="A478" s="159"/>
      <c r="B478" s="59"/>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0.4</v>
      </c>
      <c r="R478" s="714">
        <f t="shared" si="93"/>
        <v>0</v>
      </c>
      <c r="S478" s="361">
        <f t="shared" si="84"/>
        <v>0</v>
      </c>
    </row>
    <row r="479" spans="1:19">
      <c r="A479" s="159"/>
      <c r="B479" s="59"/>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0.4</v>
      </c>
      <c r="R479" s="714">
        <f t="shared" si="93"/>
        <v>0</v>
      </c>
      <c r="S479" s="361">
        <f t="shared" si="84"/>
        <v>0</v>
      </c>
    </row>
    <row r="480" spans="1:19">
      <c r="A480" s="159"/>
      <c r="B480" s="59"/>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0.4</v>
      </c>
      <c r="R480" s="714">
        <f t="shared" si="93"/>
        <v>0</v>
      </c>
      <c r="S480" s="361">
        <f t="shared" si="84"/>
        <v>0</v>
      </c>
    </row>
    <row r="481" spans="1:19">
      <c r="A481" s="159"/>
      <c r="B481" s="59"/>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0.4</v>
      </c>
      <c r="R481" s="714">
        <f t="shared" si="93"/>
        <v>0</v>
      </c>
      <c r="S481" s="361">
        <f t="shared" si="84"/>
        <v>0</v>
      </c>
    </row>
    <row r="482" spans="1:19">
      <c r="A482" s="159"/>
      <c r="B482" s="59"/>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0.4</v>
      </c>
      <c r="R482" s="714">
        <f t="shared" si="93"/>
        <v>0</v>
      </c>
      <c r="S482" s="361">
        <f t="shared" si="84"/>
        <v>0</v>
      </c>
    </row>
    <row r="483" spans="1:19">
      <c r="A483" s="159"/>
      <c r="B483" s="59"/>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0.4</v>
      </c>
      <c r="R483" s="714">
        <f t="shared" si="93"/>
        <v>0</v>
      </c>
      <c r="S483" s="361">
        <f t="shared" si="84"/>
        <v>0</v>
      </c>
    </row>
    <row r="484" spans="1:19">
      <c r="A484" s="159"/>
      <c r="B484" s="59"/>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0.4</v>
      </c>
      <c r="R484" s="714">
        <f t="shared" si="93"/>
        <v>0</v>
      </c>
      <c r="S484" s="361">
        <f t="shared" si="84"/>
        <v>0</v>
      </c>
    </row>
    <row r="485" spans="1:19">
      <c r="A485" s="159"/>
      <c r="B485" s="59"/>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0.4</v>
      </c>
      <c r="R485" s="714">
        <f t="shared" si="93"/>
        <v>0</v>
      </c>
      <c r="S485" s="361">
        <f t="shared" si="84"/>
        <v>0</v>
      </c>
    </row>
    <row r="486" spans="1:19">
      <c r="A486" s="159"/>
      <c r="B486" s="59"/>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0.4</v>
      </c>
      <c r="R486" s="714">
        <f t="shared" si="93"/>
        <v>0</v>
      </c>
      <c r="S486" s="361">
        <f t="shared" si="84"/>
        <v>0</v>
      </c>
    </row>
    <row r="487" spans="1:19">
      <c r="A487" s="159"/>
      <c r="B487" s="59"/>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0.4</v>
      </c>
      <c r="R487" s="714">
        <f t="shared" si="93"/>
        <v>0</v>
      </c>
      <c r="S487" s="361">
        <f t="shared" si="84"/>
        <v>0</v>
      </c>
    </row>
    <row r="488" spans="1:19">
      <c r="A488" s="159"/>
      <c r="B488" s="59"/>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0.4</v>
      </c>
      <c r="R488" s="714">
        <f t="shared" si="93"/>
        <v>0</v>
      </c>
      <c r="S488" s="361">
        <f t="shared" si="84"/>
        <v>0</v>
      </c>
    </row>
    <row r="489" spans="1:19">
      <c r="A489" s="159"/>
      <c r="B489" s="59"/>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0.4</v>
      </c>
      <c r="R489" s="714">
        <f t="shared" si="93"/>
        <v>0</v>
      </c>
      <c r="S489" s="361">
        <f t="shared" si="84"/>
        <v>0</v>
      </c>
    </row>
    <row r="490" spans="1:19">
      <c r="A490" s="159"/>
      <c r="B490" s="59"/>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0.4</v>
      </c>
      <c r="R490" s="714">
        <f t="shared" si="93"/>
        <v>0</v>
      </c>
      <c r="S490" s="361">
        <f t="shared" si="84"/>
        <v>0</v>
      </c>
    </row>
    <row r="491" spans="1:19">
      <c r="A491" s="159"/>
      <c r="B491" s="59"/>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0.4</v>
      </c>
      <c r="R491" s="714">
        <f t="shared" si="93"/>
        <v>0</v>
      </c>
      <c r="S491" s="361">
        <f t="shared" si="84"/>
        <v>0</v>
      </c>
    </row>
    <row r="492" spans="1:19">
      <c r="A492" s="159"/>
      <c r="B492" s="59"/>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0.4</v>
      </c>
      <c r="R492" s="714">
        <f t="shared" si="93"/>
        <v>0</v>
      </c>
      <c r="S492" s="361">
        <f t="shared" si="84"/>
        <v>0</v>
      </c>
    </row>
    <row r="493" spans="1:19">
      <c r="A493" s="159"/>
      <c r="B493" s="59"/>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0.4</v>
      </c>
      <c r="R493" s="714">
        <f t="shared" si="93"/>
        <v>0</v>
      </c>
      <c r="S493" s="361">
        <f t="shared" si="84"/>
        <v>0</v>
      </c>
    </row>
    <row r="494" spans="1:19">
      <c r="A494" s="159"/>
      <c r="B494" s="59"/>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0.4</v>
      </c>
      <c r="R494" s="714">
        <f t="shared" si="93"/>
        <v>0</v>
      </c>
      <c r="S494" s="361">
        <f t="shared" si="84"/>
        <v>0</v>
      </c>
    </row>
    <row r="495" spans="1:19">
      <c r="A495" s="159"/>
      <c r="B495" s="59"/>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0.4</v>
      </c>
      <c r="R495" s="714">
        <f t="shared" si="93"/>
        <v>0</v>
      </c>
      <c r="S495" s="361">
        <f t="shared" si="84"/>
        <v>0</v>
      </c>
    </row>
    <row r="496" spans="1:19">
      <c r="A496" s="159"/>
      <c r="B496" s="59"/>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0.4</v>
      </c>
      <c r="R496" s="714">
        <f t="shared" si="93"/>
        <v>0</v>
      </c>
      <c r="S496" s="361">
        <f t="shared" si="84"/>
        <v>0</v>
      </c>
    </row>
    <row r="497" spans="1:19">
      <c r="A497" s="159"/>
      <c r="B497" s="59"/>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0.4</v>
      </c>
      <c r="R497" s="714">
        <f t="shared" si="93"/>
        <v>0</v>
      </c>
      <c r="S497" s="361">
        <f t="shared" si="84"/>
        <v>0</v>
      </c>
    </row>
    <row r="498" spans="1:19">
      <c r="A498" s="159"/>
      <c r="B498" s="59"/>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0.4</v>
      </c>
      <c r="R498" s="714">
        <f t="shared" si="93"/>
        <v>0</v>
      </c>
      <c r="S498" s="361">
        <f t="shared" ref="S498:S524" si="94">ROUND(R498*B498/10000,0)</f>
        <v>0</v>
      </c>
    </row>
    <row r="499" spans="1:19">
      <c r="A499" s="159"/>
      <c r="B499" s="59"/>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0.4</v>
      </c>
      <c r="R499" s="714">
        <f t="shared" si="93"/>
        <v>0</v>
      </c>
      <c r="S499" s="361">
        <f t="shared" si="94"/>
        <v>0</v>
      </c>
    </row>
    <row r="500" spans="1:19">
      <c r="A500" s="159"/>
      <c r="B500" s="59"/>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0.4</v>
      </c>
      <c r="R500" s="714">
        <f t="shared" si="93"/>
        <v>0</v>
      </c>
      <c r="S500" s="361">
        <f t="shared" si="94"/>
        <v>0</v>
      </c>
    </row>
    <row r="501" spans="1:19">
      <c r="A501" s="159"/>
      <c r="B501" s="59"/>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0.4</v>
      </c>
      <c r="R501" s="714">
        <f t="shared" si="93"/>
        <v>0</v>
      </c>
      <c r="S501" s="361">
        <f t="shared" si="94"/>
        <v>0</v>
      </c>
    </row>
    <row r="502" spans="1:19">
      <c r="A502" s="159"/>
      <c r="B502" s="59"/>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0.4</v>
      </c>
      <c r="R502" s="714">
        <f t="shared" si="93"/>
        <v>0</v>
      </c>
      <c r="S502" s="361">
        <f t="shared" si="94"/>
        <v>0</v>
      </c>
    </row>
    <row r="503" spans="1:19">
      <c r="A503" s="159"/>
      <c r="B503" s="59"/>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0.4</v>
      </c>
      <c r="R503" s="714">
        <f t="shared" si="93"/>
        <v>0</v>
      </c>
      <c r="S503" s="361">
        <f t="shared" si="94"/>
        <v>0</v>
      </c>
    </row>
    <row r="504" spans="1:19">
      <c r="A504" s="159"/>
      <c r="B504" s="59"/>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0.4</v>
      </c>
      <c r="R504" s="714">
        <f t="shared" si="93"/>
        <v>0</v>
      </c>
      <c r="S504" s="361">
        <f t="shared" si="94"/>
        <v>0</v>
      </c>
    </row>
    <row r="505" spans="1:19">
      <c r="A505" s="159"/>
      <c r="B505" s="59"/>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0.4</v>
      </c>
      <c r="R505" s="714">
        <f t="shared" si="93"/>
        <v>0</v>
      </c>
      <c r="S505" s="361">
        <f t="shared" si="94"/>
        <v>0</v>
      </c>
    </row>
    <row r="506" spans="1:19">
      <c r="A506" s="159"/>
      <c r="B506" s="59"/>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0.4</v>
      </c>
      <c r="R506" s="714">
        <f t="shared" si="93"/>
        <v>0</v>
      </c>
      <c r="S506" s="361">
        <f t="shared" si="94"/>
        <v>0</v>
      </c>
    </row>
    <row r="507" spans="1:19">
      <c r="A507" s="159"/>
      <c r="B507" s="59"/>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0.4</v>
      </c>
      <c r="R507" s="714">
        <f t="shared" si="93"/>
        <v>0</v>
      </c>
      <c r="S507" s="361">
        <f t="shared" si="94"/>
        <v>0</v>
      </c>
    </row>
    <row r="508" spans="1:19">
      <c r="A508" s="159"/>
      <c r="B508" s="59"/>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0.4</v>
      </c>
      <c r="R508" s="714">
        <f t="shared" si="93"/>
        <v>0</v>
      </c>
      <c r="S508" s="361">
        <f t="shared" si="94"/>
        <v>0</v>
      </c>
    </row>
    <row r="509" spans="1:19">
      <c r="A509" s="159"/>
      <c r="B509" s="59"/>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0.4</v>
      </c>
      <c r="R509" s="714">
        <f t="shared" si="93"/>
        <v>0</v>
      </c>
      <c r="S509" s="361">
        <f t="shared" si="94"/>
        <v>0</v>
      </c>
    </row>
    <row r="510" spans="1:19">
      <c r="A510" s="159"/>
      <c r="B510" s="59"/>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0.4</v>
      </c>
      <c r="R510" s="714">
        <f t="shared" si="93"/>
        <v>0</v>
      </c>
      <c r="S510" s="361">
        <f t="shared" si="94"/>
        <v>0</v>
      </c>
    </row>
    <row r="511" spans="1:19">
      <c r="A511" s="159"/>
      <c r="B511" s="59"/>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0.4</v>
      </c>
      <c r="R511" s="714">
        <f t="shared" si="93"/>
        <v>0</v>
      </c>
      <c r="S511" s="361">
        <f t="shared" si="94"/>
        <v>0</v>
      </c>
    </row>
    <row r="512" spans="1:19">
      <c r="A512" s="159"/>
      <c r="B512" s="59"/>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0.4</v>
      </c>
      <c r="R512" s="714">
        <f t="shared" si="93"/>
        <v>0</v>
      </c>
      <c r="S512" s="361">
        <f t="shared" si="94"/>
        <v>0</v>
      </c>
    </row>
    <row r="513" spans="1:19">
      <c r="A513" s="159"/>
      <c r="B513" s="59"/>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0.4</v>
      </c>
      <c r="R513" s="714">
        <f t="shared" si="93"/>
        <v>0</v>
      </c>
      <c r="S513" s="361">
        <f t="shared" si="94"/>
        <v>0</v>
      </c>
    </row>
    <row r="514" spans="1:19">
      <c r="A514" s="159"/>
      <c r="B514" s="59"/>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0.4</v>
      </c>
      <c r="R514" s="714">
        <f t="shared" si="93"/>
        <v>0</v>
      </c>
      <c r="S514" s="361">
        <f t="shared" si="94"/>
        <v>0</v>
      </c>
    </row>
    <row r="515" spans="1:19">
      <c r="A515" s="159"/>
      <c r="B515" s="59"/>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0.4</v>
      </c>
      <c r="R515" s="714">
        <f t="shared" si="93"/>
        <v>0</v>
      </c>
      <c r="S515" s="361">
        <f t="shared" si="94"/>
        <v>0</v>
      </c>
    </row>
    <row r="516" spans="1:19">
      <c r="A516" s="159"/>
      <c r="B516" s="59"/>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0.4</v>
      </c>
      <c r="R516" s="714">
        <f t="shared" si="93"/>
        <v>0</v>
      </c>
      <c r="S516" s="361">
        <f t="shared" si="94"/>
        <v>0</v>
      </c>
    </row>
    <row r="517" spans="1:19">
      <c r="A517" s="159"/>
      <c r="B517" s="59"/>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0.4</v>
      </c>
      <c r="R517" s="714">
        <f t="shared" si="93"/>
        <v>0</v>
      </c>
      <c r="S517" s="361">
        <f t="shared" si="94"/>
        <v>0</v>
      </c>
    </row>
    <row r="518" spans="1:19">
      <c r="A518" s="159"/>
      <c r="B518" s="59"/>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0.4</v>
      </c>
      <c r="R518" s="714">
        <f t="shared" si="93"/>
        <v>0</v>
      </c>
      <c r="S518" s="361">
        <f t="shared" si="94"/>
        <v>0</v>
      </c>
    </row>
    <row r="519" spans="1:19">
      <c r="A519" s="159"/>
      <c r="B519" s="59"/>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0.4</v>
      </c>
      <c r="R519" s="714">
        <f t="shared" si="93"/>
        <v>0</v>
      </c>
      <c r="S519" s="361">
        <f t="shared" si="94"/>
        <v>0</v>
      </c>
    </row>
    <row r="520" spans="1:19">
      <c r="A520" s="159"/>
      <c r="B520" s="59"/>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0.4</v>
      </c>
      <c r="R520" s="714">
        <f t="shared" si="93"/>
        <v>0</v>
      </c>
      <c r="S520" s="361">
        <f t="shared" si="94"/>
        <v>0</v>
      </c>
    </row>
    <row r="521" spans="1:19">
      <c r="A521" s="159"/>
      <c r="B521" s="59"/>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0.4</v>
      </c>
      <c r="R521" s="714">
        <f t="shared" si="93"/>
        <v>0</v>
      </c>
      <c r="S521" s="361">
        <f t="shared" si="94"/>
        <v>0</v>
      </c>
    </row>
    <row r="522" spans="1:19">
      <c r="A522" s="159"/>
      <c r="B522" s="59"/>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0.4</v>
      </c>
      <c r="R522" s="714">
        <f t="shared" si="93"/>
        <v>0</v>
      </c>
      <c r="S522" s="361">
        <f t="shared" si="94"/>
        <v>0</v>
      </c>
    </row>
    <row r="523" spans="1:19">
      <c r="A523" s="159"/>
      <c r="B523" s="59"/>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0.4</v>
      </c>
      <c r="R523" s="714">
        <f t="shared" si="93"/>
        <v>0</v>
      </c>
      <c r="S523" s="361">
        <f t="shared" si="94"/>
        <v>0</v>
      </c>
    </row>
    <row r="524" spans="1:19">
      <c r="A524" s="159"/>
      <c r="B524" s="59"/>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0.4</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33511</v>
      </c>
      <c r="C2" s="2" t="s">
        <v>133</v>
      </c>
      <c r="D2" s="243"/>
      <c r="E2" s="243"/>
      <c r="F2" s="243"/>
      <c r="G2" s="243"/>
    </row>
    <row r="3" spans="1:7" s="244" customFormat="1" ht="18" customHeight="1" thickBot="1">
      <c r="A3" s="247" t="s">
        <v>85</v>
      </c>
      <c r="B3" s="248">
        <f ca="1">ROUND(B2*10000/'数据-汇总表'!E3,0)</f>
        <v>153118</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44</v>
      </c>
      <c r="D10" s="1033">
        <f>'数据-汇总表'!E6</f>
        <v>2188.58</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44</v>
      </c>
      <c r="D19" s="1037">
        <f>'数据-汇总表'!E3</f>
        <v>2188.58</v>
      </c>
      <c r="E19" s="255">
        <f>'数据-取费表'!B31</f>
        <v>200</v>
      </c>
      <c r="F19" s="275"/>
      <c r="G19" s="1" t="s">
        <v>1073</v>
      </c>
    </row>
    <row r="20" spans="1:7" s="258" customFormat="1" ht="13.5" customHeight="1">
      <c r="A20" s="949" t="s">
        <v>1056</v>
      </c>
      <c r="B20" s="254" t="s">
        <v>104</v>
      </c>
      <c r="C20" s="276">
        <f>ROUND((C5+C19)*F20,0)</f>
        <v>620</v>
      </c>
      <c r="D20" s="276"/>
      <c r="E20" s="276"/>
      <c r="F20" s="277">
        <f>'数据-取费表'!B37</f>
        <v>0.03</v>
      </c>
      <c r="G20" s="1290" t="s">
        <v>1067</v>
      </c>
    </row>
    <row r="21" spans="1:7" s="258" customFormat="1" ht="13.5" customHeight="1">
      <c r="A21" s="949" t="s">
        <v>1058</v>
      </c>
      <c r="B21" s="254" t="s">
        <v>105</v>
      </c>
      <c r="C21" s="279">
        <f>F21</f>
        <v>0.03</v>
      </c>
      <c r="D21" s="280" t="s">
        <v>126</v>
      </c>
      <c r="E21" s="276"/>
      <c r="F21" s="277">
        <f>'数据-取费表'!B38</f>
        <v>0.03</v>
      </c>
      <c r="G21" s="278" t="s">
        <v>106</v>
      </c>
    </row>
    <row r="22" spans="1:7" s="258" customFormat="1" ht="13.5" customHeight="1">
      <c r="A22" s="949" t="s">
        <v>785</v>
      </c>
      <c r="B22" s="254" t="s">
        <v>107</v>
      </c>
      <c r="C22" s="1355">
        <f ca="1">ROUND(SUM(C23:C25),0)</f>
        <v>2037</v>
      </c>
      <c r="D22" s="279">
        <f ca="1">C26</f>
        <v>1.4E-3</v>
      </c>
      <c r="E22" s="280" t="s">
        <v>126</v>
      </c>
      <c r="F22" s="281">
        <f ca="1">'数据-取费表'!B40</f>
        <v>4.7500000000000001E-2</v>
      </c>
      <c r="G22" s="1290" t="str">
        <f>IF('数据-取费表'!B22&lt;=1,"单利计息","复利计息")</f>
        <v>复利计息</v>
      </c>
    </row>
    <row r="23" spans="1:7" s="258" customFormat="1" ht="13.5" customHeight="1">
      <c r="A23" s="952" t="s">
        <v>793</v>
      </c>
      <c r="B23" s="259" t="s">
        <v>1060</v>
      </c>
      <c r="C23" s="1356">
        <f ca="1">ROUND(IF('数据-取费表'!B22&lt;=1,C5*F22*'数据-取费表'!B23,C5*(POWER((1+F22),'数据-取费表'!B23)-1)),0)</f>
        <v>2004</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4</v>
      </c>
      <c r="D24" s="282"/>
      <c r="E24" s="282"/>
      <c r="F24" s="283"/>
      <c r="G24" s="284" t="s">
        <v>109</v>
      </c>
    </row>
    <row r="25" spans="1:7" s="258" customFormat="1" ht="24">
      <c r="A25" s="952" t="s">
        <v>792</v>
      </c>
      <c r="B25" s="259" t="s">
        <v>1057</v>
      </c>
      <c r="C25" s="1356">
        <f ca="1">ROUND(IF('数据-取费表'!B22&lt;=1,C20*F22*'数据-取费表'!B23/2,C20*(POWER((1+F22),'数据-取费表'!B23/2)-1)),0)</f>
        <v>29</v>
      </c>
      <c r="D25" s="282"/>
      <c r="E25" s="285"/>
      <c r="F25" s="283"/>
      <c r="G25" s="286" t="s">
        <v>110</v>
      </c>
    </row>
    <row r="26" spans="1:7" s="258" customFormat="1">
      <c r="A26" s="952" t="s">
        <v>794</v>
      </c>
      <c r="B26" s="259" t="s">
        <v>1059</v>
      </c>
      <c r="C26" s="282">
        <f ca="1">ROUND(IF('数据-取费表'!B22&lt;=1,F21*F22*'数据-取费表'!B23/2,F21*(POWER((1+F22),'数据-取费表'!B23/2)-1)),4)</f>
        <v>1.4E-3</v>
      </c>
      <c r="D26" s="282"/>
      <c r="E26" s="285"/>
      <c r="F26" s="283"/>
      <c r="G26" s="287"/>
    </row>
    <row r="27" spans="1:7" s="258" customFormat="1" ht="24.75">
      <c r="A27" s="949" t="s">
        <v>786</v>
      </c>
      <c r="B27" s="288" t="s">
        <v>112</v>
      </c>
      <c r="C27" s="289">
        <f>C28</f>
        <v>6382</v>
      </c>
      <c r="D27" s="279">
        <f>C29</f>
        <v>8.9999999999999993E-3</v>
      </c>
      <c r="E27" s="280" t="s">
        <v>126</v>
      </c>
      <c r="F27" s="290">
        <f>'数据-取费表'!Q16</f>
        <v>0.3</v>
      </c>
      <c r="G27" s="291" t="s">
        <v>1068</v>
      </c>
    </row>
    <row r="28" spans="1:7" s="258" customFormat="1" ht="13.5" customHeight="1">
      <c r="A28" s="952" t="s">
        <v>793</v>
      </c>
      <c r="B28" s="292" t="s">
        <v>1061</v>
      </c>
      <c r="C28" s="293">
        <f>ROUND((C5+C19+C20)*F27*'数据-取费表'!B21/'数据-取费表'!B20,0)</f>
        <v>6382</v>
      </c>
      <c r="D28" s="279"/>
      <c r="E28" s="280"/>
      <c r="F28" s="290"/>
      <c r="G28" s="291"/>
    </row>
    <row r="29" spans="1:7" s="258" customFormat="1" ht="13.5" customHeight="1">
      <c r="A29" s="952" t="s">
        <v>791</v>
      </c>
      <c r="B29" s="292" t="s">
        <v>1062</v>
      </c>
      <c r="C29" s="282">
        <f>ROUND(C21*F27*'数据-取费表'!B21/'数据-取费表'!B20,4)</f>
        <v>8.9999999999999993E-3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32764</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697</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613</v>
      </c>
      <c r="D34" s="261"/>
      <c r="E34" s="264"/>
      <c r="F34" s="301">
        <f>IF('数据-取费表'!B24=0,1,'数据-取费表'!N16)</f>
        <v>1</v>
      </c>
      <c r="G34" s="263" t="s">
        <v>116</v>
      </c>
    </row>
    <row r="35" spans="1:7" ht="13.5" customHeight="1">
      <c r="A35" s="952" t="s">
        <v>795</v>
      </c>
      <c r="B35" s="259" t="s">
        <v>60</v>
      </c>
      <c r="C35" s="264">
        <f>ROUND(C34*F35,0)</f>
        <v>31</v>
      </c>
      <c r="D35" s="264"/>
      <c r="E35" s="264"/>
      <c r="F35" s="303">
        <f>'数据-取费表'!B33</f>
        <v>0.05</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2" t="s">
        <v>797</v>
      </c>
      <c r="B37" s="259" t="s">
        <v>118</v>
      </c>
      <c r="C37" s="293">
        <f>ROUND(E37*D37*F34/10000,0)</f>
        <v>44</v>
      </c>
      <c r="D37" s="261">
        <f>'数据-汇总表'!E3</f>
        <v>2188.58</v>
      </c>
      <c r="E37" s="293">
        <f>'数据-取费表'!B35</f>
        <v>200</v>
      </c>
      <c r="F37" s="303"/>
      <c r="G37" s="305" t="s">
        <v>119</v>
      </c>
    </row>
    <row r="38" spans="1:7" ht="13.5" customHeight="1">
      <c r="A38" s="952" t="s">
        <v>798</v>
      </c>
      <c r="B38" s="259" t="s">
        <v>63</v>
      </c>
      <c r="C38" s="264">
        <f>ROUND(C34*F38,0)</f>
        <v>9</v>
      </c>
      <c r="D38" s="264"/>
      <c r="E38" s="264"/>
      <c r="F38" s="303">
        <f>'数据-取费表'!B36</f>
        <v>1.4999999999999999E-2</v>
      </c>
      <c r="G38" s="263" t="s">
        <v>117</v>
      </c>
    </row>
    <row r="39" spans="1:7" s="258" customFormat="1" ht="13.5" customHeight="1">
      <c r="A39" s="949" t="s">
        <v>782</v>
      </c>
      <c r="B39" s="254" t="s">
        <v>104</v>
      </c>
      <c r="C39" s="276">
        <f>ROUND(C33*F20,0)</f>
        <v>21</v>
      </c>
      <c r="D39" s="276"/>
      <c r="E39" s="276"/>
      <c r="F39" s="277"/>
      <c r="G39" s="1290" t="s">
        <v>1070</v>
      </c>
    </row>
    <row r="40" spans="1:7" s="258" customFormat="1" ht="13.5" customHeight="1">
      <c r="A40" s="949" t="s">
        <v>783</v>
      </c>
      <c r="B40" s="254" t="s">
        <v>105</v>
      </c>
      <c r="C40" s="306">
        <f>F21</f>
        <v>0.03</v>
      </c>
      <c r="D40" s="280" t="s">
        <v>129</v>
      </c>
      <c r="E40" s="276"/>
      <c r="F40" s="277"/>
      <c r="G40" s="278" t="s">
        <v>120</v>
      </c>
    </row>
    <row r="41" spans="1:7" s="258" customFormat="1" ht="13.5" customHeight="1">
      <c r="A41" s="949" t="s">
        <v>784</v>
      </c>
      <c r="B41" s="254" t="s">
        <v>107</v>
      </c>
      <c r="C41" s="276">
        <f ca="1">ROUND(SUM(C42:C43),0)</f>
        <v>34</v>
      </c>
      <c r="D41" s="279">
        <f ca="1">C44</f>
        <v>1.4E-3</v>
      </c>
      <c r="E41" s="280" t="s">
        <v>129</v>
      </c>
      <c r="F41" s="281"/>
      <c r="G41" s="1290" t="str">
        <f>IF('数据-取费表'!B22&lt;=1,"单利计息","复利计息")</f>
        <v>复利计息</v>
      </c>
    </row>
    <row r="42" spans="1:7" ht="13.5" customHeight="1">
      <c r="A42" s="952" t="s">
        <v>793</v>
      </c>
      <c r="B42" s="259" t="s">
        <v>1060</v>
      </c>
      <c r="C42" s="282">
        <f ca="1">ROUND(IF('数据-取费表'!B22&lt;=1,C33*F22*'数据-取费表'!B21/2,C33*(POWER((1+F22),'数据-取费表'!B21/2)-1)),0)</f>
        <v>33</v>
      </c>
      <c r="D42" s="282"/>
      <c r="E42" s="282"/>
      <c r="F42" s="283"/>
      <c r="G42" s="3227" t="s">
        <v>121</v>
      </c>
    </row>
    <row r="43" spans="1:7" ht="13.5" customHeight="1">
      <c r="A43" s="952" t="s">
        <v>791</v>
      </c>
      <c r="B43" s="259" t="s">
        <v>1063</v>
      </c>
      <c r="C43" s="282">
        <f ca="1">ROUND(IF('数据-取费表'!B22&lt;=1,C39*F22*'数据-取费表'!B21/2,C39*(POWER((1+F22),'数据-取费表'!B21/2)-1)),0)</f>
        <v>1</v>
      </c>
      <c r="D43" s="282"/>
      <c r="E43" s="282"/>
      <c r="F43" s="283"/>
      <c r="G43" s="3228"/>
    </row>
    <row r="44" spans="1:7" ht="13.5" customHeight="1">
      <c r="A44" s="952" t="s">
        <v>792</v>
      </c>
      <c r="B44" s="259" t="s">
        <v>1065</v>
      </c>
      <c r="C44" s="282">
        <f ca="1">ROUND(IF('数据-取费表'!B22&lt;=1,C40*F22*'数据-取费表'!B21/2,C40*(POWER((1+F22),'数据-取费表'!B21/2)-1)),4)</f>
        <v>1.4E-3</v>
      </c>
      <c r="D44" s="282"/>
      <c r="E44" s="282"/>
      <c r="F44" s="283"/>
      <c r="G44" s="3229"/>
    </row>
    <row r="45" spans="1:7" s="258" customFormat="1" ht="13.5" customHeight="1">
      <c r="A45" s="949" t="s">
        <v>785</v>
      </c>
      <c r="B45" s="288" t="s">
        <v>112</v>
      </c>
      <c r="C45" s="289">
        <f>C46</f>
        <v>215</v>
      </c>
      <c r="D45" s="279">
        <f>C47</f>
        <v>8.9999999999999993E-3</v>
      </c>
      <c r="E45" s="280" t="s">
        <v>129</v>
      </c>
      <c r="F45" s="290"/>
      <c r="G45" s="291" t="s">
        <v>1071</v>
      </c>
    </row>
    <row r="46" spans="1:7" s="258" customFormat="1" ht="13.5" customHeight="1">
      <c r="A46" s="952" t="s">
        <v>793</v>
      </c>
      <c r="B46" s="292" t="s">
        <v>1064</v>
      </c>
      <c r="C46" s="293">
        <f>ROUND((C33+C39)*F27,0)</f>
        <v>215</v>
      </c>
      <c r="D46" s="307"/>
      <c r="E46" s="280"/>
      <c r="F46" s="290"/>
      <c r="G46" s="291"/>
    </row>
    <row r="47" spans="1:7" s="258" customFormat="1" ht="13.5" customHeight="1">
      <c r="A47" s="952" t="s">
        <v>791</v>
      </c>
      <c r="B47" s="292" t="s">
        <v>1066</v>
      </c>
      <c r="C47" s="282">
        <f>ROUND(C40*F27,4)</f>
        <v>8.9999999999999993E-3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1067</v>
      </c>
      <c r="D49" s="276"/>
      <c r="E49" s="276"/>
      <c r="F49" s="308"/>
      <c r="G49" s="278" t="s">
        <v>1072</v>
      </c>
    </row>
    <row r="50" spans="1:7" s="302" customFormat="1" ht="24">
      <c r="A50" s="949" t="s">
        <v>788</v>
      </c>
      <c r="B50" s="254" t="s">
        <v>124</v>
      </c>
      <c r="C50" s="276"/>
      <c r="D50" s="276"/>
      <c r="E50" s="276"/>
      <c r="F50" s="308">
        <f>IF('数据-取费表'!B24=0,'数据-取费表'!N16,1)</f>
        <v>0.7</v>
      </c>
      <c r="G50" s="291" t="s">
        <v>125</v>
      </c>
    </row>
    <row r="51" spans="1:7" ht="16.5" customHeight="1">
      <c r="A51" s="949" t="s">
        <v>789</v>
      </c>
      <c r="B51" s="254" t="s">
        <v>132</v>
      </c>
      <c r="C51" s="276">
        <f ca="1">ROUND(C49*F50,0)</f>
        <v>747</v>
      </c>
      <c r="D51" s="276"/>
      <c r="E51" s="276"/>
      <c r="F51" s="308"/>
      <c r="G51" s="278" t="s">
        <v>64</v>
      </c>
    </row>
    <row r="52" spans="1:7" s="252" customFormat="1" ht="16.5" thickBot="1">
      <c r="A52" s="309" t="s">
        <v>65</v>
      </c>
      <c r="B52" s="310"/>
      <c r="C52" s="311">
        <f ca="1">C31+C51</f>
        <v>33511</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1" t="s">
        <v>156</v>
      </c>
      <c r="B1" s="3301"/>
      <c r="C1" s="3301"/>
      <c r="D1" s="3301"/>
      <c r="E1" s="3301"/>
      <c r="F1" s="330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2" t="s">
        <v>169</v>
      </c>
      <c r="B2" s="3302"/>
      <c r="C2" s="3302"/>
      <c r="D2" s="3302"/>
      <c r="E2" s="3302"/>
      <c r="F2" s="330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1" t="s">
        <v>870</v>
      </c>
      <c r="B1" s="3301"/>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43382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0" sqref="Q2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1637</v>
      </c>
      <c r="B2" s="2989" t="s">
        <v>1638</v>
      </c>
      <c r="C2" s="2989" t="s">
        <v>1639</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45" t="s">
        <v>1634</v>
      </c>
      <c r="E3" s="1045" t="s">
        <v>1640</v>
      </c>
      <c r="F3" s="1045" t="s">
        <v>1634</v>
      </c>
      <c r="G3" s="1045" t="s">
        <v>1635</v>
      </c>
      <c r="H3" s="1045" t="s">
        <v>1634</v>
      </c>
      <c r="I3" s="1045" t="s">
        <v>1635</v>
      </c>
    </row>
    <row r="4" spans="1:9" ht="30">
      <c r="A4" s="1973" t="str">
        <f>项目基本情况!S2</f>
        <v>北京市朝阳区吉庆里9号、10号楼房地产</v>
      </c>
      <c r="B4" s="1045">
        <f>项目基本情况!C17</f>
        <v>2188.58</v>
      </c>
      <c r="C4" s="1045">
        <f>项目基本情况!C18</f>
        <v>546.38</v>
      </c>
      <c r="D4" s="1045">
        <f ca="1">结果表!D118</f>
        <v>4948</v>
      </c>
      <c r="E4" s="1045">
        <f ca="1">结果表!E118</f>
        <v>22608</v>
      </c>
      <c r="F4" s="1045">
        <f ca="1">结果表!F118</f>
        <v>1562</v>
      </c>
      <c r="G4" s="1045">
        <f ca="1">结果表!G118</f>
        <v>7137</v>
      </c>
      <c r="H4" s="1045">
        <f ca="1">结果表!H118</f>
        <v>6510</v>
      </c>
      <c r="I4" s="1045">
        <f ca="1">结果表!I118</f>
        <v>29745</v>
      </c>
    </row>
    <row r="5" spans="1:9" ht="30" customHeight="1">
      <c r="A5" s="2990" t="s">
        <v>1636</v>
      </c>
      <c r="B5" s="2990"/>
      <c r="C5" s="2990"/>
      <c r="D5" s="2991" t="str">
        <f ca="1">结果表!D119</f>
        <v>肆仟玖佰肆拾捌万元整</v>
      </c>
      <c r="E5" s="2991"/>
      <c r="F5" s="2991" t="str">
        <f ca="1">结果表!F119</f>
        <v>壹仟伍佰陆拾贰万元整</v>
      </c>
      <c r="G5" s="2991"/>
      <c r="H5" s="2991" t="str">
        <f ca="1">结果表!H119</f>
        <v>陆仟伍佰壹拾万元整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1636</v>
      </c>
      <c r="B7" s="2990"/>
      <c r="C7" s="2990"/>
      <c r="D7" s="2993" t="str">
        <f>结果表!D121</f>
        <v>零元整</v>
      </c>
      <c r="E7" s="2994"/>
      <c r="F7" s="2994"/>
      <c r="G7" s="2994"/>
      <c r="H7" s="2994"/>
      <c r="I7" s="2995"/>
    </row>
    <row r="8" spans="1:9" ht="15.75">
      <c r="A8" s="2992" t="str">
        <f>结果表!A122</f>
        <v>房地产抵押价值</v>
      </c>
      <c r="B8" s="2992"/>
      <c r="C8" s="2992"/>
      <c r="D8" s="2992">
        <f ca="1">结果表!D122</f>
        <v>6510</v>
      </c>
      <c r="E8" s="2992"/>
      <c r="F8" s="2992"/>
      <c r="G8" s="2992"/>
      <c r="H8" s="2992"/>
      <c r="I8" s="2992"/>
    </row>
    <row r="9" spans="1:9" ht="15">
      <c r="A9" s="2990" t="s">
        <v>1636</v>
      </c>
      <c r="B9" s="2990"/>
      <c r="C9" s="2990"/>
      <c r="D9" s="2991" t="str">
        <f ca="1">结果表!D123</f>
        <v>陆仟伍佰壹拾万元整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1636</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1636</v>
      </c>
      <c r="B13" s="2996"/>
      <c r="C13" s="2996"/>
      <c r="D13" s="2997" t="e">
        <f>结果表!D127</f>
        <v>#VALUE!</v>
      </c>
      <c r="E13" s="2997"/>
      <c r="F13" s="2997"/>
      <c r="G13" s="2997"/>
      <c r="H13" s="2997"/>
      <c r="I13" s="2997"/>
    </row>
    <row r="14" spans="1:9" ht="15" thickTop="1">
      <c r="A14" s="2998" t="s">
        <v>1641</v>
      </c>
      <c r="B14" s="2998"/>
      <c r="C14" s="2998"/>
      <c r="D14" s="2998"/>
      <c r="E14" s="2998"/>
      <c r="F14" s="2998"/>
      <c r="G14" s="2998"/>
      <c r="H14" s="2998"/>
      <c r="I14" s="299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9" t="s">
        <v>1658</v>
      </c>
      <c r="B1" s="2999"/>
      <c r="C1" s="2999"/>
      <c r="D1" s="2999"/>
    </row>
    <row r="2" spans="1:4" ht="18">
      <c r="A2" s="3000" t="s">
        <v>1642</v>
      </c>
      <c r="B2" s="3000"/>
      <c r="C2" s="3000"/>
      <c r="D2" s="3000"/>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崔锴</v>
      </c>
      <c r="B5" s="1979">
        <f ca="1">项目基本情况!E4</f>
        <v>1120100036</v>
      </c>
      <c r="C5" s="1982"/>
      <c r="D5" s="1981" t="s">
        <v>1647</v>
      </c>
    </row>
    <row r="6" spans="1:4" ht="18">
      <c r="A6" s="3000" t="s">
        <v>1648</v>
      </c>
      <c r="B6" s="3000"/>
      <c r="C6" s="3000"/>
      <c r="D6" s="3000"/>
    </row>
    <row r="7" spans="1:4" ht="18.75">
      <c r="A7" s="1977" t="s">
        <v>1643</v>
      </c>
      <c r="B7" s="1979" t="s">
        <v>1649</v>
      </c>
      <c r="C7" s="1977" t="s">
        <v>1645</v>
      </c>
      <c r="D7" s="1977" t="s">
        <v>1646</v>
      </c>
    </row>
    <row r="8" spans="1:4" ht="56.25" customHeight="1">
      <c r="A8" s="1983" t="s">
        <v>868</v>
      </c>
      <c r="B8" s="1983" t="s">
        <v>1</v>
      </c>
      <c r="C8" s="1980"/>
      <c r="D8" s="1981" t="s">
        <v>1647</v>
      </c>
    </row>
    <row r="9" spans="1:4">
      <c r="A9" s="726"/>
      <c r="B9" s="726"/>
      <c r="C9" s="726"/>
      <c r="D9" s="726"/>
    </row>
    <row r="10" spans="1:4" ht="18.75">
      <c r="A10" s="1984" t="s">
        <v>1650</v>
      </c>
      <c r="B10" s="726"/>
      <c r="C10" s="726"/>
      <c r="D10" s="726"/>
    </row>
    <row r="11" spans="1:4" ht="30" customHeight="1">
      <c r="A11" s="3001" t="s">
        <v>1651</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（1）根据估价对象《房屋所有权证》复印件、《国有土地使用权》复印件，截至价值时点，估价对象抵押权未见登记。</v>
      </c>
      <c r="B15" s="3002"/>
      <c r="C15" s="3002"/>
      <c r="D15" s="3002"/>
    </row>
    <row r="16" spans="1:4" ht="30" customHeight="1">
      <c r="A16" s="3005" t="s">
        <v>1652</v>
      </c>
      <c r="B16" s="3005"/>
      <c r="C16" s="3005"/>
      <c r="D16" s="3005"/>
    </row>
    <row r="17" spans="1:4" ht="144" customHeight="1">
      <c r="A17" s="3005" t="s">
        <v>1653</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1654</v>
      </c>
      <c r="B22" s="3007"/>
      <c r="C22" s="3007"/>
      <c r="D22" s="300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869</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3" t="s">
        <v>1665</v>
      </c>
      <c r="B15" s="3008" t="s">
        <v>136</v>
      </c>
      <c r="C15" s="3009"/>
    </row>
    <row r="16" spans="1:7" ht="13.5">
      <c r="A16" s="3014"/>
      <c r="B16" s="3008" t="s">
        <v>69</v>
      </c>
      <c r="C16" s="3009"/>
    </row>
    <row r="17" spans="1:3" ht="13.5">
      <c r="A17" s="3014"/>
      <c r="B17" s="3011" t="s">
        <v>1666</v>
      </c>
      <c r="C17" s="2000" t="s">
        <v>1665</v>
      </c>
    </row>
    <row r="18" spans="1:3" ht="13.5">
      <c r="A18" s="3014"/>
      <c r="B18" s="3011"/>
      <c r="C18" s="2000" t="s">
        <v>1667</v>
      </c>
    </row>
    <row r="19" spans="1:3" ht="13.5">
      <c r="A19" s="3014"/>
      <c r="B19" s="3011"/>
      <c r="C19" s="2000" t="s">
        <v>1668</v>
      </c>
    </row>
    <row r="20" spans="1:3" ht="13.5">
      <c r="A20" s="3015"/>
      <c r="B20" s="3010" t="s">
        <v>1669</v>
      </c>
      <c r="C20" s="3009"/>
    </row>
    <row r="21" spans="1:3" ht="13.5">
      <c r="A21" s="2001" t="s">
        <v>1670</v>
      </c>
      <c r="B21" s="2002"/>
      <c r="C21" s="2003"/>
    </row>
    <row r="22" spans="1:3" ht="13.5">
      <c r="A22" s="3012" t="s">
        <v>1671</v>
      </c>
      <c r="B22" s="3010" t="s">
        <v>1672</v>
      </c>
      <c r="C22" s="3009"/>
    </row>
    <row r="23" spans="1:3" ht="13.5">
      <c r="A23" s="3012"/>
      <c r="B23" s="3010" t="s">
        <v>1673</v>
      </c>
      <c r="C23" s="3009"/>
    </row>
    <row r="24" spans="1:3" ht="13.5">
      <c r="A24" s="3012"/>
      <c r="B24" s="3010" t="s">
        <v>1674</v>
      </c>
      <c r="C24" s="3009"/>
    </row>
    <row r="25" spans="1:3" ht="13.5">
      <c r="A25" s="3012"/>
      <c r="B25" s="3011" t="s">
        <v>1675</v>
      </c>
      <c r="C25" s="2000" t="s">
        <v>1676</v>
      </c>
    </row>
    <row r="26" spans="1:3" ht="13.5">
      <c r="A26" s="3012"/>
      <c r="B26" s="3011"/>
      <c r="C26" s="2000" t="s">
        <v>1677</v>
      </c>
    </row>
    <row r="27" spans="1:3" ht="13.5">
      <c r="A27" s="3012"/>
      <c r="B27" s="3011"/>
      <c r="C27" s="2000" t="s">
        <v>1678</v>
      </c>
    </row>
    <row r="28" spans="1:3" ht="13.5">
      <c r="A28" s="3012"/>
      <c r="B28" s="3011"/>
      <c r="C28" s="2000" t="s">
        <v>1679</v>
      </c>
    </row>
    <row r="29" spans="1:3" ht="13.5">
      <c r="A29" s="3012"/>
      <c r="B29" s="3011"/>
      <c r="C29" s="2000" t="s">
        <v>1680</v>
      </c>
    </row>
    <row r="30" spans="1:3" ht="13.5">
      <c r="A30" s="3012"/>
      <c r="B30" s="3011"/>
      <c r="C30" s="2000" t="s">
        <v>1681</v>
      </c>
    </row>
    <row r="31" spans="1:3" ht="13.5">
      <c r="A31" s="3012"/>
      <c r="B31" s="3011"/>
      <c r="C31" s="2000" t="s">
        <v>1682</v>
      </c>
    </row>
    <row r="32" spans="1:3" ht="13.5">
      <c r="A32" s="3012"/>
      <c r="B32" s="3011"/>
      <c r="C32" s="2000" t="s">
        <v>1683</v>
      </c>
    </row>
    <row r="33" spans="1:3" ht="13.5">
      <c r="A33" s="3012"/>
      <c r="B33" s="301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43388</v>
      </c>
      <c r="C2" s="1020" t="s">
        <v>825</v>
      </c>
      <c r="D2" s="1020"/>
    </row>
    <row r="3" spans="1:6" ht="24" customHeight="1">
      <c r="A3" s="1021" t="s">
        <v>826</v>
      </c>
      <c r="B3" s="1022" t="s">
        <v>827</v>
      </c>
      <c r="C3" s="2345" t="s">
        <v>828</v>
      </c>
      <c r="D3" s="2348" t="s">
        <v>829</v>
      </c>
      <c r="E3" s="1023" t="s">
        <v>830</v>
      </c>
      <c r="F3" s="1022" t="s">
        <v>828</v>
      </c>
    </row>
    <row r="4" spans="1:6" ht="24" customHeight="1">
      <c r="A4" s="1702" t="s">
        <v>831</v>
      </c>
      <c r="B4" s="1023">
        <f ca="1">IF(C4&lt;B2,"已过期",1119970066)</f>
        <v>1119970066</v>
      </c>
      <c r="C4" s="2346">
        <v>43849</v>
      </c>
      <c r="D4" s="2349" t="s">
        <v>831</v>
      </c>
      <c r="E4" s="1023">
        <f ca="1">IF(F4&lt;B2,"已过期",96010014)</f>
        <v>96010014</v>
      </c>
      <c r="F4" s="1031">
        <v>47118</v>
      </c>
    </row>
    <row r="5" spans="1:6" ht="24" customHeight="1">
      <c r="A5" s="1702" t="s">
        <v>832</v>
      </c>
      <c r="B5" s="1023">
        <f ca="1">IF(C5&lt;B2,"已过期",1119970074)</f>
        <v>1119970074</v>
      </c>
      <c r="C5" s="2346">
        <v>43849</v>
      </c>
      <c r="D5" s="2349" t="s">
        <v>832</v>
      </c>
      <c r="E5" s="1023">
        <f ca="1">IF(F5&lt;B2,"已过期",2002110027)</f>
        <v>2002110027</v>
      </c>
      <c r="F5" s="1031">
        <v>46752</v>
      </c>
    </row>
    <row r="6" spans="1:6" ht="24" customHeight="1">
      <c r="A6" s="1702" t="s">
        <v>833</v>
      </c>
      <c r="B6" s="1023">
        <f ca="1">IF(C6&lt;B2,"已过期",1119970111)</f>
        <v>1119970111</v>
      </c>
      <c r="C6" s="2346">
        <v>43849</v>
      </c>
      <c r="D6" s="2349" t="s">
        <v>833</v>
      </c>
      <c r="E6" s="1023">
        <f ca="1">IF(F6&lt;B2,"已过期",94010078)</f>
        <v>94010078</v>
      </c>
      <c r="F6" s="1031">
        <v>46387</v>
      </c>
    </row>
    <row r="7" spans="1:6" ht="24" customHeight="1">
      <c r="A7" s="1702" t="s">
        <v>834</v>
      </c>
      <c r="B7" s="1023">
        <f ca="1">IF(C7&lt;B2,"已过期",1120050019)</f>
        <v>1120050019</v>
      </c>
      <c r="C7" s="2346">
        <v>44395</v>
      </c>
      <c r="D7" s="2349" t="s">
        <v>834</v>
      </c>
      <c r="E7" s="1023">
        <f ca="1">IF(F7&lt;B2,"已过期",2002110030)</f>
        <v>2002110030</v>
      </c>
      <c r="F7" s="1031">
        <v>46387</v>
      </c>
    </row>
    <row r="8" spans="1:6" ht="24" customHeight="1">
      <c r="A8" s="1702" t="s">
        <v>835</v>
      </c>
      <c r="B8" s="1023">
        <f ca="1">IF(C8&lt;B2,"已过期",1120000080)</f>
        <v>1120000080</v>
      </c>
      <c r="C8" s="2346">
        <v>43849</v>
      </c>
      <c r="D8" s="2349" t="s">
        <v>835</v>
      </c>
      <c r="E8" s="1023">
        <f ca="1">IF(F8&lt;B2,"已过期",2000110082)</f>
        <v>2000110082</v>
      </c>
      <c r="F8" s="1031">
        <v>46387</v>
      </c>
    </row>
    <row r="9" spans="1:6" ht="24" customHeight="1">
      <c r="A9" s="1702" t="s">
        <v>836</v>
      </c>
      <c r="B9" s="1023">
        <f ca="1">IF(C9&lt;B2,"已过期",1419970001)</f>
        <v>1419970001</v>
      </c>
      <c r="C9" s="2346">
        <v>43867</v>
      </c>
      <c r="D9" s="2349" t="s">
        <v>836</v>
      </c>
      <c r="E9" s="1023">
        <f ca="1">IF(F9&lt;B2,"已过期",2002110125)</f>
        <v>2002110125</v>
      </c>
      <c r="F9" s="1031">
        <v>47118</v>
      </c>
    </row>
    <row r="10" spans="1:6" ht="24" customHeight="1">
      <c r="A10" s="1702" t="s">
        <v>837</v>
      </c>
      <c r="B10" s="1023">
        <f ca="1">IF(C10&lt;B2,"已过期",1120060040)</f>
        <v>1120060040</v>
      </c>
      <c r="C10" s="2346">
        <v>43483</v>
      </c>
      <c r="D10" s="2349" t="s">
        <v>837</v>
      </c>
      <c r="E10" s="1023">
        <f ca="1">IF(F10&lt;B2,"已过期",2004110096)</f>
        <v>2004110096</v>
      </c>
      <c r="F10" s="1031">
        <v>47118</v>
      </c>
    </row>
    <row r="11" spans="1:6" ht="24" customHeight="1">
      <c r="A11" s="1702" t="s">
        <v>838</v>
      </c>
      <c r="B11" s="1023">
        <f ca="1">IF(C11&lt;B2,"已过期",1120100036)</f>
        <v>1120100036</v>
      </c>
      <c r="C11" s="2346">
        <v>43622</v>
      </c>
      <c r="D11" s="2349" t="s">
        <v>838</v>
      </c>
      <c r="E11" s="1023">
        <f ca="1">IF(F11&lt;B2,"已过期",2010110070)</f>
        <v>2010110070</v>
      </c>
      <c r="F11" s="1031">
        <v>47907</v>
      </c>
    </row>
    <row r="12" spans="1:6" ht="24" customHeight="1">
      <c r="A12" s="1702" t="s">
        <v>2992</v>
      </c>
      <c r="B12" s="1023">
        <v>1120110054</v>
      </c>
      <c r="C12" s="2939">
        <v>43937</v>
      </c>
      <c r="D12" s="1702" t="s">
        <v>2992</v>
      </c>
      <c r="E12" s="1023">
        <v>2008110060</v>
      </c>
      <c r="F12" s="1031">
        <v>47177</v>
      </c>
    </row>
    <row r="13" spans="1:6" ht="24" customHeight="1">
      <c r="A13" s="1702" t="s">
        <v>839</v>
      </c>
      <c r="B13" s="1023">
        <f ca="1">IF(C13&lt;B2,"已过期",1120070131)</f>
        <v>1120070131</v>
      </c>
      <c r="C13" s="2346">
        <v>43814</v>
      </c>
      <c r="D13" s="2349" t="s">
        <v>839</v>
      </c>
      <c r="E13" s="1023">
        <v>2014110011</v>
      </c>
      <c r="F13" s="1031">
        <v>49302</v>
      </c>
    </row>
    <row r="14" spans="1:6" ht="24" customHeight="1">
      <c r="A14" s="1702" t="s">
        <v>840</v>
      </c>
      <c r="B14" s="1023">
        <f ca="1">IF(C14&lt;B2,"已过期",1120130020)</f>
        <v>1120130020</v>
      </c>
      <c r="C14" s="2346">
        <v>43622</v>
      </c>
      <c r="D14" s="2349"/>
      <c r="E14" s="1023"/>
      <c r="F14" s="1023"/>
    </row>
    <row r="15" spans="1:6" ht="24" customHeight="1">
      <c r="A15" s="1703" t="s">
        <v>1145</v>
      </c>
      <c r="B15" s="1023">
        <v>1120070085</v>
      </c>
      <c r="C15" s="2346">
        <v>43814</v>
      </c>
      <c r="D15" s="2350" t="s">
        <v>1145</v>
      </c>
      <c r="E15" s="1023">
        <v>2004110128</v>
      </c>
      <c r="F15" s="1024">
        <v>47118</v>
      </c>
    </row>
    <row r="16" spans="1:6" ht="24" customHeight="1">
      <c r="A16" s="1702" t="s">
        <v>841</v>
      </c>
      <c r="B16" s="1023">
        <f ca="1">IF(C16&lt;B2,"已过期",1120140022)</f>
        <v>1120140022</v>
      </c>
      <c r="C16" s="2346">
        <v>44029</v>
      </c>
      <c r="D16" s="2349" t="s">
        <v>841</v>
      </c>
      <c r="E16" s="1023">
        <f ca="1">IF(F16&lt;B2,"已过期",2008110059)</f>
        <v>2008110059</v>
      </c>
      <c r="F16" s="1031">
        <v>47177</v>
      </c>
    </row>
    <row r="17" spans="1:7" ht="24" customHeight="1">
      <c r="A17" s="1702"/>
      <c r="B17" s="1023"/>
      <c r="C17" s="2346"/>
      <c r="D17" s="2349"/>
      <c r="E17" s="1023"/>
      <c r="F17" s="1031"/>
    </row>
    <row r="18" spans="1:7" ht="24" customHeight="1">
      <c r="A18" s="1702"/>
      <c r="B18" s="1023"/>
      <c r="C18" s="2346"/>
      <c r="D18" s="2349"/>
      <c r="E18" s="1023"/>
      <c r="F18" s="1031"/>
    </row>
    <row r="19" spans="1:7" ht="24" customHeight="1">
      <c r="A19" s="1702"/>
      <c r="B19" s="1023"/>
      <c r="C19" s="2346"/>
      <c r="D19" s="2349"/>
      <c r="E19" s="1023"/>
      <c r="F19" s="1023"/>
    </row>
    <row r="20" spans="1:7" ht="24" customHeight="1">
      <c r="A20" s="1702"/>
      <c r="B20" s="1023"/>
      <c r="C20" s="2346"/>
      <c r="D20" s="2349"/>
      <c r="E20" s="1023"/>
      <c r="F20" s="1023"/>
    </row>
    <row r="21" spans="1:7" ht="24" customHeight="1">
      <c r="A21" s="1702"/>
      <c r="B21" s="1023"/>
      <c r="C21" s="2346"/>
      <c r="D21" s="2349" t="s">
        <v>842</v>
      </c>
      <c r="E21" s="1023">
        <f ca="1">IF(F21&lt;B2,"已过期",2011110090)</f>
        <v>2011110090</v>
      </c>
      <c r="F21" s="1031">
        <v>48302</v>
      </c>
    </row>
    <row r="22" spans="1:7" ht="24" customHeight="1">
      <c r="A22" s="1702" t="s">
        <v>843</v>
      </c>
      <c r="B22" s="1023">
        <f ca="1">IF(C22&lt;B2,"已过期",1120020033)</f>
        <v>1120020033</v>
      </c>
      <c r="C22" s="2939">
        <v>44339</v>
      </c>
      <c r="D22" s="2349" t="s">
        <v>843</v>
      </c>
      <c r="E22" s="1023">
        <f ca="1">IF(F22&lt;B2,"已过期",2000110137)</f>
        <v>2000110137</v>
      </c>
      <c r="F22" s="1031">
        <v>46387</v>
      </c>
    </row>
    <row r="23" spans="1:7" ht="24" customHeight="1">
      <c r="A23" s="1702" t="s">
        <v>844</v>
      </c>
      <c r="B23" s="1023">
        <f ca="1">IF(C23&lt;B2,"已过期",1120130048)</f>
        <v>1120130048</v>
      </c>
      <c r="C23" s="2346">
        <v>43686</v>
      </c>
      <c r="D23" s="2349"/>
      <c r="E23" s="1023"/>
      <c r="F23" s="1023"/>
    </row>
    <row r="24" spans="1:7" s="1025" customFormat="1" ht="24" customHeight="1">
      <c r="A24" s="1703" t="s">
        <v>1329</v>
      </c>
      <c r="B24" s="1703" t="s">
        <v>1329</v>
      </c>
      <c r="C24" s="2347" t="s">
        <v>1329</v>
      </c>
      <c r="D24" s="2350" t="s">
        <v>1329</v>
      </c>
      <c r="E24" s="1703" t="s">
        <v>1329</v>
      </c>
      <c r="F24" s="1703" t="s">
        <v>1329</v>
      </c>
    </row>
    <row r="25" spans="1:7" ht="24" customHeight="1">
      <c r="A25" s="3016" t="s">
        <v>845</v>
      </c>
      <c r="B25" s="3016"/>
      <c r="C25" s="3016"/>
      <c r="D25" s="3016"/>
      <c r="E25" s="3016"/>
      <c r="F25" s="3016"/>
      <c r="G25" s="3016"/>
    </row>
    <row r="26" spans="1:7" s="1026" customFormat="1" ht="24" customHeight="1">
      <c r="A26" s="3017" t="s">
        <v>846</v>
      </c>
      <c r="B26" s="3017"/>
      <c r="C26" s="3018"/>
      <c r="D26" s="3019" t="s">
        <v>847</v>
      </c>
      <c r="E26" s="3017"/>
      <c r="F26" s="3017"/>
    </row>
    <row r="27" spans="1:7" s="1028" customFormat="1" ht="24" customHeight="1">
      <c r="A27" s="1027" t="s">
        <v>848</v>
      </c>
      <c r="B27" s="1022" t="s">
        <v>849</v>
      </c>
      <c r="C27" s="2345" t="s">
        <v>850</v>
      </c>
      <c r="D27" s="2353" t="s">
        <v>848</v>
      </c>
      <c r="E27" s="1022" t="s">
        <v>849</v>
      </c>
      <c r="F27" s="1022" t="s">
        <v>850</v>
      </c>
    </row>
    <row r="28" spans="1:7" s="1028" customFormat="1" ht="24" customHeight="1">
      <c r="A28" s="1029" t="s">
        <v>851</v>
      </c>
      <c r="B28" s="1030" t="s">
        <v>852</v>
      </c>
      <c r="C28" s="2351">
        <v>43725</v>
      </c>
      <c r="D28" s="2354" t="s">
        <v>853</v>
      </c>
      <c r="E28" s="1029" t="s">
        <v>854</v>
      </c>
      <c r="F28" s="1059">
        <v>44377</v>
      </c>
    </row>
    <row r="29" spans="1:7" s="1028" customFormat="1" ht="24" customHeight="1">
      <c r="A29" s="1029"/>
      <c r="B29" s="1029"/>
      <c r="C29" s="2352"/>
      <c r="D29" s="2354" t="s">
        <v>855</v>
      </c>
      <c r="E29" s="1203" t="s">
        <v>1380</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土地比较法-住宅、综合</vt:lpstr>
      <vt:lpstr>基准地价修正</vt:lpstr>
      <vt:lpstr>成本法</vt:lpstr>
      <vt:lpstr>成本法 (元)</vt:lpstr>
      <vt:lpstr>假设开发法</vt:lpstr>
      <vt:lpstr>比较法-办公</vt:lpstr>
      <vt:lpstr>比较法-商业</vt:lpstr>
      <vt:lpstr>收益法</vt:lpstr>
      <vt:lpstr>收益法 (元)</vt:lpstr>
      <vt:lpstr>收益法（汇总）</vt:lpstr>
      <vt:lpstr>酒店收入计算</vt:lpstr>
      <vt:lpstr>比较法-住宅</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2018-10-15T09:14:25Z</dcterms:modified>
</cp:coreProperties>
</file>