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30"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4" i="15" l="1"/>
  <c r="C15" i="15"/>
  <c r="F16" i="15"/>
  <c r="C16" i="15"/>
  <c r="F43" i="15"/>
  <c r="C17" i="15"/>
  <c r="C18" i="15"/>
  <c r="C19" i="15"/>
  <c r="F7" i="15"/>
  <c r="I91" i="78"/>
  <c r="V28" i="31"/>
  <c r="V26" i="31"/>
  <c r="I17" i="74"/>
  <c r="G17" i="74"/>
  <c r="D17" i="74"/>
  <c r="B17" i="74"/>
  <c r="I16" i="74"/>
  <c r="G16" i="74"/>
  <c r="D16" i="74"/>
  <c r="B16" i="74"/>
  <c r="I15" i="74"/>
  <c r="G15" i="74"/>
  <c r="D15" i="74"/>
  <c r="B15" i="74"/>
  <c r="A6" i="1"/>
  <c r="G1" i="15"/>
  <c r="F6" i="15"/>
  <c r="F8" i="15"/>
  <c r="F19" i="6"/>
  <c r="E19" i="6"/>
  <c r="K6" i="1"/>
  <c r="F9" i="15"/>
  <c r="C6" i="15"/>
  <c r="C1" i="73"/>
  <c r="L1" i="73"/>
  <c r="F4" i="73"/>
  <c r="I1" i="73"/>
  <c r="B39" i="1"/>
  <c r="F11" i="15"/>
  <c r="C10" i="15"/>
  <c r="C5" i="15"/>
  <c r="B43" i="1"/>
  <c r="B41" i="1"/>
  <c r="F32" i="15"/>
  <c r="B2" i="1"/>
  <c r="C42" i="1"/>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15"/>
  <c r="B52" i="1"/>
  <c r="F34" i="15"/>
  <c r="C34" i="15"/>
  <c r="C31" i="15"/>
  <c r="M6" i="1"/>
  <c r="S6" i="1"/>
  <c r="T6" i="1"/>
  <c r="F15" i="15"/>
  <c r="F17" i="15"/>
  <c r="F18" i="15"/>
  <c r="F20" i="15"/>
  <c r="C20" i="15"/>
  <c r="J1" i="73"/>
  <c r="D5" i="73"/>
  <c r="B22" i="1"/>
  <c r="E1" i="73"/>
  <c r="K1" i="73"/>
  <c r="G1" i="73"/>
  <c r="B40" i="1"/>
  <c r="F24" i="15"/>
  <c r="F23" i="15"/>
  <c r="C23" i="15"/>
  <c r="F26" i="15"/>
  <c r="C26" i="15"/>
  <c r="F21" i="15"/>
  <c r="C24" i="15"/>
  <c r="C27" i="15"/>
  <c r="F28" i="15"/>
  <c r="C28" i="15"/>
  <c r="C29" i="15"/>
  <c r="F36" i="15"/>
  <c r="C36" i="15"/>
  <c r="N6" i="1"/>
  <c r="Y6" i="1"/>
  <c r="F13" i="15"/>
  <c r="C13" i="15"/>
  <c r="F37" i="15"/>
  <c r="C37" i="15"/>
  <c r="F38" i="15"/>
  <c r="C38" i="15"/>
  <c r="C30" i="15"/>
  <c r="C39" i="15"/>
  <c r="F42" i="15"/>
  <c r="F40" i="15"/>
  <c r="E15" i="4"/>
  <c r="F6" i="1"/>
  <c r="L48" i="15"/>
  <c r="M47" i="15"/>
  <c r="B24" i="1"/>
  <c r="J50" i="15"/>
  <c r="J51" i="15"/>
  <c r="J53" i="15"/>
  <c r="F1" i="15"/>
  <c r="AE6" i="1"/>
  <c r="F41" i="15"/>
  <c r="C40" i="15"/>
  <c r="M6" i="15"/>
  <c r="M8" i="15"/>
  <c r="M7" i="15"/>
  <c r="M9" i="15"/>
  <c r="J6" i="15"/>
  <c r="M11" i="15"/>
  <c r="J10" i="15"/>
  <c r="J5" i="15"/>
  <c r="J26" i="15"/>
  <c r="J29" i="15"/>
  <c r="J60" i="15"/>
  <c r="L46" i="15"/>
  <c r="B2" i="15"/>
  <c r="B3" i="15"/>
  <c r="C20" i="9"/>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F15" i="33"/>
  <c r="AA15" i="33"/>
  <c r="F17" i="33"/>
  <c r="AA17" i="33"/>
  <c r="F19" i="33"/>
  <c r="AA19" i="33"/>
  <c r="F21" i="33"/>
  <c r="AA21"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F36" i="33"/>
  <c r="AA36" i="33"/>
  <c r="F37" i="33"/>
  <c r="AA37" i="33"/>
  <c r="F38" i="33"/>
  <c r="AA38" i="33"/>
  <c r="F39" i="33"/>
  <c r="AA39" i="33"/>
  <c r="F40" i="33"/>
  <c r="AA40" i="33"/>
  <c r="F41" i="33"/>
  <c r="AA41"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D20" i="9"/>
  <c r="C17" i="9"/>
  <c r="D17" i="9"/>
  <c r="C18" i="9"/>
  <c r="D18" i="9"/>
  <c r="G20" i="9"/>
  <c r="R24" i="31"/>
  <c r="S24" i="31"/>
  <c r="B25" i="31"/>
  <c r="C25" i="31"/>
  <c r="E25" i="31"/>
  <c r="G25" i="31"/>
  <c r="I25" i="31"/>
  <c r="K25" i="31"/>
  <c r="M25" i="31"/>
  <c r="O25" i="31"/>
  <c r="Q25" i="31"/>
  <c r="R25" i="31"/>
  <c r="S25" i="31"/>
  <c r="B26" i="31"/>
  <c r="C26" i="31"/>
  <c r="E26" i="31"/>
  <c r="G26" i="31"/>
  <c r="I26" i="31"/>
  <c r="K26" i="31"/>
  <c r="M26" i="31"/>
  <c r="O26"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78"/>
  <c r="D19" i="78"/>
  <c r="C17" i="78"/>
  <c r="D17" i="78"/>
  <c r="C18" i="78"/>
  <c r="D18" i="78"/>
  <c r="G19" i="78"/>
  <c r="C24" i="78"/>
  <c r="C32" i="78"/>
  <c r="H118" i="78"/>
  <c r="H101" i="78"/>
  <c r="E107" i="78"/>
  <c r="H105" i="78"/>
  <c r="H106" i="78"/>
  <c r="H103" i="78"/>
  <c r="H107" i="78"/>
  <c r="D122" i="78"/>
  <c r="G14" i="74"/>
  <c r="M19" i="78"/>
  <c r="C118" i="78"/>
  <c r="C14" i="74"/>
  <c r="D14" i="74"/>
  <c r="M18" i="78"/>
  <c r="B118" i="78"/>
  <c r="B14" i="74"/>
  <c r="BB10" i="3"/>
  <c r="BB5" i="3"/>
  <c r="BC10" i="3"/>
  <c r="BD10" i="3"/>
  <c r="BE10" i="3"/>
  <c r="BF10" i="3"/>
  <c r="BG10" i="3"/>
  <c r="BH10" i="3"/>
  <c r="BI10" i="3"/>
  <c r="BJ10" i="3"/>
  <c r="BK10" i="3"/>
  <c r="BC5" i="3"/>
  <c r="BD5" i="3"/>
  <c r="BE5" i="3"/>
  <c r="BF5" i="3"/>
  <c r="BG5" i="3"/>
  <c r="BH5" i="3"/>
  <c r="BI5" i="3"/>
  <c r="BJ5" i="3"/>
  <c r="BK5" i="3"/>
  <c r="E8" i="6"/>
  <c r="F27" i="6"/>
  <c r="J90" i="78"/>
  <c r="C88" i="78"/>
  <c r="E111" i="78"/>
  <c r="M49" i="78"/>
  <c r="D45" i="78"/>
  <c r="I55" i="78"/>
  <c r="D55" i="78"/>
  <c r="M53" i="78"/>
  <c r="C85" i="78"/>
  <c r="F34" i="68"/>
  <c r="C34" i="68"/>
  <c r="C35" i="68"/>
  <c r="C36" i="68"/>
  <c r="D9" i="68"/>
  <c r="D10" i="68"/>
  <c r="D19" i="68"/>
  <c r="D37" i="68"/>
  <c r="C37" i="68"/>
  <c r="C38" i="68"/>
  <c r="C33" i="68"/>
  <c r="C91" i="78"/>
  <c r="D89" i="78"/>
  <c r="C89" i="78"/>
  <c r="C87" i="78"/>
  <c r="C92" i="78"/>
  <c r="D93" i="78"/>
  <c r="C93" i="78"/>
  <c r="C94" i="78"/>
  <c r="C86" i="78"/>
  <c r="C95" i="78"/>
  <c r="C96" i="78"/>
  <c r="C97" i="78"/>
  <c r="D58" i="78"/>
  <c r="D56" i="78"/>
  <c r="M54" i="78"/>
  <c r="D53" i="78"/>
  <c r="D48" i="78"/>
  <c r="M52" i="78"/>
  <c r="D59" i="78"/>
  <c r="M55" i="78"/>
  <c r="K6" i="4"/>
  <c r="M56" i="78"/>
  <c r="N57" i="78"/>
  <c r="N59" i="78"/>
  <c r="H111" i="78"/>
  <c r="D126" i="78"/>
  <c r="D127" i="78"/>
  <c r="A126" i="78"/>
  <c r="E109" i="78"/>
  <c r="H109" i="78"/>
  <c r="D124" i="78"/>
  <c r="D125" i="78"/>
  <c r="A124" i="78"/>
  <c r="D123" i="78"/>
  <c r="A122" i="78"/>
  <c r="D120" i="78"/>
  <c r="D121" i="78"/>
  <c r="A120" i="78"/>
  <c r="K120" i="78"/>
  <c r="H119" i="78"/>
  <c r="D35" i="78"/>
  <c r="C35" i="78"/>
  <c r="F118" i="78"/>
  <c r="F119" i="78"/>
  <c r="C34" i="78"/>
  <c r="D118" i="78"/>
  <c r="D119" i="78"/>
  <c r="I118" i="78"/>
  <c r="G118" i="78"/>
  <c r="E118" i="78"/>
  <c r="S2" i="4"/>
  <c r="A118" i="78"/>
  <c r="N61" i="78"/>
  <c r="H112" i="78"/>
  <c r="H110" i="78"/>
  <c r="H108" i="78"/>
  <c r="C105" i="78"/>
  <c r="H104" i="78"/>
  <c r="C104" i="78"/>
  <c r="B22" i="31"/>
  <c r="R22" i="31"/>
  <c r="B21" i="31"/>
  <c r="D20" i="78"/>
  <c r="D103" i="78"/>
  <c r="C20" i="78"/>
  <c r="C103" i="78"/>
  <c r="H102" i="78"/>
  <c r="D102" i="78"/>
  <c r="C102" i="78"/>
  <c r="D101" i="78"/>
  <c r="C101" i="78"/>
  <c r="E96" i="78"/>
  <c r="E97" i="78"/>
  <c r="E90" i="78"/>
  <c r="C72" i="78"/>
  <c r="C76" i="78"/>
  <c r="D77" i="78"/>
  <c r="C77" i="78"/>
  <c r="C74" i="78"/>
  <c r="D78" i="78"/>
  <c r="C78" i="78"/>
  <c r="C73" i="78"/>
  <c r="C79" i="78"/>
  <c r="C80" i="78"/>
  <c r="E80" i="78"/>
  <c r="E81" i="78"/>
  <c r="C81" i="78"/>
  <c r="H77" i="78"/>
  <c r="L63" i="78"/>
  <c r="M63" i="78"/>
  <c r="L64" i="78"/>
  <c r="M64" i="78"/>
  <c r="L65" i="78"/>
  <c r="M65" i="78"/>
  <c r="L66" i="78"/>
  <c r="M66" i="78"/>
  <c r="L67" i="78"/>
  <c r="M67" i="78"/>
  <c r="L68" i="78"/>
  <c r="M68" i="78"/>
  <c r="M69" i="78"/>
  <c r="N69" i="78"/>
  <c r="D68" i="78"/>
  <c r="C64" i="78"/>
  <c r="C63" i="78"/>
  <c r="C67" i="78"/>
  <c r="C68" i="78"/>
  <c r="J55" i="78"/>
  <c r="J56" i="78"/>
  <c r="J57" i="78"/>
  <c r="J59" i="78"/>
  <c r="J61" i="78"/>
  <c r="N60" i="78"/>
  <c r="F59" i="78"/>
  <c r="E59" i="78"/>
  <c r="N58" i="78"/>
  <c r="P57" i="78"/>
  <c r="N56" i="78"/>
  <c r="K56" i="78"/>
  <c r="F56" i="78"/>
  <c r="O55" i="78"/>
  <c r="N55" i="78"/>
  <c r="K55" i="78"/>
  <c r="F55" i="78"/>
  <c r="O54" i="78"/>
  <c r="N54" i="78"/>
  <c r="F54" i="78"/>
  <c r="D54" i="78"/>
  <c r="O53" i="78"/>
  <c r="N53" i="78"/>
  <c r="F53" i="78"/>
  <c r="F48" i="78"/>
  <c r="O52" i="78"/>
  <c r="E48" i="78"/>
  <c r="N52" i="78"/>
  <c r="F52" i="78"/>
  <c r="D52" i="78"/>
  <c r="K49" i="78"/>
  <c r="M48" i="78"/>
  <c r="M47" i="78"/>
  <c r="D34" i="78"/>
  <c r="F33" i="78"/>
  <c r="D27" i="78"/>
  <c r="C25" i="78"/>
  <c r="D22" i="78"/>
  <c r="L19" i="78"/>
  <c r="G21" i="78"/>
  <c r="D21" i="78"/>
  <c r="C21" i="78"/>
  <c r="G20" i="78"/>
  <c r="L18" i="78"/>
  <c r="L4" i="78"/>
  <c r="K4" i="78"/>
  <c r="A2" i="78"/>
  <c r="H1" i="78"/>
  <c r="A7" i="1"/>
  <c r="A8" i="1"/>
  <c r="K7" i="1"/>
  <c r="K8" i="1"/>
  <c r="A9" i="1"/>
  <c r="K9" i="1"/>
  <c r="A10" i="1"/>
  <c r="K10" i="1"/>
  <c r="A11" i="1"/>
  <c r="K11" i="1"/>
  <c r="A12" i="1"/>
  <c r="K12" i="1"/>
  <c r="A13" i="1"/>
  <c r="K13" i="1"/>
  <c r="K14" i="1"/>
  <c r="BM5" i="3"/>
  <c r="BO5" i="3"/>
  <c r="F29" i="6"/>
  <c r="BN5" i="3"/>
  <c r="BP5" i="3"/>
  <c r="G29" i="6"/>
  <c r="E29" i="6"/>
  <c r="K15" i="1"/>
  <c r="K16" i="1"/>
  <c r="Q8" i="1"/>
  <c r="Q7" i="1"/>
  <c r="N8" i="1"/>
  <c r="N7" i="1"/>
  <c r="L8" i="1"/>
  <c r="J8" i="1"/>
  <c r="I8" i="1"/>
  <c r="H8" i="1"/>
  <c r="L7" i="1"/>
  <c r="J7" i="1"/>
  <c r="I7" i="1"/>
  <c r="H7" i="1"/>
  <c r="M8" i="77"/>
  <c r="L8" i="77"/>
  <c r="G4" i="77"/>
  <c r="G8" i="77"/>
  <c r="F8"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M8" i="1"/>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AE7" i="1"/>
  <c r="T16" i="1"/>
  <c r="AE8" i="1"/>
  <c r="AG6" i="1"/>
  <c r="H109" i="9"/>
  <c r="C19" i="9"/>
  <c r="B2" i="33"/>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D45" i="9"/>
  <c r="D55" i="9"/>
  <c r="M53" i="9"/>
  <c r="C85" i="9"/>
  <c r="C93" i="9"/>
  <c r="C92" i="9"/>
  <c r="C94" i="9"/>
  <c r="C86" i="9"/>
  <c r="C95" i="9"/>
  <c r="C96" i="9"/>
  <c r="C97" i="9"/>
  <c r="D58" i="9"/>
  <c r="D56" i="9"/>
  <c r="M54" i="9"/>
  <c r="D59" i="9"/>
  <c r="M55" i="9"/>
  <c r="N57" i="9"/>
  <c r="N59" i="9"/>
  <c r="N61" i="9"/>
  <c r="H112" i="9"/>
  <c r="D21" i="53"/>
  <c r="B39" i="72"/>
  <c r="H111" i="9"/>
  <c r="D126" i="9"/>
  <c r="D19" i="53"/>
  <c r="B38" i="72"/>
  <c r="D20" i="53"/>
  <c r="B40" i="72"/>
  <c r="I14" i="74"/>
  <c r="B8" i="74"/>
  <c r="D127" i="9"/>
  <c r="D13" i="52"/>
  <c r="D12" i="52"/>
  <c r="D8" i="74"/>
  <c r="C8" i="74"/>
  <c r="AD3" i="71"/>
  <c r="B4" i="62"/>
  <c r="B71" i="72"/>
  <c r="C65" i="40"/>
  <c r="D63" i="40"/>
  <c r="G16" i="1"/>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C28" i="11"/>
  <c r="C27" i="11"/>
  <c r="Y9" i="71"/>
  <c r="Z9" i="71"/>
  <c r="E7" i="49"/>
  <c r="AB3" i="71"/>
  <c r="X3" i="71"/>
  <c r="E10" i="49"/>
  <c r="E14" i="49"/>
  <c r="AF3" i="71"/>
  <c r="P24" i="43"/>
  <c r="B66" i="40"/>
  <c r="P21" i="43"/>
  <c r="P22" i="43"/>
  <c r="C14" i="12"/>
  <c r="B13" i="49"/>
  <c r="B9" i="49"/>
  <c r="C19" i="68"/>
  <c r="E6" i="49"/>
  <c r="B8" i="49"/>
  <c r="E4" i="49"/>
  <c r="B14" i="49"/>
  <c r="B22" i="49"/>
  <c r="C47" i="68"/>
  <c r="D4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B10" i="76"/>
  <c r="M27" i="67"/>
  <c r="B8" i="76"/>
  <c r="M29" i="67"/>
  <c r="AO7" i="1"/>
  <c r="F20" i="31"/>
  <c r="M21" i="15"/>
  <c r="F5" i="73"/>
  <c r="D2" i="21"/>
  <c r="D3" i="73"/>
  <c r="J57" i="15"/>
  <c r="J55" i="15"/>
  <c r="J58" i="15"/>
  <c r="J59" i="15"/>
  <c r="C76" i="15"/>
  <c r="L51" i="15"/>
  <c r="L57" i="15"/>
  <c r="L47" i="15"/>
  <c r="L58" i="15"/>
  <c r="L59" i="15"/>
  <c r="L60" i="15"/>
  <c r="AO6" i="1"/>
  <c r="E11" i="76"/>
  <c r="F7" i="73"/>
  <c r="F36" i="67"/>
  <c r="M6" i="67"/>
  <c r="AO12" i="1"/>
  <c r="F6" i="67"/>
  <c r="D34"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F9" i="67"/>
  <c r="AO9" i="1"/>
  <c r="B11" i="76"/>
  <c r="F37" i="67"/>
  <c r="AO11" i="1"/>
  <c r="D7" i="73"/>
  <c r="D6" i="73"/>
  <c r="F8" i="67"/>
  <c r="E7" i="76"/>
  <c r="M24" i="15"/>
  <c r="E10" i="76"/>
  <c r="AO10" i="1"/>
  <c r="M23" i="67"/>
  <c r="E2" i="69"/>
  <c r="E12" i="76"/>
  <c r="M22" i="15"/>
  <c r="F38" i="67"/>
  <c r="E8" i="76"/>
  <c r="E13" i="76"/>
  <c r="D2" i="35"/>
  <c r="M28" i="15"/>
  <c r="D4" i="73"/>
  <c r="E6" i="76"/>
  <c r="B6" i="76"/>
  <c r="F43" i="67"/>
  <c r="F41" i="67"/>
  <c r="B12" i="76"/>
  <c r="M26" i="67"/>
  <c r="M27" i="15"/>
  <c r="D35" i="9"/>
  <c r="F31" i="67"/>
  <c r="F31" i="15"/>
  <c r="E9" i="49"/>
  <c r="E13" i="49"/>
  <c r="B11" i="49"/>
  <c r="E21" i="49"/>
  <c r="E8" i="49"/>
  <c r="B10" i="49"/>
  <c r="E11" i="49"/>
  <c r="E22" i="49"/>
  <c r="B4" i="49"/>
  <c r="C29" i="69"/>
  <c r="D27" i="69"/>
  <c r="B6" i="49"/>
  <c r="R16" i="1"/>
  <c r="C12" i="12"/>
  <c r="C8" i="69"/>
  <c r="C5" i="69"/>
  <c r="F69" i="67"/>
  <c r="F71" i="67"/>
  <c r="B2" i="76"/>
  <c r="E2" i="76"/>
  <c r="E20" i="43"/>
  <c r="B2" i="35"/>
  <c r="B3" i="35"/>
  <c r="F66" i="67"/>
  <c r="B10" i="70"/>
  <c r="F51" i="67"/>
  <c r="F69" i="15"/>
  <c r="B11" i="70"/>
  <c r="F65" i="15"/>
  <c r="F65" i="67"/>
  <c r="B9" i="70"/>
  <c r="N59" i="15"/>
  <c r="M59" i="15"/>
  <c r="C103"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7" i="70"/>
  <c r="F68" i="15"/>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9" i="68"/>
  <c r="C46" i="68"/>
  <c r="C45" i="68"/>
  <c r="C15" i="67"/>
  <c r="C18" i="67"/>
  <c r="C19" i="67"/>
  <c r="C19" i="69"/>
  <c r="D37" i="69"/>
  <c r="C37" i="69"/>
  <c r="C33" i="69"/>
  <c r="G21"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C64" i="9"/>
  <c r="C63" i="9"/>
  <c r="C67" i="9"/>
  <c r="C68" i="9"/>
  <c r="D54" i="9"/>
  <c r="C78" i="9"/>
  <c r="C73" i="9"/>
  <c r="C72" i="9"/>
  <c r="C79" i="9"/>
  <c r="D52" i="9"/>
  <c r="D53" i="9"/>
  <c r="B20" i="72"/>
  <c r="D6" i="53"/>
  <c r="B22" i="72"/>
  <c r="Q48" i="15"/>
  <c r="J22" i="15"/>
  <c r="J13" i="15"/>
  <c r="J23" i="15"/>
  <c r="Q48" i="67"/>
  <c r="C37" i="67"/>
  <c r="C30" i="67"/>
  <c r="C39" i="67"/>
  <c r="L51" i="67"/>
  <c r="L57" i="67"/>
  <c r="L60" i="67"/>
  <c r="L46"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B6" i="74"/>
  <c r="D123" i="9"/>
  <c r="D9" i="52"/>
  <c r="D8" i="52"/>
  <c r="D14" i="53"/>
  <c r="B32" i="72"/>
  <c r="B30" i="72"/>
  <c r="C80" i="67"/>
  <c r="C79" i="67"/>
  <c r="C80" i="9"/>
  <c r="C81" i="9"/>
  <c r="E80" i="9"/>
  <c r="E81" i="9"/>
  <c r="C80" i="15"/>
  <c r="C79" i="15"/>
  <c r="C58" i="67"/>
  <c r="C67" i="67"/>
  <c r="C68" i="67"/>
  <c r="Q67" i="67"/>
  <c r="Q67" i="15"/>
  <c r="E96" i="9"/>
  <c r="E97" i="9"/>
  <c r="Q65" i="15"/>
  <c r="Q47" i="15"/>
  <c r="Q53" i="15"/>
  <c r="Q56" i="15"/>
  <c r="C43" i="15"/>
  <c r="C83" i="15"/>
  <c r="C82" i="15"/>
  <c r="C45" i="67"/>
  <c r="C46" i="67"/>
  <c r="C71" i="67"/>
  <c r="D6" i="74"/>
  <c r="C6" i="74"/>
  <c r="C46" i="15"/>
  <c r="Q56" i="67"/>
  <c r="C43" i="67"/>
  <c r="Q47" i="67"/>
  <c r="Q53" i="67"/>
  <c r="Q65" i="67"/>
  <c r="D2" i="67"/>
  <c r="C83" i="67"/>
  <c r="C82" i="67"/>
  <c r="B3" i="67"/>
  <c r="B2"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<sst xmlns="http://schemas.openxmlformats.org/spreadsheetml/2006/main" count="7642" uniqueCount="3127">
  <si>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</si>
  <si>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</si>
  <si>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</si>
  <si>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</si>
  <si>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</si>
  <si>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</si>
  <si>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</si>
  <si>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</si>
  <si>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</si>
  <si>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</si>
  <si>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</si>
  <si>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</si>
  <si>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</si>
  <si>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</si>
  <si>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</si>
  <si>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</si>
  <si>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</si>
  <si>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</si>
  <si>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</si>
  <si>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</si>
  <si>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</si>
  <si>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</si>
  <si>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</si>
  <si>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</si>
  <si>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</si>
  <si>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</si>
  <si>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</si>
  <si>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</si>
  <si>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</si>
  <si>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</si>
  <si>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</si>
  <si>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</si>
  <si>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</si>
  <si>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</si>
  <si>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</si>
  <si>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</si>
  <si>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</si>
  <si>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</si>
  <si>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</si>
  <si>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</si>
  <si>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</si>
  <si>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</si>
  <si>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</si>
  <si>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</si>
  <si>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</si>
  <si>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</si>
  <si>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</si>
  <si>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</si>
  <si>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</si>
  <si>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</si>
  <si>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</si>
  <si>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</si>
  <si>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</si>
  <si>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</si>
  <si>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</si>
  <si>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</si>
  <si>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</si>
  <si>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</si>
  <si>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</si>
  <si>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</si>
  <si>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</si>
  <si>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</si>
  <si>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</si>
  <si>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</si>
  <si>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</si>
  <si>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</si>
  <si>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</si>
  <si>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</si>
  <si>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</si>
  <si>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</si>
  <si>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</si>
  <si>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</si>
  <si>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</si>
  <si>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</si>
  <si>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</si>
  <si>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</si>
  <si>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</si>
  <si>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</si>
  <si>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</si>
  <si>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</si>
  <si>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</si>
  <si>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</si>
  <si>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</si>
  <si>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</si>
  <si>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</si>
  <si>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</si>
  <si>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</si>
  <si>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</si>
  <si>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</si>
  <si>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</si>
  <si>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</si>
  <si>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</si>
  <si>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</si>
  <si>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</si>
  <si>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</si>
  <si>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</si>
  <si>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</si>
  <si>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</si>
  <si>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</si>
  <si>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</si>
  <si>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</si>
  <si>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</si>
  <si>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</si>
  <si>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</si>
  <si>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</si>
  <si>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</si>
  <si>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</si>
  <si>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</si>
  <si>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</si>
  <si>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</si>
  <si>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</si>
  <si>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</si>
  <si>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</si>
  <si>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</si>
  <si>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</si>
  <si>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</si>
  <si>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</si>
  <si>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</si>
  <si>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</si>
  <si>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</si>
  <si>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</si>
  <si>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</si>
  <si>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</si>
  <si>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</si>
  <si>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</si>
  <si>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</si>
  <si>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</si>
  <si>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</si>
  <si>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</si>
  <si>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</si>
  <si>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</si>
  <si>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</si>
  <si>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</si>
  <si>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</si>
  <si>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</si>
  <si>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</si>
  <si>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</si>
  <si>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</si>
  <si>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</si>
  <si>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</si>
  <si>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</si>
  <si>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</si>
  <si>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</si>
  <si>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</si>
  <si>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</si>
  <si>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</si>
  <si>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</si>
  <si>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</si>
  <si>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</si>
  <si>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</si>
  <si>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</si>
  <si>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</si>
  <si>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</si>
  <si>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</si>
  <si>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</si>
  <si>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</si>
  <si>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</si>
  <si>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</si>
  <si>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</si>
  <si>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</si>
  <si>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</si>
  <si>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</si>
  <si>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</si>
  <si>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</si>
  <si>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</si>
  <si>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</si>
  <si>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</si>
  <si>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</si>
  <si>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</si>
  <si>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</si>
  <si>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</si>
  <si>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</si>
  <si>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</si>
  <si>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</si>
  <si>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</si>
  <si>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</si>
  <si>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</si>
  <si>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</si>
  <si>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</si>
  <si>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</si>
  <si>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</si>
  <si>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</si>
  <si>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</si>
  <si>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</si>
  <si>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</si>
  <si>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</si>
  <si>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</si>
  <si>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</si>
  <si>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</si>
  <si>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</si>
  <si>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</si>
  <si>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</si>
  <si>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</si>
  <si>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</si>
  <si>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</si>
  <si>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</si>
  <si>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</si>
  <si>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</si>
  <si>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</si>
  <si>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</si>
  <si>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</si>
  <si>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</si>
  <si>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</si>
  <si>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</si>
  <si>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</si>
  <si>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</si>
  <si>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</si>
  <si>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</si>
  <si>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</si>
  <si>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</si>
  <si>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</si>
  <si>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</si>
  <si>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</si>
  <si>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</si>
  <si>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</si>
  <si>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</si>
  <si>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</si>
  <si>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</si>
  <si>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</si>
  <si>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</si>
  <si>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</si>
  <si>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</si>
  <si>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</si>
  <si>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</si>
  <si>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</si>
  <si>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</si>
  <si>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</si>
  <si>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</si>
  <si>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</si>
  <si>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</si>
  <si>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</si>
  <si>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</si>
  <si>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</si>
  <si>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</si>
  <si>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</si>
  <si>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</si>
  <si>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</si>
  <si>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</si>
  <si>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</si>
  <si>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</si>
  <si>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</si>
  <si>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</si>
  <si>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</si>
  <si>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</si>
  <si>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</si>
  <si>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</si>
  <si>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</si>
  <si>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</si>
  <si>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</si>
  <si>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</si>
  <si>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</si>
  <si>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</si>
  <si>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</si>
  <si>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</si>
  <si>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</si>
  <si>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</si>
  <si>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</si>
  <si>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</si>
  <si>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</si>
  <si>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</si>
  <si>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</si>
  <si>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</si>
  <si>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</si>
  <si>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</si>
  <si>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</si>
  <si>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</si>
  <si>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</si>
  <si>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</si>
  <si>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</si>
  <si>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</si>
  <si>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</si>
  <si>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</si>
  <si>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</si>
  <si>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</si>
  <si>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</si>
  <si>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</si>
  <si>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</si>
  <si>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</si>
  <si>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</si>
  <si>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</si>
  <si>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</si>
  <si>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</si>
  <si>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</si>
  <si>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</si>
  <si>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</si>
  <si>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</si>
  <si>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</si>
  <si>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</si>
  <si>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</si>
  <si>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</si>
  <si>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</si>
  <si>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</si>
  <si>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</si>
  <si>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</si>
  <si>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</si>
  <si>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</si>
  <si>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</si>
  <si>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</si>
  <si>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</si>
  <si>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</si>
  <si>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</si>
  <si>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</si>
  <si>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</si>
  <si>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</si>
  <si>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</si>
  <si>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</si>
  <si>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</si>
  <si>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</si>
  <si>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</si>
  <si>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</si>
  <si>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</si>
  <si>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</si>
  <si>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</si>
  <si>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</si>
  <si>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</si>
  <si>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</si>
  <si>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</si>
  <si>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</si>
  <si>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</si>
  <si>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</si>
  <si>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</si>
  <si>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</si>
  <si>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</si>
  <si>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</si>
  <si>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</si>
  <si>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</si>
  <si>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</si>
  <si>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</si>
  <si>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</si>
  <si>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</si>
  <si>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</si>
  <si>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</si>
  <si>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</si>
  <si>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</si>
  <si>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</si>
  <si>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</si>
  <si>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</si>
  <si>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</si>
  <si>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</si>
  <si>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</si>
  <si>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</si>
  <si>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</si>
  <si>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</si>
  <si>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</si>
  <si>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</si>
  <si>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</si>
  <si>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</si>
  <si>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</si>
  <si>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</si>
  <si>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</si>
  <si>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</si>
  <si>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</si>
  <si>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</si>
  <si>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</si>
  <si>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</si>
  <si>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</si>
  <si>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</si>
  <si>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</si>
  <si>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</si>
  <si>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</si>
  <si>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</si>
  <si>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</si>
  <si>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</si>
  <si>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</si>
  <si>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</si>
  <si>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</si>
  <si>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</si>
  <si>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</si>
  <si>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</si>
  <si>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</si>
  <si>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</si>
  <si>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</si>
  <si>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</si>
  <si>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</si>
  <si>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</si>
  <si>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</si>
  <si>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</si>
  <si>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</si>
  <si>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</si>
  <si>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</si>
  <si>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</si>
  <si>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</si>
  <si>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</si>
  <si>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</si>
  <si>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</si>
  <si>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</si>
  <si>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</si>
  <si>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</si>
  <si>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</si>
  <si>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</si>
  <si>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</si>
  <si>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</si>
  <si>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</si>
  <si>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</si>
  <si>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</si>
  <si>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</si>
  <si>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</si>
  <si>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</si>
  <si>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</si>
  <si>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</si>
  <si>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</si>
  <si>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</si>
  <si>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</si>
  <si>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</si>
  <si>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</si>
  <si>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</si>
  <si>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</si>
  <si>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</si>
  <si>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</si>
  <si>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</si>
  <si>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</si>
  <si>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</si>
  <si>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</si>
  <si>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</si>
  <si>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</si>
  <si>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</si>
  <si>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</si>
  <si>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</si>
  <si>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</si>
  <si>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</si>
  <si>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</si>
  <si>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</si>
  <si>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</si>
  <si>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</si>
  <si>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</si>
  <si>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</si>
  <si>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</si>
  <si>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</si>
  <si>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</si>
  <si>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</si>
  <si>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</si>
  <si>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</si>
  <si>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</si>
  <si>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</si>
  <si>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</si>
  <si>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</si>
  <si>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</si>
  <si>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</si>
  <si>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</si>
  <si>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</si>
  <si>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</si>
  <si>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</si>
  <si>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</si>
  <si>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</si>
  <si>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</si>
  <si>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</si>
  <si>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</si>
  <si>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</si>
  <si>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</si>
  <si>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</si>
  <si>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</si>
  <si>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</si>
  <si>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</si>
  <si>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</si>
  <si>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</si>
  <si>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</si>
  <si>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</si>
  <si>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</si>
  <si>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</si>
  <si>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</si>
  <si>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</si>
  <si>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</si>
  <si>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</si>
  <si>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</si>
  <si>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</si>
  <si>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</si>
  <si>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</si>
  <si>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</si>
  <si>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</si>
  <si>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</si>
  <si>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</si>
  <si>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</si>
  <si>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</si>
  <si>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</si>
  <si>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</si>
  <si>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</si>
  <si>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</si>
  <si>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</si>
  <si>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</si>
  <si>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</si>
  <si>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</si>
  <si>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</si>
  <si>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</si>
  <si>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</si>
  <si>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</si>
  <si>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</si>
  <si>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</si>
  <si>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</si>
  <si>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</si>
  <si>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</si>
  <si>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</si>
  <si>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</si>
  <si>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</si>
  <si>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</si>
  <si>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</si>
  <si>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</si>
  <si>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</si>
  <si>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</si>
  <si>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</si>
  <si>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</si>
  <si>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</si>
  <si>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</si>
  <si>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</si>
  <si>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</si>
  <si>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</si>
  <si>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</si>
  <si>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</si>
  <si>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</si>
  <si>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</si>
  <si>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</si>
  <si>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</si>
  <si>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</si>
  <si>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</si>
  <si>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</si>
  <si>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</si>
  <si>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</si>
  <si>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</si>
  <si>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</si>
  <si>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</si>
  <si>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</si>
  <si>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</si>
  <si>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</si>
  <si>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</si>
  <si>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</si>
  <si>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</si>
  <si>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</si>
  <si>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</si>
  <si>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</si>
  <si>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</si>
  <si>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</si>
  <si>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</si>
  <si>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</si>
  <si>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</si>
  <si>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</si>
  <si>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</si>
  <si>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</si>
  <si>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</si>
  <si>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</si>
  <si>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</si>
  <si>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</si>
  <si>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</si>
  <si>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</si>
  <si>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</si>
  <si>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</si>
  <si>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</si>
  <si>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</si>
  <si>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</si>
  <si>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</si>
  <si>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</si>
  <si>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</si>
  <si>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</si>
  <si>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</si>
  <si>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</si>
  <si>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</si>
  <si>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</si>
  <si>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</si>
  <si>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</si>
  <si>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</si>
  <si>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</si>
  <si>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</si>
  <si>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</si>
  <si>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</si>
  <si>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</si>
  <si>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</si>
  <si>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</si>
  <si>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</si>
  <si>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</si>
  <si>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</si>
  <si>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</si>
  <si>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</si>
  <si>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</si>
  <si>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</si>
  <si>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</si>
  <si>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</si>
  <si>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</si>
  <si>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</si>
  <si>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</si>
  <si>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</si>
  <si>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</si>
  <si>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</si>
  <si>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</si>
  <si>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</si>
  <si>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</si>
  <si>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</si>
  <si>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</si>
  <si>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</si>
  <si>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</si>
  <si>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</si>
  <si>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</si>
  <si>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</si>
  <si>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</si>
  <si>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</si>
  <si>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</si>
  <si>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</si>
  <si>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</si>
  <si>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</si>
  <si>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</si>
  <si>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</si>
  <si>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</si>
  <si>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</si>
  <si>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</si>
  <si>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</si>
  <si>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</si>
  <si>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</si>
  <si>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</si>
  <si>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</si>
  <si>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</si>
  <si>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</si>
  <si>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</si>
  <si>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</si>
  <si>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</si>
  <si>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</si>
  <si>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</si>
  <si>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</si>
  <si>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</si>
  <si>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</si>
  <si>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</si>
  <si>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</si>
  <si>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</si>
  <si>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</si>
  <si>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</si>
  <si>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</si>
  <si>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</si>
  <si>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</si>
  <si>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</si>
  <si>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</si>
  <si>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</si>
  <si>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</si>
  <si>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</si>
  <si>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</si>
  <si>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</si>
  <si>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</si>
  <si>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</si>
  <si>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</si>
  <si>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</si>
  <si>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</si>
  <si>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</si>
  <si>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</si>
  <si>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</si>
  <si>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</si>
  <si>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</si>
  <si>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</si>
  <si>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</si>
  <si>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</si>
  <si>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</si>
  <si>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</si>
  <si>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</si>
  <si>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</si>
  <si>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</si>
  <si>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</si>
  <si>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</si>
  <si>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</si>
  <si>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</si>
  <si>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</si>
  <si>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</si>
  <si>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</si>
  <si>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</si>
  <si>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</si>
  <si>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</si>
  <si>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</si>
  <si>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</si>
  <si>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</si>
  <si>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</si>
  <si>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</si>
  <si>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</si>
  <si>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</si>
  <si>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</si>
  <si>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</si>
  <si>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</si>
  <si>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</si>
  <si>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</si>
  <si>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</si>
  <si>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</si>
  <si>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</si>
  <si>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</si>
  <si>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</si>
  <si>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</si>
  <si>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</si>
  <si>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</si>
  <si>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</si>
  <si>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</si>
  <si>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</si>
  <si>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</si>
  <si>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</si>
  <si>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</si>
  <si>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</si>
  <si>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</si>
  <si>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</si>
  <si>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</si>
  <si>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</si>
  <si>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</si>
  <si>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</si>
  <si>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</si>
  <si>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</si>
  <si>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</si>
  <si>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</si>
  <si>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</si>
  <si>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</si>
  <si>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</si>
  <si>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</si>
  <si>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</si>
  <si>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</si>
  <si>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</si>
  <si>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</si>
  <si>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</si>
  <si>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</si>
  <si>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</si>
  <si>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</si>
  <si>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</si>
  <si>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</si>
  <si>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</si>
  <si>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</si>
  <si>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</si>
  <si>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</si>
  <si>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</si>
  <si>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</si>
  <si>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</si>
  <si>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</si>
  <si>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</si>
  <si>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</si>
  <si>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</si>
  <si>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</si>
  <si>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</si>
  <si>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</si>
  <si>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</si>
  <si>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</si>
  <si>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</si>
  <si>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</si>
  <si>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</si>
  <si>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</si>
  <si>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</si>
  <si>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</si>
  <si>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</si>
  <si>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</si>
  <si>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</si>
  <si>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</si>
  <si>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</si>
  <si>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</si>
  <si>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</si>
  <si>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</si>
  <si>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</si>
  <si>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</si>
  <si>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</si>
  <si>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</si>
  <si>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</si>
  <si>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</si>
  <si>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</si>
  <si>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</si>
  <si>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</si>
  <si>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</si>
  <si>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</si>
  <si>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</si>
  <si>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</si>
  <si>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</si>
  <si>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</si>
  <si>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</si>
  <si>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</si>
  <si>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</si>
  <si>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</si>
  <si>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</si>
  <si>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</si>
  <si>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</si>
  <si>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</si>
  <si>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</si>
  <si>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</si>
  <si>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</si>
  <si>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</si>
  <si>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</si>
  <si>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</si>
  <si>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</si>
  <si>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</si>
  <si>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</si>
  <si>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</si>
  <si>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</si>
  <si>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</si>
  <si>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</si>
  <si>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</si>
  <si>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</si>
  <si>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</si>
  <si>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</si>
  <si>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</si>
  <si>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</si>
  <si>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</si>
  <si>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</si>
  <si>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</si>
  <si>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</si>
  <si>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</si>
  <si>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</si>
  <si>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</si>
  <si>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</si>
  <si>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</si>
  <si>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</si>
  <si>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</si>
  <si>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</si>
  <si>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</si>
  <si>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</si>
  <si>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</si>
  <si>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</si>
  <si>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</si>
  <si>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</si>
  <si>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</si>
  <si>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</si>
  <si>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</si>
  <si>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</si>
  <si>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</si>
  <si>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</si>
  <si>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</si>
  <si>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</si>
  <si>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</si>
  <si>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</si>
  <si>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</si>
  <si>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</si>
  <si>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</si>
  <si>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</si>
  <si>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</si>
  <si>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</si>
  <si>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</si>
  <si>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</si>
  <si>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</si>
  <si>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</si>
  <si>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</si>
  <si>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</si>
  <si>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</si>
  <si>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</si>
  <si>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</si>
  <si>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</si>
  <si>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</si>
  <si>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</si>
  <si>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</si>
  <si>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</si>
  <si>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</si>
  <si>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</si>
  <si>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</si>
  <si>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</si>
  <si>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</si>
  <si>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</si>
  <si>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</si>
  <si>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</si>
  <si>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</si>
  <si>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</si>
  <si>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</si>
  <si>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</si>
  <si>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</si>
  <si>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</si>
  <si>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</si>
  <si>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</si>
  <si>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</si>
  <si>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</si>
  <si>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</si>
  <si>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</si>
  <si>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</si>
  <si>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</si>
  <si>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</si>
  <si>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</si>
  <si>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</si>
  <si>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</si>
  <si>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</si>
  <si>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</si>
  <si>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</si>
  <si>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</si>
  <si>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</si>
  <si>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</si>
  <si>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</si>
  <si>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</si>
  <si>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</si>
  <si>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</si>
  <si>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</si>
  <si>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</si>
  <si>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</si>
  <si>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</si>
  <si>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</si>
  <si>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</si>
  <si>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</si>
  <si>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</si>
  <si>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</si>
  <si>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</si>
  <si>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</si>
  <si>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</si>
  <si>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</si>
  <si>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</si>
  <si>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</si>
  <si>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</si>
  <si>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</si>
  <si>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</si>
  <si>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</si>
  <si>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</si>
  <si>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</si>
  <si>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</si>
  <si>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</si>
  <si>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</si>
  <si>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</si>
  <si>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</si>
  <si>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</si>
  <si>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</si>
  <si>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</si>
  <si>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</si>
  <si>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</si>
  <si>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</si>
  <si>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</si>
  <si>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</si>
  <si>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</si>
  <si>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</si>
  <si>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</si>
  <si>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</si>
  <si>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</si>
  <si>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</si>
  <si>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</si>
  <si>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</si>
  <si>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</si>
  <si>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</si>
  <si>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</si>
  <si>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</si>
  <si>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</si>
  <si>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</si>
  <si>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</si>
  <si>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</si>
  <si>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</si>
  <si>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</si>
  <si>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</si>
  <si>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</si>
  <si>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</si>
  <si>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</si>
  <si>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</si>
  <si>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</si>
  <si>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</si>
  <si>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</si>
  <si>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</si>
  <si>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</si>
  <si>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</si>
  <si>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</si>
  <si>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</si>
  <si>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</si>
  <si>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</si>
  <si>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</si>
  <si>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</si>
  <si>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</si>
  <si>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</si>
  <si>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</si>
  <si>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</si>
  <si>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</si>
  <si>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</si>
  <si>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</si>
  <si>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</si>
  <si>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</si>
  <si>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</si>
  <si>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</si>
  <si>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</si>
  <si>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</si>
  <si>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</si>
  <si>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</si>
  <si>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</si>
  <si>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</si>
  <si>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</si>
  <si>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</si>
  <si>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</si>
  <si>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</si>
  <si>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</si>
  <si>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</si>
  <si>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</si>
  <si>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</si>
  <si>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</si>
  <si>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</si>
  <si>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</si>
  <si>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</si>
  <si>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</si>
  <si>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</si>
  <si>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</si>
  <si>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</si>
  <si>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</si>
  <si>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</si>
  <si>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</si>
  <si>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</si>
  <si>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</si>
  <si>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</si>
  <si>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</si>
  <si>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</si>
  <si>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</si>
  <si>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</si>
  <si>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</si>
  <si>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</si>
  <si>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</si>
  <si>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</si>
  <si>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</si>
  <si>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</si>
  <si>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</si>
  <si>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</si>
  <si>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</si>
  <si>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</si>
  <si>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</si>
  <si>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</si>
  <si>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</si>
  <si>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</si>
  <si>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</si>
  <si>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</si>
  <si>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</si>
  <si>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</si>
  <si>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</si>
  <si>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</si>
  <si>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</si>
  <si>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</si>
  <si>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</si>
  <si>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</si>
  <si>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</si>
  <si>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</si>
  <si>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</si>
  <si>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</si>
  <si>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</si>
  <si>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</si>
  <si>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</si>
  <si>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</si>
  <si>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</si>
  <si>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</si>
  <si>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</si>
  <si>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</si>
  <si>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</si>
  <si>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</si>
  <si>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</si>
  <si>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</si>
  <si>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</si>
  <si>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</si>
  <si>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</si>
  <si>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</si>
  <si>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</si>
  <si>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</si>
  <si>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</si>
  <si>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</si>
  <si>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</si>
  <si>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</si>
  <si>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</si>
  <si>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</si>
  <si>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</si>
  <si>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</si>
  <si>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</si>
  <si>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</si>
  <si>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</si>
  <si>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</si>
  <si>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</si>
  <si>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</si>
  <si>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</si>
  <si>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</si>
  <si>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</si>
  <si>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</si>
  <si>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</si>
  <si>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</si>
  <si>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</si>
  <si>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</si>
  <si>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</si>
  <si>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</si>
  <si>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</si>
  <si>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</si>
  <si>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</si>
  <si>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</si>
  <si>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</si>
  <si>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</si>
  <si>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</si>
  <si>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</si>
  <si>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</si>
  <si>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</si>
  <si>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</si>
  <si>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</si>
  <si>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</si>
  <si>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</si>
  <si>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</si>
  <si>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</si>
  <si>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</si>
  <si>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</si>
  <si>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</si>
  <si>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</si>
  <si>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</si>
  <si>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</si>
  <si>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</si>
  <si>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</si>
  <si>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</si>
  <si>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</si>
  <si>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</si>
  <si>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</si>
  <si>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</si>
  <si>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</si>
  <si>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</si>
  <si>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</si>
  <si>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</si>
  <si>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</si>
  <si>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</si>
  <si>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</si>
  <si>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</si>
  <si>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</si>
  <si>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</si>
  <si>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</si>
  <si>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</si>
  <si>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</si>
  <si>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</si>
  <si>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</si>
  <si>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</si>
  <si>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</si>
  <si>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</si>
  <si>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</si>
  <si>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</si>
  <si>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</si>
  <si>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</si>
  <si>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</si>
  <si>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</si>
  <si>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</si>
  <si>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</si>
  <si>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</si>
  <si>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</si>
  <si>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</si>
  <si>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</si>
  <si>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</si>
  <si>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</si>
  <si>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</si>
  <si>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</si>
  <si>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</si>
  <si>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</si>
  <si>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</si>
  <si>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</si>
  <si>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</si>
  <si>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</si>
  <si>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</si>
  <si>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</si>
  <si>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</si>
  <si>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</si>
  <si>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</si>
  <si>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</si>
  <si>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</si>
  <si>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</si>
  <si>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</si>
  <si>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</si>
  <si>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</si>
  <si>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</si>
  <si>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</si>
  <si>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</si>
  <si>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</si>
  <si>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</si>
  <si>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</si>
  <si>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</si>
  <si>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</si>
  <si>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</si>
  <si>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</si>
  <si>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</si>
  <si>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</si>
  <si>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</si>
  <si>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</si>
  <si>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</si>
  <si>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</si>
  <si>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</si>
  <si>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</si>
  <si>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</si>
  <si>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</si>
  <si>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</si>
  <si>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</si>
  <si>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</si>
  <si>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</si>
  <si>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</si>
  <si>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</si>
  <si>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</si>
  <si>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</si>
  <si>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</si>
  <si>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</si>
  <si>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</si>
  <si>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</si>
  <si>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</si>
  <si>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</si>
  <si>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</si>
  <si>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</si>
  <si>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</si>
  <si>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</si>
  <si>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</si>
  <si>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</si>
  <si>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</si>
  <si>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</si>
  <si>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</si>
  <si>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</si>
  <si>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</si>
  <si>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</si>
  <si>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</si>
  <si>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</si>
  <si>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</si>
  <si>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</si>
  <si>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</si>
  <si>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</si>
  <si>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</si>
  <si>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</si>
  <si>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</si>
  <si>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</si>
  <si>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</si>
  <si>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</si>
  <si>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</si>
  <si>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</si>
  <si>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</si>
  <si>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</si>
  <si>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</si>
  <si>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</si>
  <si>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</si>
  <si>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</si>
  <si>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</si>
  <si>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</si>
  <si>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</si>
  <si>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</si>
  <si>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</si>
  <si>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</si>
  <si>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</si>
  <si>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</si>
  <si>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</si>
  <si>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</si>
  <si>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</si>
  <si>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</si>
  <si>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</si>
  <si>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</si>
  <si>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</si>
  <si>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</si>
  <si>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</si>
  <si>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</si>
  <si>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</si>
  <si>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</si>
  <si>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</si>
  <si>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</si>
  <si>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</si>
  <si>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</si>
  <si>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</si>
  <si>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</si>
  <si>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</si>
  <si>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</si>
  <si>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</si>
  <si>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</si>
  <si>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</si>
  <si>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</si>
  <si>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</si>
  <si>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</si>
  <si>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</si>
  <si>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</si>
  <si>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</si>
  <si>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</si>
  <si>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</si>
  <si>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</si>
  <si>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</si>
  <si>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</si>
  <si>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</si>
  <si>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</si>
  <si>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</si>
  <si>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</si>
  <si>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</si>
  <si>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</si>
  <si>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</si>
  <si>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</si>
  <si>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</si>
  <si>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</si>
  <si>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</si>
  <si>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</si>
  <si>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</si>
  <si>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</si>
  <si>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</si>
  <si>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</si>
  <si>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</si>
  <si>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</si>
  <si>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</si>
  <si>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</si>
  <si>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</si>
  <si>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</si>
  <si>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</si>
  <si>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</si>
  <si>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</si>
  <si>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</si>
  <si>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</si>
  <si>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</si>
  <si>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</si>
  <si>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</si>
  <si>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</si>
  <si>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</si>
  <si>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</si>
  <si>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</si>
  <si>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</si>
  <si>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</si>
  <si>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</si>
  <si>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</si>
  <si>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</si>
  <si>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</si>
  <si>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</si>
  <si>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</si>
  <si>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</si>
  <si>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</si>
  <si>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</si>
  <si>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</si>
  <si>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</si>
  <si>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</si>
  <si>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</si>
  <si>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</si>
  <si>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</si>
  <si>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</si>
  <si>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</si>
  <si>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</si>
  <si>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</si>
  <si>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</si>
  <si>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</si>
  <si>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</si>
  <si>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</si>
  <si>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</si>
  <si>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</si>
  <si>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</si>
  <si>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</si>
  <si>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</si>
  <si>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</si>
  <si>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</si>
  <si>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</si>
  <si>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</si>
  <si>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</si>
  <si>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</si>
  <si>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</si>
  <si>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</si>
  <si>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</si>
  <si>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</si>
  <si>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</si>
  <si>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</si>
  <si>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</si>
  <si>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</si>
  <si>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</si>
  <si>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</si>
  <si>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</si>
  <si>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</si>
  <si>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</si>
  <si>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</si>
  <si>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</si>
  <si>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</si>
  <si>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</si>
  <si>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</si>
  <si>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</si>
  <si>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</si>
  <si>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</si>
  <si>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</si>
  <si>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</si>
  <si>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</si>
  <si>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</si>
  <si>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</si>
  <si>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</si>
  <si>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</si>
  <si>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</si>
  <si>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</si>
  <si>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</si>
  <si>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</si>
  <si>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</si>
  <si>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</si>
  <si>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</si>
  <si>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</si>
  <si>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</si>
  <si>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</si>
  <si>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</si>
  <si>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</si>
  <si>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</si>
  <si>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</si>
  <si>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</si>
  <si>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</si>
  <si>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</si>
  <si>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</si>
  <si>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</si>
  <si>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</si>
  <si>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</si>
  <si>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</si>
  <si>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</si>
  <si>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</si>
  <si>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</si>
  <si>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</si>
  <si>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</si>
  <si>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</si>
  <si>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</si>
  <si>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</si>
  <si>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</si>
  <si>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</si>
  <si>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</si>
  <si>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</si>
  <si>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</si>
  <si>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</si>
  <si>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</si>
  <si>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</si>
  <si>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</si>
  <si>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</si>
  <si>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</si>
  <si>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</si>
  <si>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</si>
  <si>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</si>
  <si>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</si>
  <si>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</si>
  <si>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</si>
  <si>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</si>
  <si>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</si>
  <si>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</si>
  <si>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</si>
  <si>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</si>
  <si>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</si>
  <si>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</si>
  <si>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</si>
  <si>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</si>
  <si>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</si>
  <si>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</si>
  <si>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</si>
  <si>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</si>
  <si>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</si>
  <si>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</si>
  <si>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</si>
  <si>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</si>
  <si>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</si>
  <si>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</si>
  <si>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</si>
  <si>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</si>
  <si>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</si>
  <si>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</si>
  <si>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</si>
  <si>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</si>
  <si>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</si>
  <si>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</si>
  <si>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</si>
  <si>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</si>
  <si>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</si>
  <si>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</si>
  <si>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</si>
  <si>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</si>
  <si>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</si>
  <si>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</si>
  <si>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</si>
  <si>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</si>
  <si>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</si>
  <si>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</si>
  <si>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</si>
  <si>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</si>
  <si>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</si>
  <si>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</si>
  <si>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</si>
  <si>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</si>
  <si>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</si>
  <si>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</si>
  <si>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</si>
  <si>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</si>
  <si>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</si>
  <si>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</si>
  <si>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</si>
  <si>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</si>
  <si>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</si>
  <si>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</si>
  <si>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</si>
  <si>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</si>
  <si>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</si>
  <si>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</si>
  <si>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</si>
  <si>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</si>
  <si>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</si>
  <si>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</si>
  <si>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</si>
  <si>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</si>
  <si>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</si>
  <si>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</si>
  <si>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</si>
  <si>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</si>
  <si>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</si>
  <si>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</si>
  <si>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</si>
  <si>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</si>
  <si>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</si>
  <si>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</si>
  <si>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</si>
  <si>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</si>
  <si>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</si>
  <si>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</si>
  <si>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</si>
  <si>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</si>
  <si>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</si>
  <si>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</si>
  <si>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</si>
  <si>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</si>
  <si>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</si>
  <si>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</si>
  <si>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</si>
  <si>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</si>
  <si>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</si>
  <si>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</si>
  <si>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</si>
  <si>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</si>
  <si>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</si>
  <si>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</si>
  <si>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</si>
  <si>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</si>
  <si>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</si>
  <si>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</si>
  <si>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</si>
  <si>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</si>
  <si>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</si>
  <si>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</si>
  <si>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</si>
  <si>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</si>
  <si>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</si>
  <si>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</si>
  <si>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</si>
  <si>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</si>
  <si>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</si>
  <si>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</si>
  <si>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</si>
  <si>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</si>
  <si>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</si>
  <si>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</si>
  <si>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</si>
  <si>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</si>
  <si>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</si>
  <si>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</si>
  <si>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</si>
  <si>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</si>
  <si>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</si>
  <si>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</si>
  <si>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</si>
  <si>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</si>
  <si>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</si>
  <si>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</si>
  <si>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</si>
  <si>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</si>
  <si>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</si>
  <si>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</si>
  <si>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</si>
  <si>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</si>
  <si>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</si>
  <si>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</si>
  <si>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</si>
  <si>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</si>
  <si>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</si>
  <si>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</si>
  <si>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</si>
  <si>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</si>
  <si>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</si>
  <si>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</si>
  <si>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</si>
  <si>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</si>
  <si>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</si>
  <si>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</si>
  <si>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</si>
  <si>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</si>
  <si>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</si>
  <si>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</si>
  <si>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</si>
  <si>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</si>
  <si>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</si>
  <si>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</si>
  <si>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</si>
  <si>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</si>
  <si>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</si>
  <si>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</si>
  <si>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</si>
  <si>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</si>
  <si>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</si>
  <si>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</si>
  <si>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</si>
  <si>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</si>
  <si>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</si>
  <si>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</si>
  <si>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</si>
  <si>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</si>
  <si>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</si>
  <si>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</si>
  <si>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</si>
  <si>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</si>
  <si>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</si>
  <si>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</si>
  <si>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</si>
  <si>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</si>
  <si>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</si>
  <si>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</si>
  <si>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</si>
  <si>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</si>
  <si>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</si>
  <si>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</si>
  <si>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</si>
  <si>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</si>
  <si>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</si>
  <si>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</si>
  <si>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</si>
  <si>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</si>
  <si>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</si>
  <si>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</si>
  <si>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</si>
  <si>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</si>
  <si>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</si>
  <si>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</si>
  <si>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</si>
  <si>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</si>
  <si>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</si>
  <si>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</si>
  <si>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</si>
  <si>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</si>
  <si>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</si>
  <si>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</si>
  <si>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</si>
  <si>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</si>
  <si>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</si>
  <si>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</si>
  <si>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</si>
  <si>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</si>
  <si>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</si>
  <si>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</si>
  <si>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</si>
  <si>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</si>
  <si>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</si>
  <si>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</si>
  <si>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</si>
  <si>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</si>
  <si>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</si>
  <si>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</si>
  <si>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</si>
  <si>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</si>
  <si>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</si>
  <si>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</si>
  <si>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</si>
  <si>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</si>
  <si>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</si>
  <si>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</si>
  <si>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</si>
  <si>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</si>
  <si>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</si>
  <si>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</si>
  <si>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</si>
  <si>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</si>
  <si>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</si>
  <si>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</si>
  <si>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</si>
  <si>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</si>
  <si>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</si>
  <si>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</si>
  <si>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</si>
  <si>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</si>
  <si>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</si>
  <si>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</si>
  <si>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</si>
  <si>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</si>
  <si>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</si>
  <si>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</si>
  <si>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</si>
  <si>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</si>
  <si>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</si>
  <si>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</si>
  <si>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</si>
  <si>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</si>
  <si>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</si>
  <si>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</si>
  <si>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</si>
  <si>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</si>
  <si>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</si>
  <si>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</si>
  <si>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</si>
  <si>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</si>
  <si>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</si>
  <si>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</si>
  <si>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</si>
  <si>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</si>
  <si>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</si>
  <si>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</si>
  <si>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</si>
  <si>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</si>
  <si>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</si>
  <si>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</si>
  <si>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</si>
  <si>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</si>
  <si>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</si>
  <si>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</si>
  <si>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</si>
  <si>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</si>
  <si>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</si>
  <si>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</si>
  <si>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</si>
  <si>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</si>
  <si>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</si>
  <si>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</si>
  <si>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</si>
  <si>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</si>
  <si>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</si>
  <si>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</si>
  <si>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</si>
  <si>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</si>
  <si>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</si>
  <si>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</si>
  <si>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</si>
  <si>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</si>
  <si>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</si>
  <si>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</si>
  <si>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</si>
  <si>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</si>
  <si>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</si>
  <si>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</si>
  <si>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</si>
  <si>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</si>
  <si>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</si>
  <si>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</si>
  <si>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</si>
  <si>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</si>
  <si>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</si>
  <si>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</si>
  <si>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</si>
  <si>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</si>
  <si>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</si>
  <si>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</si>
  <si>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</si>
  <si>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</si>
  <si>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</si>
  <si>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</si>
  <si>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</si>
  <si>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</si>
  <si>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</si>
  <si>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</si>
  <si>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</si>
  <si>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</si>
  <si>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</si>
  <si>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</si>
  <si>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</si>
  <si>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</si>
  <si>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</si>
  <si>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</si>
  <si>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</si>
  <si>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</si>
  <si>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</si>
  <si>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</si>
  <si>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</si>
  <si>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</si>
  <si>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</si>
  <si>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</si>
  <si>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</si>
  <si>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</si>
  <si>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</si>
  <si>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</si>
  <si>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</si>
  <si>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</si>
  <si>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</si>
  <si>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</si>
  <si>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</si>
  <si>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</si>
  <si>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</si>
  <si>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</si>
  <si>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</si>
  <si>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</si>
  <si>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</si>
  <si>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</si>
  <si>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</si>
  <si>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</si>
  <si>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</si>
  <si>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</si>
  <si>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</si>
  <si>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</si>
  <si>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</si>
  <si>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</si>
  <si>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</si>
  <si>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</si>
  <si>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</si>
  <si>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</si>
  <si>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</si>
  <si>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</si>
  <si>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</si>
  <si>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</si>
  <si>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</si>
  <si>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</si>
  <si>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</si>
  <si>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</si>
  <si>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</si>
  <si>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</si>
  <si>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</si>
  <si>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</si>
  <si>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</si>
  <si>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</si>
  <si>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</si>
  <si>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</si>
  <si>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</si>
  <si>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</si>
  <si>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</si>
  <si>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</si>
  <si>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</si>
  <si>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</si>
  <si>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</si>
  <si>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</si>
  <si>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</si>
  <si>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</si>
  <si>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</si>
  <si>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</si>
  <si>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</si>
  <si>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</si>
  <si>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</si>
  <si>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</si>
  <si>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</si>
  <si>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</si>
  <si>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</si>
  <si>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</si>
  <si>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</si>
  <si>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</si>
  <si>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</si>
  <si>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</si>
  <si>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</si>
  <si>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</si>
  <si>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</si>
  <si>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</si>
  <si>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</si>
  <si>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</si>
  <si>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</si>
  <si>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</si>
  <si>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</si>
  <si>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</si>
  <si>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</si>
  <si>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</si>
  <si>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</si>
  <si>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</si>
  <si>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</si>
  <si>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</si>
  <si>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</si>
  <si>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</si>
  <si>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</si>
  <si>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</si>
  <si>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</si>
  <si>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</si>
  <si>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</si>
  <si>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</si>
  <si>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</si>
  <si>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</si>
  <si>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</si>
  <si>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</si>
  <si>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</si>
  <si>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</si>
  <si>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</si>
  <si>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</si>
  <si>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</si>
  <si>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</si>
  <si>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</si>
  <si>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</si>
  <si>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</si>
  <si>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</si>
  <si>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</si>
  <si>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</si>
  <si>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</si>
  <si>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</si>
  <si>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</si>
  <si>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</si>
  <si>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</si>
  <si>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</si>
  <si>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</si>
  <si>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</si>
  <si>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</si>
  <si>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</si>
  <si>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</si>
  <si>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</si>
  <si>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</si>
  <si>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</si>
  <si>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</si>
  <si>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</si>
  <si>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</si>
  <si>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</si>
  <si>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</si>
  <si>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</si>
  <si>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</si>
  <si>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</si>
  <si>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</si>
  <si>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</si>
  <si>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</si>
  <si>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</si>
  <si>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</si>
  <si>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</si>
  <si>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</si>
  <si>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</si>
  <si>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</si>
  <si>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</si>
  <si>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</si>
  <si>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</si>
  <si>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</si>
  <si>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</si>
  <si>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</si>
  <si>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</si>
  <si>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</si>
  <si>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</si>
  <si>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</si>
  <si>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</si>
  <si>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</si>
  <si>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</si>
  <si>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</si>
  <si>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</si>
  <si>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</si>
  <si>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</si>
  <si>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</si>
  <si>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</si>
  <si>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</si>
  <si>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</si>
  <si>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</si>
  <si>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</si>
  <si>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</si>
  <si>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</si>
  <si>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</si>
  <si>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</si>
  <si>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</si>
  <si>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</si>
  <si>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</si>
  <si>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</si>
  <si>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</si>
  <si>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</si>
  <si>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</si>
  <si>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</si>
  <si>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</si>
  <si>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</si>
  <si>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</si>
  <si>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</si>
  <si>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</si>
  <si>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</si>
  <si>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</si>
  <si>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</si>
  <si>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</si>
  <si>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</si>
  <si>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</si>
  <si>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</si>
  <si>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</si>
  <si>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</si>
  <si>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</si>
  <si>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</si>
  <si>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</si>
  <si>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</si>
  <si>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</si>
  <si>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</si>
  <si>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</si>
  <si>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</si>
  <si>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</si>
  <si>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</si>
  <si>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</si>
  <si>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</si>
  <si>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</si>
  <si>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</si>
  <si>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</si>
  <si>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</si>
  <si>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</si>
  <si>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</si>
  <si>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</si>
  <si>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</si>
  <si>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</si>
  <si>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</si>
  <si>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</si>
  <si>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</si>
  <si>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</si>
  <si>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</si>
  <si>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</si>
  <si>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</si>
  <si>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</si>
  <si>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</si>
  <si>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</si>
  <si>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</si>
  <si>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</si>
  <si>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</si>
  <si>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</si>
  <si>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</si>
  <si>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</si>
  <si>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</si>
  <si>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</si>
  <si>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</si>
  <si>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</si>
  <si>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</si>
  <si>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</si>
  <si>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</si>
  <si>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</si>
  <si>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</si>
  <si>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</si>
  <si>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</si>
  <si>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</si>
  <si>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</si>
  <si>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</si>
  <si>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</si>
  <si>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</si>
  <si>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</si>
  <si>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</si>
  <si>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</si>
  <si>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</si>
  <si>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</si>
  <si>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</si>
  <si>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</si>
  <si>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</si>
  <si>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</si>
  <si>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</si>
  <si>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</si>
  <si>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</si>
  <si>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</si>
  <si>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</si>
  <si>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</si>
  <si>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</si>
  <si>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</si>
  <si>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</si>
  <si>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</si>
  <si>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</si>
  <si>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</si>
  <si>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</si>
  <si>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</si>
  <si>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</si>
  <si>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</si>
  <si>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</si>
  <si>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</si>
  <si>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</si>
  <si>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</si>
  <si>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</si>
  <si>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</si>
  <si>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</si>
  <si>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</si>
  <si>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</si>
  <si>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</si>
  <si>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</si>
  <si>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</si>
  <si>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</si>
  <si>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</si>
  <si>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</si>
  <si>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</si>
  <si>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</si>
  <si>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</si>
  <si>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</si>
  <si>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</si>
  <si>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</si>
  <si>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</si>
  <si>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</si>
  <si>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</si>
  <si>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</si>
  <si>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</si>
  <si>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</si>
  <si>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</si>
  <si>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</si>
  <si>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</si>
  <si>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</si>
  <si>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</si>
  <si>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</si>
  <si>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</si>
  <si>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</si>
  <si>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</si>
  <si>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</si>
  <si>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</si>
  <si>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</si>
  <si>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</si>
  <si>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</si>
  <si>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</si>
  <si>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</si>
  <si>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</si>
  <si>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</si>
  <si>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</si>
  <si>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</si>
  <si>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</si>
  <si>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</si>
  <si>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</si>
  <si>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</si>
  <si>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</si>
  <si>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</si>
  <si>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</si>
  <si>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</si>
  <si>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</si>
  <si>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</si>
  <si>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</si>
  <si>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</si>
  <si>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</si>
  <si>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</si>
  <si>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</si>
  <si>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</si>
  <si>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</si>
  <si>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</si>
  <si>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</si>
  <si>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</si>
  <si>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</si>
  <si>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</si>
  <si>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</si>
  <si>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</si>
  <si>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</si>
  <si>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</si>
  <si>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</si>
  <si>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</si>
  <si>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</si>
  <si>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</si>
  <si>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</si>
  <si>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</si>
  <si>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</si>
  <si>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</si>
  <si>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</si>
  <si>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</si>
  <si>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</si>
  <si>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</si>
  <si>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</si>
  <si>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</si>
  <si>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</si>
  <si>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</si>
  <si>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</si>
  <si>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</si>
  <si>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</si>
  <si>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</si>
  <si>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</si>
  <si>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</si>
  <si>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</si>
  <si>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</si>
  <si>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</si>
  <si>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</si>
  <si>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</si>
  <si>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</si>
  <si>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</si>
  <si>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</si>
  <si>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</si>
  <si>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</si>
  <si>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</si>
  <si>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</si>
  <si>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</si>
  <si>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</si>
  <si>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</si>
  <si>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</si>
  <si>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</si>
  <si>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</si>
  <si>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</si>
  <si>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</si>
  <si>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</si>
  <si>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</si>
  <si>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</si>
  <si>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</si>
  <si>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</si>
  <si>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</si>
  <si>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</si>
  <si>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</si>
  <si>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</si>
  <si>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</si>
  <si>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</si>
  <si>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</si>
  <si>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</si>
  <si>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</si>
  <si>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</si>
  <si>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</si>
  <si>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</si>
  <si>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</si>
  <si>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</si>
  <si>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</si>
  <si>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</si>
  <si>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</si>
  <si>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</si>
  <si>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</si>
  <si>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</si>
  <si>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</si>
  <si>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</si>
  <si>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</si>
  <si>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</si>
  <si>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</si>
  <si>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</si>
  <si>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</si>
  <si>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</si>
  <si>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</si>
  <si>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</si>
  <si>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</si>
  <si>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</si>
  <si>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</si>
  <si>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</si>
  <si>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</si>
  <si>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</si>
  <si>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</si>
  <si>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</si>
  <si>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</si>
  <si>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</si>
  <si>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</si>
  <si>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</si>
  <si>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</si>
  <si>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</si>
  <si>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</si>
  <si>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</si>
  <si>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</si>
  <si>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</si>
  <si>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</si>
  <si>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</si>
  <si>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</si>
  <si>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</si>
  <si>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</si>
  <si>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</si>
  <si>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</si>
  <si>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</si>
  <si>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</si>
  <si>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</si>
  <si>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</si>
  <si>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</si>
  <si>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</si>
  <si>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</si>
  <si>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</si>
  <si>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</si>
  <si>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</si>
  <si>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</si>
  <si>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</si>
  <si>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</si>
  <si>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</si>
  <si>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</si>
  <si>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</si>
  <si>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</si>
  <si>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</si>
  <si>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</si>
  <si>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</si>
  <si>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</si>
  <si>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</si>
  <si>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</si>
  <si>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</si>
  <si>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</si>
  <si>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</si>
  <si>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</si>
  <si>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</si>
  <si>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</si>
  <si>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</si>
  <si>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</si>
  <si>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</si>
  <si>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</si>
  <si>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</si>
  <si>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</si>
  <si>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</si>
  <si>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</si>
  <si>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</si>
  <si>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</si>
  <si>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</si>
  <si>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</si>
  <si>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</si>
  <si>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</si>
  <si>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</si>
  <si>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</si>
  <si>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</si>
  <si>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</si>
  <si>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</si>
  <si>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</si>
  <si>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</si>
  <si>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</si>
  <si>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</si>
  <si>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</si>
  <si>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</si>
  <si>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</si>
  <si>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</si>
  <si>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</si>
  <si>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</si>
  <si>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</si>
  <si>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</si>
  <si>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</si>
  <si>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</si>
  <si>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</si>
  <si>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</si>
  <si>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</si>
  <si>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</si>
  <si>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</si>
  <si>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</si>
  <si>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</si>
  <si>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</si>
  <si>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</si>
  <si>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</si>
  <si>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</si>
  <si>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</si>
  <si>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</si>
  <si>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</si>
  <si>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</si>
  <si>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</si>
  <si>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</si>
  <si>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</si>
  <si>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</si>
  <si>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</si>
  <si>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</si>
  <si>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</si>
  <si>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</si>
  <si>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</si>
  <si>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</si>
  <si>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</si>
  <si>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</si>
  <si>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</si>
  <si>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</si>
  <si>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</si>
  <si>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</si>
  <si>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</si>
  <si>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</si>
  <si>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</si>
  <si>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</si>
  <si>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</si>
  <si>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</si>
  <si>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</si>
  <si>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</si>
  <si>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</si>
  <si>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</si>
  <si>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</si>
  <si>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</si>
  <si>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</si>
  <si>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</si>
  <si>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</si>
  <si>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</si>
  <si>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</si>
  <si>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</si>
  <si>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</si>
  <si>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</si>
  <si>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</si>
  <si>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</si>
  <si>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</si>
  <si>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</si>
  <si>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</si>
  <si>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</si>
  <si>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</si>
  <si>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</si>
  <si>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</si>
  <si>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</si>
  <si>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</si>
  <si>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</si>
  <si>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</si>
  <si>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</si>
  <si>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</si>
  <si>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</si>
  <si>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</si>
  <si>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</si>
  <si>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</si>
  <si>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</si>
  <si>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</si>
  <si>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</si>
  <si>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</si>
  <si>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</si>
  <si>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</si>
  <si>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</si>
  <si>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</si>
  <si>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</si>
  <si>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</si>
  <si>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</si>
  <si>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</si>
  <si>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</si>
  <si>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</si>
  <si>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</si>
  <si>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</si>
  <si>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</si>
  <si>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</si>
  <si>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</si>
  <si>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</si>
  <si>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</si>
  <si>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</si>
  <si>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</si>
  <si>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</si>
  <si>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</si>
  <si>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</si>
  <si>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</si>
  <si>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</si>
  <si>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</si>
  <si>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</si>
  <si>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</si>
  <si>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</si>
  <si>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</si>
  <si>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</si>
  <si>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</si>
  <si>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</si>
  <si>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</si>
  <si>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</si>
  <si>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</si>
  <si>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</si>
  <si>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</si>
  <si>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</si>
  <si>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</si>
  <si>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</si>
  <si>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</si>
  <si>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</si>
  <si>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</si>
  <si>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</si>
  <si>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</si>
  <si>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</si>
  <si>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</si>
  <si>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</si>
  <si>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</si>
  <si>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</si>
  <si>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</si>
  <si>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</si>
  <si>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</si>
  <si>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</si>
  <si>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</si>
  <si>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</si>
  <si>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</si>
  <si>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</si>
  <si>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</si>
  <si>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</si>
  <si>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</si>
  <si>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</si>
  <si>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</si>
  <si>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</si>
  <si>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</si>
  <si>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</si>
  <si>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</si>
  <si>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</si>
  <si>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</si>
  <si>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</si>
  <si>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</si>
  <si>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</si>
  <si>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</si>
  <si>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</si>
  <si>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</si>
  <si>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</si>
  <si>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</si>
  <si>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</si>
  <si>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</si>
  <si>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</si>
  <si>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</si>
  <si>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</si>
  <si>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</si>
  <si>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</si>
  <si>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</si>
  <si>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</si>
  <si>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</si>
  <si>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</si>
  <si>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</si>
  <si>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</si>
  <si>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</si>
  <si>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</si>
  <si>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</si>
  <si>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</si>
  <si>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</si>
  <si>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</si>
  <si>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</si>
  <si>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</si>
  <si>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</si>
  <si>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</si>
  <si>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</si>
  <si>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</si>
  <si>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</si>
  <si>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</si>
  <si>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</si>
  <si>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</si>
  <si>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</si>
  <si>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</si>
  <si>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</si>
  <si>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</si>
  <si>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</si>
  <si>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</si>
  <si>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</si>
  <si>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</si>
  <si>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</si>
  <si>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</si>
  <si>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</si>
  <si>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</si>
  <si>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</si>
  <si>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</si>
  <si>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</si>
  <si>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</si>
  <si>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</si>
  <si>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</si>
  <si>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</si>
  <si>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</si>
  <si>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</si>
  <si>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</si>
  <si>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</si>
  <si>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</si>
  <si>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</si>
  <si>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</si>
  <si>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</si>
  <si>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</si>
  <si>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</si>
  <si>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</si>
  <si>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</si>
  <si>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</si>
  <si>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</si>
  <si>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</si>
  <si>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</si>
  <si>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</si>
  <si>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</si>
  <si>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</si>
  <si>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</si>
  <si>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</si>
  <si>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</si>
  <si>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</si>
  <si>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</si>
  <si>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</si>
  <si>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</si>
  <si>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</si>
  <si>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</si>
  <si>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</si>
  <si>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</si>
  <si>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</si>
  <si>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</si>
  <si>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</si>
  <si>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</si>
  <si>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</si>
  <si>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</si>
  <si>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</si>
  <si>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</si>
  <si>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</si>
  <si>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</si>
  <si>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</si>
  <si>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</si>
  <si>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</si>
  <si>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</si>
  <si>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</si>
  <si>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</si>
  <si>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</si>
  <si>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</si>
  <si>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</si>
  <si>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</si>
  <si>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</si>
  <si>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</si>
  <si>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</si>
  <si>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</si>
  <si>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</si>
  <si>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</si>
  <si>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</si>
  <si>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</si>
  <si>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</si>
  <si>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</si>
  <si>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</si>
  <si>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</si>
  <si>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</si>
  <si>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</si>
  <si>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</si>
  <si>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</si>
  <si>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</si>
  <si>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</si>
  <si>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</si>
  <si>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</si>
  <si>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</si>
  <si>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</si>
  <si>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</si>
  <si>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</si>
  <si>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</si>
  <si>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</si>
  <si>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</si>
  <si>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</si>
  <si>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</si>
  <si>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</si>
  <si>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</si>
  <si>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</si>
  <si>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</si>
  <si>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</si>
  <si>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</si>
  <si>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</si>
  <si>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</si>
  <si>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</si>
  <si>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</si>
  <si>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</si>
  <si>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</si>
  <si>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</si>
  <si>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</si>
  <si>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</si>
  <si>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</si>
  <si>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</si>
  <si>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</si>
  <si>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</si>
  <si>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</si>
  <si>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</si>
  <si>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</si>
  <si>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</si>
  <si>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</si>
  <si>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</si>
  <si>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</si>
  <si>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</si>
  <si>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</si>
  <si>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</si>
  <si>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</si>
  <si>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</si>
  <si>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</si>
  <si>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</si>
  <si>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</si>
  <si>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</si>
  <si>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</si>
  <si>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</si>
  <si>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</si>
  <si>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</si>
  <si>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</si>
  <si>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</si>
  <si>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</si>
  <si>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</si>
  <si>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</si>
  <si>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</si>
  <si>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</si>
  <si>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</si>
  <si>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</si>
  <si>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</si>
  <si>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</si>
  <si>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</si>
  <si>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</si>
  <si>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</si>
  <si>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</si>
  <si>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</si>
  <si>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</si>
  <si>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</si>
  <si>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</si>
  <si>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</si>
  <si>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</si>
  <si>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</si>
  <si>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</si>
  <si>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</si>
  <si>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</si>
  <si>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</si>
  <si>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</si>
  <si>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</si>
  <si>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</si>
  <si>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</si>
  <si>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</si>
  <si>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</si>
  <si>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</si>
  <si>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</si>
  <si>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</si>
  <si>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</si>
  <si>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</si>
  <si>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</si>
  <si>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</si>
  <si>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</si>
  <si>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</si>
  <si>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</si>
  <si>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</si>
  <si>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</si>
  <si>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</si>
  <si>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</si>
  <si>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</si>
  <si>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</si>
  <si>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</si>
  <si>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</si>
  <si>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</si>
  <si>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</si>
  <si>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</si>
  <si>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</si>
  <si>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</si>
  <si>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</si>
  <si>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</si>
  <si>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</si>
  <si>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</si>
  <si>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</si>
  <si>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</si>
  <si>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</si>
  <si>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</si>
  <si>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</si>
  <si>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</si>
  <si>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</si>
  <si>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</si>
  <si>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</si>
  <si>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</si>
  <si>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</si>
  <si>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</si>
  <si>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</si>
  <si>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</si>
  <si>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</si>
  <si>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</si>
  <si>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</si>
  <si>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</si>
  <si>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</si>
  <si>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</si>
  <si>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</si>
  <si>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</si>
  <si>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</si>
  <si>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</si>
  <si>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</si>
  <si>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</si>
  <si>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</si>
  <si>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</si>
  <si>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</si>
  <si>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</si>
  <si>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</si>
  <si>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</si>
  <si>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</si>
  <si>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</si>
  <si>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</si>
  <si>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</si>
  <si>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</si>
  <si>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</si>
  <si>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</si>
  <si>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</si>
  <si>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</si>
  <si>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</si>
  <si>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</si>
  <si>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</si>
  <si>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</si>
  <si>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</si>
  <si>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</si>
  <si>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</si>
  <si>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</si>
  <si>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</si>
  <si>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</si>
  <si>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</si>
  <si>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</si>
  <si>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</si>
  <si>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</si>
  <si>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</si>
  <si>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</si>
  <si>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</si>
  <si>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</si>
  <si>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</si>
  <si>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</si>
  <si>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</si>
  <si>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</si>
  <si>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</si>
  <si>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</si>
  <si>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</si>
  <si>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</si>
  <si>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</si>
  <si>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</si>
  <si>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</si>
  <si>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</si>
  <si>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</si>
  <si>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</si>
  <si>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</si>
  <si>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</si>
  <si>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</si>
  <si>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</si>
  <si>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</si>
  <si>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</si>
  <si>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</si>
  <si>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</si>
  <si>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</si>
  <si>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</si>
  <si>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</si>
  <si>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</si>
  <si>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</si>
  <si>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</si>
  <si>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</si>
  <si>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</si>
  <si>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</si>
  <si>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</si>
  <si>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</si>
  <si>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</si>
  <si>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</si>
  <si>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</si>
  <si>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</si>
  <si>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</si>
  <si>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</si>
  <si>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</si>
  <si>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</si>
  <si>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</si>
  <si>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</si>
  <si>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</si>
  <si>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</si>
  <si>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</si>
  <si>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</si>
  <si>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</si>
  <si>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</si>
  <si>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</si>
  <si>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</si>
  <si>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</si>
  <si>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</si>
  <si>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</si>
  <si>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</si>
  <si>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</si>
  <si>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</si>
  <si>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</si>
  <si>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</si>
  <si>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</si>
  <si>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</si>
  <si>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</si>
  <si>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</si>
  <si>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</si>
  <si>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</si>
  <si>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</si>
  <si>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</si>
  <si>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</si>
  <si>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</si>
  <si>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</si>
  <si>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</si>
  <si>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</si>
  <si>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</si>
  <si>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</si>
  <si>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</si>
  <si>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</si>
  <si>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</si>
  <si>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</si>
  <si>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</si>
  <si>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</si>
  <si>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</si>
  <si>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</si>
  <si>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</si>
  <si>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</si>
  <si>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</si>
  <si>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</si>
  <si>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</si>
  <si>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</si>
  <si>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</si>
  <si>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</si>
  <si>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</si>
  <si>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</si>
  <si>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</si>
  <si>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</si>
  <si>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</si>
  <si>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</si>
  <si>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</si>
  <si>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</si>
  <si>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</si>
  <si>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</si>
  <si>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</si>
  <si>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</si>
  <si>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</si>
  <si>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</si>
  <si>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</si>
  <si>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</si>
  <si>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</si>
  <si>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</si>
  <si>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</si>
  <si>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</si>
  <si>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</si>
  <si>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</si>
  <si>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</si>
  <si>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</si>
  <si>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</si>
  <si>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</si>
  <si>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</si>
  <si>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</si>
  <si>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</si>
  <si>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</si>
  <si>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</si>
  <si>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</si>
  <si>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</si>
  <si>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</si>
  <si>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</si>
  <si>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</si>
  <si>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</si>
  <si>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</si>
  <si>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</si>
  <si>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</si>
  <si>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</si>
  <si>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</si>
  <si>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</si>
  <si>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</si>
  <si>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</si>
  <si>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</si>
  <si>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</si>
  <si>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</si>
  <si>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</si>
  <si>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</si>
  <si>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</si>
  <si>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</si>
  <si>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</si>
  <si>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</si>
  <si>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</si>
  <si>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</si>
  <si>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</si>
  <si>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</si>
  <si>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</si>
  <si>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</si>
  <si>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</si>
  <si>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</si>
  <si>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</si>
  <si>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</si>
  <si>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</si>
  <si>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</si>
  <si>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</si>
  <si>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</si>
  <si>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</si>
  <si>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</si>
  <si>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</si>
  <si>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</si>
  <si>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</si>
  <si>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</si>
  <si>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</si>
  <si>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</si>
  <si>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</si>
  <si>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</si>
  <si>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</si>
  <si>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</si>
  <si>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</si>
  <si>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</si>
  <si>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</si>
  <si>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</si>
  <si>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</si>
  <si>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</si>
  <si>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</si>
  <si>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</si>
  <si>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</si>
  <si>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</si>
  <si>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</si>
  <si>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</si>
  <si>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</si>
  <si>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</si>
  <si>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</si>
  <si>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</si>
  <si>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</si>
  <si>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</si>
  <si>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</si>
  <si>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</si>
  <si>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</si>
  <si>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</si>
  <si>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</si>
  <si>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</si>
  <si>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</si>
  <si>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</si>
  <si>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</si>
  <si>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</si>
  <si>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</si>
  <si>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</si>
  <si>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</si>
  <si>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</si>
  <si>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</si>
  <si>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</si>
  <si>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</si>
  <si>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</si>
  <si>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</si>
  <si>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</si>
  <si>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</si>
  <si>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</si>
  <si>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</si>
  <si>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</si>
  <si>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</si>
  <si>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</si>
  <si>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</si>
  <si>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</si>
  <si>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</si>
  <si>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</si>
  <si>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</si>
  <si>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</si>
  <si>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</si>
  <si>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</si>
  <si>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</si>
  <si>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</si>
  <si>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</si>
  <si>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</si>
  <si>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</si>
  <si>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</si>
  <si>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</si>
  <si>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</si>
  <si>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</si>
  <si>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</si>
  <si>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</si>
  <si>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</si>
  <si>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</si>
  <si>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</si>
  <si>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</si>
  <si>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</si>
  <si>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</si>
  <si>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</si>
  <si>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</si>
  <si>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</si>
  <si>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</si>
  <si>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</si>
  <si>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</si>
  <si>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</si>
  <si>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</si>
  <si>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</si>
  <si>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</si>
  <si>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</si>
  <si>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</si>
  <si>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</si>
  <si>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</si>
  <si>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</si>
  <si>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</si>
  <si>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</si>
  <si>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</si>
  <si>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</si>
  <si>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</si>
  <si>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</si>
  <si>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</si>
  <si>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</si>
  <si>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</si>
  <si>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</si>
  <si>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</si>
  <si>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</si>
  <si>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</si>
  <si>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</si>
  <si>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</si>
  <si>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</si>
  <si>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</si>
  <si>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</si>
  <si>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</si>
  <si>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</si>
  <si>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</si>
  <si>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</si>
  <si>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</si>
  <si>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</si>
  <si>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</si>
  <si>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</si>
  <si>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</si>
  <si>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</si>
  <si>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</si>
  <si>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</si>
  <si>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</si>
  <si>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</si>
  <si>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</si>
  <si>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</si>
  <si>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</si>
  <si>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</si>
  <si>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</si>
  <si>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</si>
  <si>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</si>
  <si>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</si>
  <si>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</si>
  <si>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</si>
  <si>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</si>
  <si>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</si>
  <si>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</si>
  <si>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</si>
  <si>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</si>
  <si>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</si>
  <si>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</si>
  <si>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</si>
  <si>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</si>
  <si>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</si>
  <si>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</si>
  <si>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</si>
  <si>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</si>
  <si>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</si>
  <si>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</si>
  <si>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</si>
  <si>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</si>
  <si>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</si>
  <si>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</si>
  <si>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</si>
  <si>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</si>
  <si>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</si>
  <si>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</si>
  <si>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</si>
  <si>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</si>
  <si>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</si>
  <si>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</si>
  <si>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</si>
  <si>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</si>
  <si>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</si>
  <si>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</si>
  <si>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</si>
  <si>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</si>
  <si>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</si>
  <si>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</si>
  <si>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</si>
  <si>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</si>
  <si>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</si>
  <si>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</si>
  <si>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</si>
  <si>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</si>
  <si>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</si>
  <si>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</si>
  <si>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</si>
  <si>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</si>
  <si>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</si>
  <si>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</si>
  <si>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</si>
  <si>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</si>
  <si>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</si>
  <si>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</si>
  <si>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</si>
  <si>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</si>
  <si>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</si>
  <si>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</si>
  <si>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</si>
  <si>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</si>
  <si>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</si>
  <si>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</si>
  <si>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</si>
  <si>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</si>
  <si>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</si>
  <si>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</si>
  <si>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</si>
  <si>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</si>
  <si>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</si>
  <si>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</si>
  <si>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</si>
  <si>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</si>
  <si>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</si>
  <si>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</si>
  <si>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</si>
  <si>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</si>
  <si>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</si>
  <si>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</si>
  <si>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</si>
  <si>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</si>
  <si>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</si>
  <si>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</si>
  <si>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</si>
  <si>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</si>
  <si>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</si>
  <si>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</si>
  <si>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</si>
  <si>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</si>
  <si>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</si>
  <si>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</si>
  <si>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</si>
  <si>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</si>
  <si>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</si>
  <si>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</si>
  <si>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</si>
  <si>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</si>
  <si>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</si>
  <si>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</si>
  <si>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</si>
  <si>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</si>
  <si>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</si>
  <si>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</si>
  <si>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</si>
  <si>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</si>
  <si>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</si>
  <si>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</si>
  <si>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</si>
  <si>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</si>
  <si>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</si>
  <si>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</si>
  <si>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</si>
  <si>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</si>
  <si>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</si>
  <si>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</si>
  <si>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</si>
  <si>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</si>
  <si>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</si>
  <si>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</si>
  <si>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</si>
  <si>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</si>
  <si>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</si>
  <si>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</si>
  <si>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</si>
  <si>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</si>
  <si>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</si>
  <si>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</si>
  <si>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</si>
  <si>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</si>
  <si>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</si>
  <si>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</si>
  <si>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</si>
  <si>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</si>
  <si>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</si>
  <si>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</si>
  <si>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</si>
  <si>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</si>
  <si>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</si>
  <si>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</si>
  <si>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</si>
  <si>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</si>
  <si>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</si>
  <si>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</si>
  <si>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</si>
  <si>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</si>
  <si>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</si>
  <si>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</si>
  <si>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</si>
  <si>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</si>
  <si>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</si>
  <si>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</si>
  <si>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</si>
  <si>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</si>
  <si>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</si>
  <si>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</si>
  <si>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</si>
  <si>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</si>
  <si>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</si>
  <si>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</si>
  <si>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</si>
  <si>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</si>
  <si>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</si>
  <si>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</si>
  <si>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</si>
  <si>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</si>
  <si>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</si>
  <si>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</si>
  <si>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</si>
  <si>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</si>
  <si>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</si>
  <si>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</si>
  <si>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</si>
  <si>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</si>
  <si>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楼层</t>
    <phoneticPr fontId="31" type="noConversion"/>
  </si>
  <si>
    <t>典型户型修正</t>
  </si>
  <si>
    <t>典型户型修正</t>
    <phoneticPr fontId="16" type="noConversion"/>
  </si>
  <si>
    <t>仅含出让金</t>
  </si>
  <si>
    <t>房地产抵押价值</t>
  </si>
  <si>
    <t>抵押</t>
  </si>
  <si>
    <t>情况3</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</si>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</sst>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57;&#23791;&#22269;&#384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531;&#23433;&#22269;&#3846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531;&#23433;&#22269;&#38469;%20-%20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1）"/>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693.12</v>
          </cell>
          <cell r="D14">
            <v>1681</v>
          </cell>
          <cell r="G14">
            <v>1681</v>
          </cell>
          <cell r="I14">
            <v>729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1531.9299999999998</v>
          </cell>
          <cell r="D14">
            <v>6916</v>
          </cell>
          <cell r="G14">
            <v>6916</v>
          </cell>
          <cell r="I14">
            <v>3460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631.32000000000005</v>
          </cell>
          <cell r="D14">
            <v>2621</v>
          </cell>
          <cell r="G14">
            <v>2621</v>
          </cell>
          <cell r="I14">
            <v>2114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估价对象为北京市出让国有建设用地使用权及在建建筑物房地产，为所有。根据《国有土地使用证》[]，估价对象（分摊）出让国有建设用地使用权面积为0平方米，建筑面积为708.8平方米。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2020年3月24日</v>
      </c>
    </row>
    <row r="13" spans="1:2" s="1593" customFormat="1">
      <c r="A13" s="1591" t="s">
        <v>1222</v>
      </c>
      <c r="B13" s="1592"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766</v>
      </c>
    </row>
    <row r="21" spans="1:2" s="1593" customFormat="1">
      <c r="A21" s="1591" t="s">
        <v>1230</v>
      </c>
      <c r="B21" s="1592">
        <f ca="1">'预评函-2'!D7</f>
        <v>10807</v>
      </c>
    </row>
    <row r="22" spans="1:2" s="1593" customFormat="1">
      <c r="A22" s="1591" t="s">
        <v>1231</v>
      </c>
      <c r="B22" s="1592" t="str">
        <f ca="1">'预评函-2'!D6</f>
        <v>柒佰陆拾陆万元整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766</v>
      </c>
    </row>
    <row r="31" spans="1:2" s="1593" customFormat="1">
      <c r="A31" s="1591" t="s">
        <v>1269</v>
      </c>
      <c r="B31" s="1592">
        <f ca="1">'预评函-2'!D15</f>
        <v>10807</v>
      </c>
    </row>
    <row r="32" spans="1:2" s="1593" customFormat="1">
      <c r="A32" s="1591" t="s">
        <v>1236</v>
      </c>
      <c r="B32" s="1592" t="str">
        <f ca="1">'预评函-2'!D14</f>
        <v>柒佰陆拾陆万元整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332</v>
      </c>
    </row>
    <row r="39" spans="1:2" s="1593" customFormat="1">
      <c r="A39" s="1591" t="s">
        <v>1238</v>
      </c>
      <c r="B39" s="1592">
        <f ca="1">'预评函-2'!D21</f>
        <v>4684</v>
      </c>
    </row>
    <row r="40" spans="1:2" s="1593" customFormat="1">
      <c r="A40" s="1591" t="s">
        <v>1239</v>
      </c>
      <c r="B40" s="1592" t="str">
        <f ca="1">'预评函-2'!D20</f>
        <v>叁佰叁拾贰万元整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708.8</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2" sqref="H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3121</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5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21" t="s">
        <v>860</v>
      </c>
      <c r="C54" s="2018" t="s">
        <v>1276</v>
      </c>
    </row>
    <row r="55" spans="1:4">
      <c r="A55" s="3058"/>
      <c r="B55" s="2021" t="s">
        <v>861</v>
      </c>
      <c r="C55" s="2018" t="s">
        <v>1277</v>
      </c>
    </row>
    <row r="56" spans="1:4">
      <c r="A56" s="3058"/>
      <c r="B56" s="2021" t="s">
        <v>862</v>
      </c>
      <c r="C56" s="2018" t="s">
        <v>1281</v>
      </c>
    </row>
    <row r="57" spans="1:4">
      <c r="A57" s="305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9" sqref="B9"/>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59" t="str">
        <f>IF(B10="北京市","北京市",C10)&amp;F10&amp;IF('结果表（1）'!G1="在建","出让国有建设用地使用权及在建建筑物",IF('结果表（1）'!G1="土地","出让国有建设用地使用权",))&amp;B9&amp;"预评估"</f>
        <v>北京市出让国有建设用地使用权及在建建筑物房地产抵押价值预评估</v>
      </c>
      <c r="C1" s="3060"/>
      <c r="D1" s="3060"/>
      <c r="E1" s="3060"/>
      <c r="F1" s="3060"/>
      <c r="G1" s="3060"/>
      <c r="H1" s="3060"/>
      <c r="I1" s="3061"/>
      <c r="J1" s="2025"/>
      <c r="K1" s="2026"/>
      <c r="L1" s="2027"/>
      <c r="M1" s="2027"/>
      <c r="N1" s="2028"/>
      <c r="O1" s="2029"/>
      <c r="P1" s="2028"/>
      <c r="Q1" s="2028"/>
      <c r="R1" s="2028"/>
      <c r="S1" s="2030" t="str">
        <f>IF(B10="北京市","北京市",C10)&amp;F10&amp;IF('结果表（1）'!G1="在建","出让国有建设用地使用权及在建建筑物房地产抵押价值",IF('结果表（1）'!G1="土地","出让国有建设用地使用权抵押价值",B9))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IF(B10="北京市","北京市",C10)&amp;F10&amp;IF('结果表（1）'!G1="在建","出让国有建设用地使用权及在建建筑物房地产",IF('结果表（1）'!G1="土地","出让国有建设用地使用权","房地产"))</f>
        <v>北京市出让国有建设用地使用权及在建建筑物房地产</v>
      </c>
    </row>
    <row r="3" spans="1:19" ht="18" customHeight="1">
      <c r="A3" s="2034" t="s">
        <v>1772</v>
      </c>
      <c r="B3" s="2035"/>
      <c r="C3" s="2036" t="s">
        <v>1773</v>
      </c>
      <c r="D3" s="2035">
        <v>43914</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3124</v>
      </c>
      <c r="C8" s="2055"/>
      <c r="D8" s="3062" t="s">
        <v>1779</v>
      </c>
      <c r="E8" s="2056" t="s">
        <v>3123</v>
      </c>
      <c r="F8" s="2057"/>
      <c r="G8" s="2025"/>
      <c r="H8" s="2025"/>
      <c r="I8" s="2025"/>
      <c r="J8" s="2041"/>
      <c r="K8" s="2042"/>
      <c r="L8" s="2027"/>
      <c r="M8" s="2027"/>
      <c r="N8" s="2028"/>
      <c r="O8" s="2029"/>
      <c r="P8" s="2028"/>
      <c r="Q8" s="2028"/>
      <c r="R8" s="2028"/>
    </row>
    <row r="9" spans="1:19" ht="18" customHeight="1" thickBot="1">
      <c r="A9" s="2039" t="s">
        <v>1780</v>
      </c>
      <c r="B9" s="2058" t="s">
        <v>3123</v>
      </c>
      <c r="C9" s="2059"/>
      <c r="D9" s="3063"/>
      <c r="E9" s="2058" t="s">
        <v>1280</v>
      </c>
      <c r="F9" s="2060"/>
      <c r="G9" s="2061"/>
      <c r="H9" s="2061"/>
      <c r="I9" s="2061"/>
      <c r="J9" s="2041"/>
      <c r="K9" s="2053"/>
      <c r="L9" s="2027"/>
      <c r="M9" s="2027"/>
      <c r="N9" s="2028"/>
      <c r="O9" s="2029"/>
      <c r="P9" s="2028"/>
      <c r="Q9" s="2028"/>
      <c r="R9" s="2028"/>
    </row>
    <row r="10" spans="1:19" ht="18" customHeight="1" thickTop="1">
      <c r="A10" s="2062" t="s">
        <v>1781</v>
      </c>
      <c r="B10" s="2063" t="s">
        <v>3104</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3105</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3106</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55536</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31.84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69"/>
      <c r="C16" s="3070"/>
      <c r="D16" s="3071"/>
      <c r="E16" s="2085" t="s">
        <v>1796</v>
      </c>
      <c r="F16" s="3072"/>
      <c r="G16" s="3073"/>
      <c r="H16" s="3073"/>
      <c r="I16" s="3074"/>
      <c r="J16" s="2028"/>
      <c r="K16" s="2082"/>
      <c r="L16" s="2083"/>
      <c r="M16" s="2083"/>
      <c r="N16" s="2084"/>
      <c r="O16" s="2083"/>
      <c r="P16" s="2084"/>
      <c r="Q16" s="2028"/>
      <c r="R16" s="2028"/>
    </row>
    <row r="17" spans="1:22" ht="18" customHeight="1">
      <c r="A17" s="2086" t="s">
        <v>1797</v>
      </c>
      <c r="B17" s="2034" t="s">
        <v>1798</v>
      </c>
      <c r="C17" s="1054">
        <f>'数据-汇总表'!E3</f>
        <v>708.8</v>
      </c>
      <c r="D17" s="2087" t="s">
        <v>1799</v>
      </c>
      <c r="E17" s="3075" t="s">
        <v>1800</v>
      </c>
      <c r="F17" s="3076"/>
      <c r="G17" s="3076"/>
      <c r="H17" s="3076"/>
      <c r="I17" s="3077"/>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78" t="s">
        <v>1803</v>
      </c>
      <c r="F18" s="3079"/>
      <c r="G18" s="3079"/>
      <c r="H18" s="3079"/>
      <c r="I18" s="3080"/>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65" t="s">
        <v>1808</v>
      </c>
      <c r="C20" s="3066"/>
      <c r="D20" s="3067" t="s">
        <v>1809</v>
      </c>
      <c r="E20" s="3068"/>
      <c r="F20" s="2097" t="s">
        <v>1810</v>
      </c>
      <c r="G20" s="2041"/>
      <c r="H20" s="2041"/>
      <c r="I20" s="2041"/>
      <c r="J20" s="2041"/>
      <c r="K20" s="306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64"/>
      <c r="L22" s="748"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82"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82"/>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82"/>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83"/>
      <c r="B30" s="2034" t="s">
        <v>1827</v>
      </c>
      <c r="C30" s="3084"/>
      <c r="D30" s="308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86"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8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8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81" t="s">
        <v>1837</v>
      </c>
      <c r="T34" s="2134" t="str">
        <f>NUMBERSTRING(7-K34,1)&amp;"通"</f>
        <v>七通</v>
      </c>
      <c r="U34" s="2028"/>
      <c r="V34" s="2028"/>
    </row>
    <row r="35" spans="1:22" ht="18" customHeight="1">
      <c r="A35" s="2135"/>
      <c r="B35" s="3088" t="s">
        <v>1838</v>
      </c>
      <c r="C35" s="3088"/>
      <c r="D35" s="3088"/>
      <c r="E35" s="3088"/>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1"/>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708.8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3107</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3108</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-201</v>
      </c>
      <c r="D13" s="2213" t="s">
        <v>3109</v>
      </c>
      <c r="E13" s="16">
        <f>IF($C$3="是",ROUND($A$3*G13/$B$3,2),ROUND($A$3*(G13-AT13)/$B$3,2))</f>
        <v>0</v>
      </c>
      <c r="F13" s="32"/>
      <c r="G13" s="33">
        <f>H13+AC13+AT13</f>
        <v>296.95999999999998</v>
      </c>
      <c r="H13" s="20">
        <f>SUMIF(I$12:AB$12,"总值",I13:AB13)</f>
        <v>296.95999999999998</v>
      </c>
      <c r="I13" s="2214">
        <v>296.95999999999998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-201</v>
      </c>
      <c r="AY13" s="1806">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-202</v>
      </c>
      <c r="D14" s="2213" t="s">
        <v>3109</v>
      </c>
      <c r="E14" s="16">
        <f>IF($C$3="是",ROUND($A$3*G14/$B$3,2),ROUND($A$3*(G14-AT14)/$B$3,2))</f>
        <v>0</v>
      </c>
      <c r="F14" s="32"/>
      <c r="G14" s="33">
        <f>H14+AC14+AT14</f>
        <v>411.84</v>
      </c>
      <c r="H14" s="20">
        <f>SUMIF(I$12:AB$12,"总值",I14:AB14)</f>
        <v>411.84</v>
      </c>
      <c r="I14" s="2214">
        <v>411.84</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-202</v>
      </c>
      <c r="AY14" s="1806">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4" sqref="G1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100" t="s">
        <v>1934</v>
      </c>
      <c r="B2" s="3100"/>
      <c r="C2" s="3100"/>
      <c r="D2" s="967" t="s">
        <v>1910</v>
      </c>
      <c r="E2" s="2227" t="s">
        <v>1911</v>
      </c>
      <c r="F2" s="1392"/>
      <c r="G2" s="2228"/>
      <c r="H2" s="2229"/>
      <c r="I2" s="2230" t="s">
        <v>1935</v>
      </c>
      <c r="J2" s="1392"/>
      <c r="K2" s="1392"/>
      <c r="L2" s="1392"/>
      <c r="M2" s="1392"/>
      <c r="N2" s="1427"/>
      <c r="O2" s="1392"/>
      <c r="P2" s="1392"/>
    </row>
    <row r="3" spans="1:16" ht="15.75" thickBot="1">
      <c r="A3" s="3101" t="s">
        <v>1908</v>
      </c>
      <c r="B3" s="3101"/>
      <c r="C3" s="3101"/>
      <c r="D3" s="46">
        <f>'数据-基础表'!AY6</f>
        <v>0</v>
      </c>
      <c r="E3" s="46">
        <f>'数据-基础表'!AZ5</f>
        <v>708.8</v>
      </c>
      <c r="F3" s="1392"/>
      <c r="G3" s="1399"/>
      <c r="H3" s="1247" t="s">
        <v>1909</v>
      </c>
      <c r="I3" s="55" t="e">
        <f>ROUND('数据-基础表'!B3/'数据-基础表'!A3,2)</f>
        <v>#DIV/0!</v>
      </c>
      <c r="J3" s="1392"/>
      <c r="K3" s="1392"/>
      <c r="L3" s="1392"/>
      <c r="M3" s="1392"/>
      <c r="N3" s="1427"/>
      <c r="O3" s="1392"/>
      <c r="P3" s="1392"/>
    </row>
    <row r="4" spans="1:16" ht="15">
      <c r="A4" s="3102"/>
      <c r="B4" s="3103"/>
      <c r="C4" s="3104"/>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105" t="s">
        <v>1913</v>
      </c>
      <c r="C5" s="3105"/>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105" t="s">
        <v>1914</v>
      </c>
      <c r="C6" s="3105"/>
      <c r="D6" s="48">
        <f>ROUND($D$3*E6/$E$3,2)</f>
        <v>0</v>
      </c>
      <c r="E6" s="49">
        <f>E3-E5</f>
        <v>708.8</v>
      </c>
      <c r="F6" s="1392"/>
      <c r="G6" s="2235" t="s">
        <v>1915</v>
      </c>
      <c r="H6" s="1399" t="s">
        <v>1916</v>
      </c>
      <c r="I6" s="939" t="e">
        <f>ROUND(F31/D31,2)</f>
        <v>#DIV/0!</v>
      </c>
      <c r="J6" s="1392"/>
      <c r="K6" s="1392"/>
      <c r="L6" s="1392"/>
      <c r="M6" s="1392"/>
      <c r="N6" s="1392"/>
      <c r="O6" s="1392"/>
      <c r="P6" s="1392"/>
    </row>
    <row r="7" spans="1:16" ht="15">
      <c r="A7" s="3097"/>
      <c r="B7" s="3098"/>
      <c r="C7" s="3099"/>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708.8</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708.8</v>
      </c>
      <c r="F16" s="1392"/>
      <c r="G16" s="2237"/>
      <c r="H16" s="2240" t="s">
        <v>1938</v>
      </c>
      <c r="I16" s="2241"/>
      <c r="J16" s="1392"/>
      <c r="K16" s="3094" t="s">
        <v>1938</v>
      </c>
      <c r="L16" s="3095"/>
      <c r="M16" s="3095"/>
      <c r="N16" s="3095"/>
      <c r="O16" s="3095"/>
      <c r="P16" s="3096"/>
    </row>
    <row r="17" spans="1:19" ht="15">
      <c r="A17" s="2242" t="s">
        <v>1939</v>
      </c>
      <c r="B17" s="2243" t="s">
        <v>1940</v>
      </c>
      <c r="C17" s="2244" t="s">
        <v>1941</v>
      </c>
      <c r="D17" s="2245" t="s">
        <v>1929</v>
      </c>
      <c r="E17" s="2246" t="s">
        <v>1930</v>
      </c>
      <c r="F17" s="2247"/>
      <c r="G17" s="2248"/>
      <c r="H17" s="2249" t="s">
        <v>1942</v>
      </c>
      <c r="I17" s="2250" t="s">
        <v>1927</v>
      </c>
      <c r="J17" s="1392"/>
      <c r="K17" s="3091" t="s">
        <v>1943</v>
      </c>
      <c r="L17" s="3092"/>
      <c r="M17" s="3093"/>
      <c r="N17" s="3091" t="s">
        <v>1944</v>
      </c>
      <c r="O17" s="3092"/>
      <c r="P17" s="3093"/>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260">
        <v>-201</v>
      </c>
      <c r="D19" s="48">
        <f>ROUND($D$3*E19/$E$3,2)</f>
        <v>0</v>
      </c>
      <c r="E19" s="56">
        <f t="shared" ref="E19:E26" si="1">SUM(F19:G19)</f>
        <v>296.95999999999998</v>
      </c>
      <c r="F19" s="57">
        <f>'数据-基础表'!I13</f>
        <v>296.95999999999998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296.95999999999998</v>
      </c>
    </row>
    <row r="20" spans="1:19">
      <c r="A20" s="2263"/>
      <c r="B20" s="50" t="s">
        <v>1956</v>
      </c>
      <c r="C20" s="2260">
        <v>-202</v>
      </c>
      <c r="D20" s="48">
        <f t="shared" ref="D20:D26" si="6">ROUND($D$3*E20/$E$3,2)</f>
        <v>0</v>
      </c>
      <c r="E20" s="56">
        <f t="shared" si="1"/>
        <v>411.84</v>
      </c>
      <c r="F20" s="57">
        <f>'数据-基础表'!I14</f>
        <v>411.84</v>
      </c>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411.84</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708.8</v>
      </c>
      <c r="F27" s="1393">
        <f>IF(SUM(F19:F26)=E8,SUM(F19:F26),"地上面积有误")</f>
        <v>708.8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708.8</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708.8</v>
      </c>
      <c r="F31" s="730">
        <f>F27+F30</f>
        <v>708.8</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43914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3111</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-201</v>
      </c>
      <c r="B6" s="2307" t="str">
        <f>IF(A6=0,"","经营性")</f>
        <v>经营性</v>
      </c>
      <c r="C6" s="2308" t="s">
        <v>1372</v>
      </c>
      <c r="D6" s="1051">
        <f>SUMIF(项目基本情况!D$12:I$12,C6,项目基本情况!D$14:I$14)</f>
        <v>40</v>
      </c>
      <c r="E6" s="1048">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2">
        <v>0.05</v>
      </c>
      <c r="I6" s="802">
        <v>5.5E-2</v>
      </c>
      <c r="J6" s="74">
        <v>8.5000000000000006E-2</v>
      </c>
      <c r="K6" s="1251">
        <f>SUMIF('数据-汇总表'!C$19:C$33,A6,'数据-汇总表'!E$19:E$33)</f>
        <v>296.95999999999998</v>
      </c>
      <c r="L6" s="803">
        <v>3000</v>
      </c>
      <c r="M6" s="75">
        <f t="shared" ref="M6:M14" si="0">ROUND(K6*L6/10000,0)</f>
        <v>89</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3.5</v>
      </c>
      <c r="V6" s="79">
        <v>2.5000000000000001E-2</v>
      </c>
      <c r="W6" s="79">
        <v>0.1</v>
      </c>
      <c r="X6" s="1261"/>
      <c r="Y6" s="80">
        <f>N6</f>
        <v>0.86699999999999999</v>
      </c>
      <c r="Z6" s="81"/>
      <c r="AA6" s="74"/>
      <c r="AB6" s="74"/>
      <c r="AC6" s="1261"/>
      <c r="AD6" s="82"/>
      <c r="AE6" s="1262">
        <f ca="1">IF(AN6="",0,SUMIF(INDIRECT("'"&amp;AN6&amp;"'"&amp;"!E:E"),$AE$5,INDIRECT("'"&amp;AN6&amp;"'"&amp;"!F:F")))</f>
        <v>31.84</v>
      </c>
      <c r="AF6" s="1804"/>
      <c r="AG6" s="147">
        <f>IF(AF6="",0,AE6-AF6)</f>
        <v>0</v>
      </c>
      <c r="AH6" s="83"/>
      <c r="AI6" s="85">
        <v>365</v>
      </c>
      <c r="AJ6" s="86"/>
      <c r="AK6" s="87">
        <v>1.4999999999999999E-2</v>
      </c>
      <c r="AL6" s="88">
        <v>1.5E-3</v>
      </c>
      <c r="AM6" s="89">
        <v>0.01</v>
      </c>
      <c r="AN6" s="2309" t="s">
        <v>3110</v>
      </c>
      <c r="AO6" s="55">
        <f ca="1">SUMIF(INDIRECT("'"&amp;AN6&amp;"'"&amp;"!A:A"),"总价",INDIRECT("'"&amp;AN6&amp;"'"&amp;"!B:B"))</f>
        <v>521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-202</v>
      </c>
      <c r="B7" s="2307" t="str">
        <f t="shared" ref="B7:B13" si="1">IF(A7=0,"","经营性")</f>
        <v>经营性</v>
      </c>
      <c r="C7" s="2308" t="s">
        <v>1372</v>
      </c>
      <c r="D7" s="1051">
        <f>SUMIF(项目基本情况!D$12:I$12,C7,项目基本情况!D$14:I$14)</f>
        <v>40</v>
      </c>
      <c r="E7" s="1048">
        <f>IF(B7="","",SUMIF(项目基本情况!D$12:I$12,C7,项目基本情况!D$13:I$13))</f>
        <v>55536</v>
      </c>
      <c r="F7" s="72">
        <f>SUMIF(项目基本情况!D$12:I$12,C7,项目基本情况!D$15:I$15)</f>
        <v>31.84</v>
      </c>
      <c r="G7" s="73">
        <f t="shared" ref="G7:G11" si="2">IF(ISERROR(ROUND(POWER(1+H7,D7-F7)*(POWER(1+H7,F7)-1)/(POWER(1+H7,D7)-1),3)),0,ROUND(POWER(1+H7,D7-F7)*(POWER(1+H7,F7)-1)/(POWER(1+H7,D7)-1),3))</f>
        <v>0.91900000000000004</v>
      </c>
      <c r="H7" s="802">
        <f>H6</f>
        <v>0.05</v>
      </c>
      <c r="I7" s="802">
        <f>I6</f>
        <v>5.5E-2</v>
      </c>
      <c r="J7" s="74">
        <f>J6</f>
        <v>8.5000000000000006E-2</v>
      </c>
      <c r="K7" s="1251">
        <f>SUMIF('数据-汇总表'!C$19:C$33,A7,'数据-汇总表'!E$19:E$33)</f>
        <v>411.84</v>
      </c>
      <c r="L7" s="803">
        <f>L6</f>
        <v>3000</v>
      </c>
      <c r="M7" s="75">
        <f t="shared" si="0"/>
        <v>124</v>
      </c>
      <c r="N7" s="801">
        <f>N6</f>
        <v>0.86699999999999999</v>
      </c>
      <c r="O7" s="75" t="str">
        <f t="shared" ref="O7:O14" si="3">IF($N$5="成新度","——",ROUND(M7*N7,0))</f>
        <v>——</v>
      </c>
      <c r="P7" s="76" t="str">
        <f t="shared" ref="P7:P14" si="4">IF($N$5="成新度","——",M7-O7)</f>
        <v>——</v>
      </c>
      <c r="Q7" s="804">
        <f>Q6</f>
        <v>0.15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t="s">
        <v>1372</v>
      </c>
      <c r="D8" s="1051">
        <f>SUMIF(项目基本情况!D$12:I$12,C8,项目基本情况!D$14:I$14)</f>
        <v>40</v>
      </c>
      <c r="E8" s="1048" t="str">
        <f>IF(B8="","",SUMIF(项目基本情况!D$12:I$12,C8,项目基本情况!D$13:I$13))</f>
        <v/>
      </c>
      <c r="F8" s="72">
        <f>SUMIF(项目基本情况!D$12:I$12,C8,项目基本情况!D$15:I$15)</f>
        <v>31.84</v>
      </c>
      <c r="G8" s="73">
        <f t="shared" si="2"/>
        <v>0.91900000000000004</v>
      </c>
      <c r="H8" s="802">
        <f>H6</f>
        <v>0.05</v>
      </c>
      <c r="I8" s="802">
        <f>I6</f>
        <v>5.5E-2</v>
      </c>
      <c r="J8" s="74">
        <f>J6</f>
        <v>8.5000000000000006E-2</v>
      </c>
      <c r="K8" s="1251">
        <f>SUMIF('数据-汇总表'!C$19:C$33,A8,'数据-汇总表'!E$19:E$33)</f>
        <v>0</v>
      </c>
      <c r="L8" s="803">
        <f>L6</f>
        <v>3000</v>
      </c>
      <c r="M8" s="75">
        <f>ROUND(K8*L8/10000,0)</f>
        <v>0</v>
      </c>
      <c r="N8" s="801">
        <f>N6</f>
        <v>0.86699999999999999</v>
      </c>
      <c r="O8" s="75" t="str">
        <f t="shared" si="3"/>
        <v>——</v>
      </c>
      <c r="P8" s="76" t="str">
        <f t="shared" si="4"/>
        <v>——</v>
      </c>
      <c r="Q8" s="804">
        <f>Q6</f>
        <v>0.15</v>
      </c>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0.86699999999999999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v>3</v>
      </c>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v>3.5</v>
      </c>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v>4</v>
      </c>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106" t="s">
        <v>2079</v>
      </c>
      <c r="B1" s="3107"/>
      <c r="C1" s="3107"/>
      <c r="D1" s="3107"/>
      <c r="E1" s="3107"/>
      <c r="F1" s="3107"/>
      <c r="G1" s="310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0" sqref="G10"/>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3565.17</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43914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12104</v>
      </c>
      <c r="C5" s="1743">
        <f ca="1">ROUND(B5*10000/$B$1,0)</f>
        <v>33951</v>
      </c>
      <c r="D5" s="1743" t="e">
        <f ca="1">ROUND(B5*10000/$B$2,0)</f>
        <v>#DIV/0!</v>
      </c>
      <c r="E5" s="1742"/>
      <c r="F5" s="1740"/>
      <c r="G5" s="1740"/>
    </row>
    <row r="6" spans="1:10" ht="16.5">
      <c r="A6" s="1743" t="s">
        <v>1351</v>
      </c>
      <c r="B6" s="1743">
        <f ca="1">SUM(G14:G23)</f>
        <v>12104</v>
      </c>
      <c r="C6" s="1743">
        <f ca="1">ROUND(B6*10000/$B$1,0)</f>
        <v>33951</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 ca="1">SUM(I14:I23)</f>
        <v>6635</v>
      </c>
      <c r="C8" s="1743">
        <f ca="1">ROUND(B8*10000/$B$1,0)</f>
        <v>18611</v>
      </c>
      <c r="D8" s="1743" t="e">
        <f ca="1">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708.8</v>
      </c>
      <c r="C14" s="1741">
        <f>结果表!C118</f>
        <v>0</v>
      </c>
      <c r="D14" s="1741">
        <f ca="1">结果表!H118</f>
        <v>886</v>
      </c>
      <c r="E14" s="1741">
        <f ca="1">ROUND(D14*10000/B14,0)</f>
        <v>12500</v>
      </c>
      <c r="F14" s="1741" t="e">
        <f ca="1">ROUND(D14*10000/C14,0)</f>
        <v>#DIV/0!</v>
      </c>
      <c r="G14" s="1741">
        <f ca="1">结果表!D122</f>
        <v>886</v>
      </c>
      <c r="H14" s="1741" t="str">
        <f>'结果表（1）'!D124</f>
        <v>——</v>
      </c>
      <c r="I14" s="1741">
        <f ca="1">'结果表（1）'!D126</f>
        <v>332</v>
      </c>
      <c r="J14" s="1740"/>
    </row>
    <row r="15" spans="1:10" ht="16.5">
      <c r="A15" s="1739" t="s">
        <v>1344</v>
      </c>
      <c r="B15" s="1746">
        <f>[1]系统读取表!$B$14</f>
        <v>693.12</v>
      </c>
      <c r="C15" s="1746"/>
      <c r="D15" s="1746">
        <f>[1]系统读取表!$D$14</f>
        <v>1681</v>
      </c>
      <c r="E15" s="1741">
        <f t="shared" ref="E15:E23" si="0">ROUND(D15*10000/B15,0)</f>
        <v>24253</v>
      </c>
      <c r="F15" s="1741" t="e">
        <f t="shared" ref="F15:F23" si="1">ROUND(D15*10000/C15,0)</f>
        <v>#DIV/0!</v>
      </c>
      <c r="G15" s="1747">
        <f>[1]系统读取表!$G$14</f>
        <v>1681</v>
      </c>
      <c r="H15" s="1747"/>
      <c r="I15" s="1746">
        <f>[1]系统读取表!$I$14</f>
        <v>729</v>
      </c>
      <c r="J15" s="1740"/>
    </row>
    <row r="16" spans="1:10" ht="16.5">
      <c r="A16" s="1739" t="s">
        <v>1343</v>
      </c>
      <c r="B16" s="1746">
        <f>[2]系统读取表!$B$14</f>
        <v>1531.9299999999998</v>
      </c>
      <c r="C16" s="1746"/>
      <c r="D16" s="1746">
        <f>[2]系统读取表!$D$14</f>
        <v>6916</v>
      </c>
      <c r="E16" s="1741">
        <f t="shared" si="0"/>
        <v>45146</v>
      </c>
      <c r="F16" s="1741" t="e">
        <f t="shared" si="1"/>
        <v>#DIV/0!</v>
      </c>
      <c r="G16" s="1747">
        <f>[2]系统读取表!$G$14</f>
        <v>6916</v>
      </c>
      <c r="H16" s="1747"/>
      <c r="I16" s="1746">
        <f>[2]系统读取表!$I$14</f>
        <v>3460</v>
      </c>
    </row>
    <row r="17" spans="1:9" ht="16.5">
      <c r="A17" s="1739" t="s">
        <v>1342</v>
      </c>
      <c r="B17" s="1746">
        <f>[3]系统读取表!$B$14</f>
        <v>631.32000000000005</v>
      </c>
      <c r="C17" s="1746"/>
      <c r="D17" s="1746">
        <f ca="1">[3]系统读取表!$D$14</f>
        <v>2621</v>
      </c>
      <c r="E17" s="1741">
        <f t="shared" ca="1" si="0"/>
        <v>41516</v>
      </c>
      <c r="F17" s="1741" t="e">
        <f t="shared" ca="1" si="1"/>
        <v>#DIV/0!</v>
      </c>
      <c r="G17" s="1747">
        <f ca="1">[3]系统读取表!$G$14</f>
        <v>2621</v>
      </c>
      <c r="H17" s="1747"/>
      <c r="I17" s="1746">
        <f ca="1">[3]系统读取表!$I$14</f>
        <v>2114</v>
      </c>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0" zoomScaleNormal="100" zoomScaleSheetLayoutView="100" zoomScalePageLayoutView="80" workbookViewId="0">
      <selection activeCell="P59" sqref="P5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5" t="s">
        <v>2119</v>
      </c>
      <c r="B3" s="3116"/>
      <c r="C3" s="3116"/>
      <c r="D3" s="3116"/>
      <c r="E3" s="3116"/>
      <c r="F3" s="3116"/>
      <c r="G3" s="3116"/>
      <c r="H3" s="3116"/>
      <c r="I3" s="3116"/>
    </row>
    <row r="4" spans="1:12" ht="14.25">
      <c r="A4" s="2425" t="s">
        <v>2120</v>
      </c>
      <c r="B4" s="2426" t="s">
        <v>2121</v>
      </c>
      <c r="C4" s="2427" t="s">
        <v>3120</v>
      </c>
      <c r="D4" s="2427" t="s">
        <v>3120</v>
      </c>
      <c r="E4" s="3117" t="s">
        <v>2122</v>
      </c>
      <c r="F4" s="3118"/>
      <c r="G4" s="3118"/>
      <c r="H4" s="3118"/>
      <c r="I4" s="3119"/>
      <c r="K4" s="2428" t="str">
        <f>IF(ISNUMBER(FIND("比较法",结果表!C4)),"比较法",IF(ISNUMBER(FIND("成本法",结果表!C4)),"成本法",IF(ISNUMBER(FIND("假设开发法",结果表!C4)),"假设开发法",IF(ISNUMBER(FIND("收益法",结果表!C4)),"收益法","基准地价系数修正法"))))</f>
        <v>基准地价系数修正法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8" t="s">
        <v>2123</v>
      </c>
      <c r="B5" s="3081">
        <v>25</v>
      </c>
      <c r="C5" s="3109"/>
      <c r="D5" s="3111"/>
      <c r="E5" s="140" t="s">
        <v>2124</v>
      </c>
      <c r="F5" s="2429"/>
      <c r="G5" s="2429"/>
      <c r="H5" s="2429"/>
      <c r="I5" s="1831"/>
    </row>
    <row r="6" spans="1:12" ht="12.75">
      <c r="A6" s="3108"/>
      <c r="B6" s="3081"/>
      <c r="C6" s="3120"/>
      <c r="D6" s="3111"/>
      <c r="E6" s="140" t="s">
        <v>2125</v>
      </c>
      <c r="F6" s="2429"/>
      <c r="G6" s="2429"/>
      <c r="H6" s="2429"/>
      <c r="I6" s="1831"/>
    </row>
    <row r="7" spans="1:12" ht="12.75">
      <c r="A7" s="3108"/>
      <c r="B7" s="3081"/>
      <c r="C7" s="3110"/>
      <c r="D7" s="3111"/>
      <c r="E7" s="140" t="s">
        <v>2126</v>
      </c>
      <c r="F7" s="2429"/>
      <c r="G7" s="2429"/>
      <c r="H7" s="2429"/>
      <c r="I7" s="1831"/>
    </row>
    <row r="8" spans="1:12" ht="12.75">
      <c r="A8" s="3108" t="s">
        <v>2127</v>
      </c>
      <c r="B8" s="3081">
        <v>15</v>
      </c>
      <c r="C8" s="3109"/>
      <c r="D8" s="3111"/>
      <c r="E8" s="140" t="s">
        <v>2128</v>
      </c>
      <c r="F8" s="2429"/>
      <c r="G8" s="2429"/>
      <c r="H8" s="2429"/>
      <c r="I8" s="1831"/>
    </row>
    <row r="9" spans="1:12" ht="12.75">
      <c r="A9" s="3108"/>
      <c r="B9" s="3081"/>
      <c r="C9" s="3110"/>
      <c r="D9" s="3111"/>
      <c r="E9" s="140" t="s">
        <v>2129</v>
      </c>
      <c r="F9" s="2429"/>
      <c r="G9" s="2429"/>
      <c r="H9" s="2429"/>
      <c r="I9" s="1831"/>
    </row>
    <row r="10" spans="1:12" ht="12.75">
      <c r="A10" s="3108" t="s">
        <v>2130</v>
      </c>
      <c r="B10" s="3081">
        <v>15</v>
      </c>
      <c r="C10" s="3109"/>
      <c r="D10" s="3111"/>
      <c r="E10" s="140" t="s">
        <v>2131</v>
      </c>
      <c r="F10" s="2429"/>
      <c r="G10" s="2429"/>
      <c r="H10" s="2429"/>
      <c r="I10" s="1831"/>
    </row>
    <row r="11" spans="1:12" ht="12.75">
      <c r="A11" s="3108"/>
      <c r="B11" s="3081"/>
      <c r="C11" s="3110"/>
      <c r="D11" s="3111"/>
      <c r="E11" s="140" t="s">
        <v>2132</v>
      </c>
      <c r="F11" s="2429"/>
      <c r="G11" s="2429"/>
      <c r="H11" s="2429"/>
      <c r="I11" s="1831"/>
    </row>
    <row r="12" spans="1:12" ht="12.75">
      <c r="A12" s="3108" t="s">
        <v>2133</v>
      </c>
      <c r="B12" s="3081">
        <v>15</v>
      </c>
      <c r="C12" s="3109"/>
      <c r="D12" s="3111"/>
      <c r="E12" s="140" t="s">
        <v>2134</v>
      </c>
      <c r="F12" s="2429"/>
      <c r="G12" s="2429"/>
      <c r="H12" s="2429"/>
      <c r="I12" s="1831"/>
    </row>
    <row r="13" spans="1:12" ht="12.75">
      <c r="A13" s="3108"/>
      <c r="B13" s="3081"/>
      <c r="C13" s="3110"/>
      <c r="D13" s="3111"/>
      <c r="E13" s="140" t="s">
        <v>2135</v>
      </c>
      <c r="F13" s="2429"/>
      <c r="G13" s="2429"/>
      <c r="H13" s="2429"/>
      <c r="I13" s="1831"/>
    </row>
    <row r="14" spans="1:12" ht="12.75">
      <c r="A14" s="3108" t="s">
        <v>2136</v>
      </c>
      <c r="B14" s="3081">
        <v>30</v>
      </c>
      <c r="C14" s="3109">
        <v>1</v>
      </c>
      <c r="D14" s="3111">
        <v>0</v>
      </c>
      <c r="E14" s="140" t="s">
        <v>2137</v>
      </c>
      <c r="F14" s="2429"/>
      <c r="G14" s="2429"/>
      <c r="H14" s="2429"/>
      <c r="I14" s="1831"/>
    </row>
    <row r="15" spans="1:12" ht="12.75">
      <c r="A15" s="3108"/>
      <c r="B15" s="3081"/>
      <c r="C15" s="3120"/>
      <c r="D15" s="3111"/>
      <c r="E15" s="140" t="s">
        <v>2138</v>
      </c>
      <c r="F15" s="2429"/>
      <c r="G15" s="2429"/>
      <c r="H15" s="2429"/>
      <c r="I15" s="1831"/>
    </row>
    <row r="16" spans="1:12" ht="12.75">
      <c r="A16" s="3108"/>
      <c r="B16" s="3081"/>
      <c r="C16" s="3110"/>
      <c r="D16" s="3111"/>
      <c r="E16" s="140" t="s">
        <v>2139</v>
      </c>
      <c r="F16" s="2429"/>
      <c r="G16" s="2429"/>
      <c r="H16" s="2429"/>
      <c r="I16" s="1831"/>
    </row>
    <row r="17" spans="1:35" ht="15">
      <c r="A17" s="2430" t="s">
        <v>2140</v>
      </c>
      <c r="B17" s="64"/>
      <c r="C17" s="141">
        <f>SUM(C5:C16)</f>
        <v>1</v>
      </c>
      <c r="D17" s="141">
        <f>SUM(D5:D16)</f>
        <v>0</v>
      </c>
      <c r="E17" s="138"/>
      <c r="F17" s="138"/>
      <c r="G17" s="138"/>
      <c r="H17" s="138"/>
      <c r="I17" s="138"/>
      <c r="K17" s="2428"/>
      <c r="L17" s="2431" t="s">
        <v>2141</v>
      </c>
      <c r="M17" s="2431" t="s">
        <v>2142</v>
      </c>
    </row>
    <row r="18" spans="1:35" ht="15.75" thickBot="1">
      <c r="A18" s="2432" t="s">
        <v>2143</v>
      </c>
      <c r="B18" s="2433"/>
      <c r="C18" s="142">
        <f>ROUND(C17/SUM(C17:D17),2)</f>
        <v>1</v>
      </c>
      <c r="D18" s="142">
        <f>1-C18</f>
        <v>0</v>
      </c>
      <c r="E18" s="138"/>
      <c r="F18" s="138"/>
      <c r="G18" s="138"/>
      <c r="H18" s="138"/>
      <c r="I18" s="138"/>
      <c r="K18" s="2428" t="s">
        <v>2144</v>
      </c>
      <c r="L18" s="2428">
        <f>IF(C1="",'数据-汇总表'!E3,SUMIF(项目类型,C1,'数据-汇总表'!E17:E26)+SUMIF(项目类型,C1,'数据-汇总表'!I17:I26))</f>
        <v>708.8</v>
      </c>
      <c r="M18" s="2428">
        <f>IF(C1="",'数据-汇总表'!E3,SUMIF(项目类型,C1,'数据-汇总表'!E17:E26))</f>
        <v>708.8</v>
      </c>
    </row>
    <row r="19" spans="1:35" ht="15">
      <c r="A19" s="2434" t="s">
        <v>2145</v>
      </c>
      <c r="B19" s="2435" t="s">
        <v>2146</v>
      </c>
      <c r="C19" s="143">
        <f ca="1">SUMIF(INDIRECT("'"&amp;C4&amp;"'"&amp;"!A:A"),结果表!B19,INDIRECT("'"&amp;C4&amp;"'"&amp;"!B:B"))</f>
        <v>886</v>
      </c>
      <c r="D19" s="144">
        <f ca="1">SUMIF(INDIRECT("'"&amp;D4&amp;"'"&amp;"!A:A"),结果表!B19,INDIRECT("'"&amp;D4&amp;"'"&amp;"!B:B"))</f>
        <v>886</v>
      </c>
      <c r="E19" s="2434" t="s">
        <v>2147</v>
      </c>
      <c r="F19" s="2435" t="s">
        <v>2146</v>
      </c>
      <c r="G19" s="145">
        <f ca="1">ROUND(C19*$C$18+D19*$D$18,0)</f>
        <v>886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SUMIF(INDIRECT("'"&amp;C4&amp;"'"&amp;"!A:A"),结果表!B20,INDIRECT("'"&amp;C4&amp;"'"&amp;"!B:B"))</f>
        <v>12500</v>
      </c>
      <c r="D20" s="147">
        <f ca="1">SUMIF(INDIRECT("'"&amp;D4&amp;"'"&amp;"!A:A"),结果表!B20,INDIRECT("'"&amp;D4&amp;"'"&amp;"!B:B"))</f>
        <v>12500</v>
      </c>
      <c r="E20" s="2437"/>
      <c r="F20" s="1247" t="s">
        <v>2150</v>
      </c>
      <c r="G20" s="148">
        <f ca="1">ROUND(C20*$C$18+D20*$D$18,0)</f>
        <v>12500</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v>
      </c>
      <c r="E22" s="138"/>
      <c r="F22" s="138"/>
      <c r="G22" s="138"/>
      <c r="H22" s="138"/>
      <c r="I22" s="138"/>
    </row>
    <row r="23" spans="1:35" ht="13.5" thickBot="1">
      <c r="A23" s="2418"/>
      <c r="B23" s="2418"/>
      <c r="C23" s="2418"/>
      <c r="D23" s="2418"/>
      <c r="E23" s="138"/>
      <c r="F23" s="138"/>
      <c r="G23" s="138"/>
      <c r="H23" s="138"/>
      <c r="I23" s="138"/>
    </row>
    <row r="24" spans="1:35" ht="14.25">
      <c r="A24" s="3121" t="s">
        <v>2154</v>
      </c>
      <c r="B24" s="2435" t="s">
        <v>2146</v>
      </c>
      <c r="C24" s="145">
        <f>IF(B30=0,0,D30)</f>
        <v>0</v>
      </c>
      <c r="D24" s="2442"/>
      <c r="E24" s="138"/>
      <c r="F24" s="138"/>
      <c r="G24" s="138"/>
      <c r="H24" s="138"/>
      <c r="I24" s="138"/>
    </row>
    <row r="25" spans="1:35" ht="14.25">
      <c r="A25" s="3122"/>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886</v>
      </c>
      <c r="D32" s="2449" t="s">
        <v>2161</v>
      </c>
      <c r="E32" s="138"/>
      <c r="F32" s="138"/>
      <c r="G32" s="138"/>
      <c r="H32" s="138"/>
      <c r="I32" s="138"/>
    </row>
    <row r="33" spans="1:15" ht="15">
      <c r="A33" s="957" t="s">
        <v>2162</v>
      </c>
      <c r="B33" s="2450"/>
      <c r="C33" s="2451"/>
      <c r="D33" s="2452"/>
      <c r="E33" s="2453" t="s">
        <v>2163</v>
      </c>
      <c r="F33" s="2956"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23" t="s">
        <v>2168</v>
      </c>
      <c r="B36" s="2461" t="s">
        <v>2169</v>
      </c>
      <c r="C36" s="154"/>
      <c r="D36" s="2462"/>
      <c r="E36" s="2463"/>
      <c r="F36" s="2464"/>
      <c r="G36" s="138"/>
      <c r="H36" s="138"/>
      <c r="I36" s="138"/>
    </row>
    <row r="37" spans="1:15" ht="15.75" thickBot="1">
      <c r="A37" s="3124"/>
      <c r="B37" s="2267" t="s">
        <v>2170</v>
      </c>
      <c r="C37" s="156"/>
      <c r="D37" s="1392"/>
      <c r="E37" s="1392"/>
      <c r="F37" s="2464"/>
      <c r="G37" s="138"/>
      <c r="H37" s="138"/>
      <c r="I37" s="138"/>
    </row>
    <row r="38" spans="1:15" ht="15.75" thickBot="1">
      <c r="A38" s="3125"/>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26" t="s">
        <v>2182</v>
      </c>
      <c r="B45" s="3127"/>
      <c r="C45" s="3128"/>
      <c r="D45" s="164">
        <f ca="1">ROUND(H101*F45,0)</f>
        <v>886</v>
      </c>
      <c r="E45" s="165" t="s">
        <v>2183</v>
      </c>
      <c r="F45" s="166">
        <v>1</v>
      </c>
      <c r="G45" s="167" t="s">
        <v>2184</v>
      </c>
      <c r="H45" s="138"/>
      <c r="I45" s="138"/>
      <c r="J45" s="3129" t="s">
        <v>2185</v>
      </c>
      <c r="K45" s="3129"/>
      <c r="L45" s="3129"/>
      <c r="M45" s="3129"/>
      <c r="N45" s="3129"/>
      <c r="O45" s="3129"/>
    </row>
    <row r="46" spans="1:15" ht="14.25" customHeight="1">
      <c r="A46" s="3130" t="s">
        <v>2186</v>
      </c>
      <c r="B46" s="3131"/>
      <c r="C46" s="3131"/>
      <c r="D46" s="3131"/>
      <c r="E46" s="3131"/>
      <c r="F46" s="3131"/>
      <c r="G46" s="3132"/>
      <c r="H46" s="2480"/>
      <c r="I46" s="168"/>
      <c r="J46" s="2966">
        <v>1</v>
      </c>
      <c r="K46" s="3129" t="s">
        <v>2187</v>
      </c>
      <c r="L46" s="3129"/>
      <c r="M46" s="3133"/>
      <c r="N46" s="3133"/>
      <c r="O46" s="3133"/>
    </row>
    <row r="47" spans="1:15" ht="12" customHeight="1">
      <c r="A47" s="169" t="s">
        <v>2188</v>
      </c>
      <c r="B47" s="170"/>
      <c r="C47" s="171"/>
      <c r="D47" s="172" t="s">
        <v>2189</v>
      </c>
      <c r="E47" s="24" t="s">
        <v>2190</v>
      </c>
      <c r="F47" s="173" t="s">
        <v>2191</v>
      </c>
      <c r="G47" s="174" t="s">
        <v>2192</v>
      </c>
      <c r="H47" s="2480"/>
      <c r="I47" s="168"/>
      <c r="J47" s="2966">
        <v>2</v>
      </c>
      <c r="K47" s="3129" t="s">
        <v>2193</v>
      </c>
      <c r="L47" s="3129"/>
      <c r="M47" s="3134">
        <f>'数据-取费表'!B2</f>
        <v>43914</v>
      </c>
      <c r="N47" s="3134"/>
      <c r="O47" s="3134"/>
    </row>
    <row r="48" spans="1:15" ht="25.5">
      <c r="A48" s="3135" t="s">
        <v>2194</v>
      </c>
      <c r="B48" s="3136"/>
      <c r="C48" s="3136"/>
      <c r="D48" s="140">
        <f ca="1">IF(H48="情况1",0,IF(H48="情况2",D52,IF(H48="情况3",D53,IF(H48="情况4",D54))))</f>
        <v>47</v>
      </c>
      <c r="E48" s="2960" t="str">
        <f>IF(H48="情况4","(销售额-原购置价)×税（费）率","销售额×税（费）率")</f>
        <v>销售额×税（费）率</v>
      </c>
      <c r="F48" s="175">
        <f>IF(H48="情况1","免征",'数据-取费表'!B41)</f>
        <v>5.6000000000000001E-2</v>
      </c>
      <c r="G48" s="2481" t="s">
        <v>2195</v>
      </c>
      <c r="H48" s="2482" t="s">
        <v>3125</v>
      </c>
      <c r="I48" s="2480"/>
      <c r="J48" s="2966">
        <v>3</v>
      </c>
      <c r="K48" s="3129" t="s">
        <v>2197</v>
      </c>
      <c r="L48" s="3129"/>
      <c r="M48" s="3137">
        <f ca="1">H101</f>
        <v>886</v>
      </c>
      <c r="N48" s="3137"/>
      <c r="O48" s="3137"/>
    </row>
    <row r="49" spans="1:35" ht="25.5" customHeight="1">
      <c r="A49" s="176" t="s">
        <v>2198</v>
      </c>
      <c r="B49" s="3138" t="s">
        <v>2199</v>
      </c>
      <c r="C49" s="3138"/>
      <c r="D49" s="177">
        <v>0</v>
      </c>
      <c r="E49" s="23" t="s">
        <v>2200</v>
      </c>
      <c r="F49" s="28" t="s">
        <v>34</v>
      </c>
      <c r="G49" s="3139"/>
      <c r="H49" s="138"/>
      <c r="I49" s="2483"/>
      <c r="J49" s="2966">
        <v>4</v>
      </c>
      <c r="K49" s="3129" t="str">
        <f>IF(项目基本情况!E8="房地产抵押价值","房地产抵押价值","抵押担保权已注销时的房地产抵押价值")</f>
        <v>房地产抵押价值</v>
      </c>
      <c r="L49" s="3129"/>
      <c r="M49" s="3137">
        <f ca="1">IF(项目基本情况!E8="房地产抵押价值",H107,H109)</f>
        <v>886</v>
      </c>
      <c r="N49" s="3137"/>
      <c r="O49" s="3137"/>
    </row>
    <row r="50" spans="1:35" ht="25.5" customHeight="1">
      <c r="A50" s="178"/>
      <c r="B50" s="3138" t="s">
        <v>2201</v>
      </c>
      <c r="C50" s="3138"/>
      <c r="D50" s="179"/>
      <c r="E50" s="31"/>
      <c r="F50" s="180"/>
      <c r="G50" s="3140"/>
      <c r="H50" s="138"/>
      <c r="I50" s="2483"/>
      <c r="J50" s="3129" t="s">
        <v>2202</v>
      </c>
      <c r="K50" s="3129"/>
      <c r="L50" s="3129"/>
      <c r="M50" s="3129"/>
      <c r="N50" s="3129"/>
      <c r="O50" s="3129"/>
    </row>
    <row r="51" spans="1:35" ht="12" customHeight="1">
      <c r="A51" s="181"/>
      <c r="B51" s="3138" t="s">
        <v>2203</v>
      </c>
      <c r="C51" s="3138"/>
      <c r="D51" s="182"/>
      <c r="E51" s="30"/>
      <c r="F51" s="180"/>
      <c r="G51" s="3141"/>
      <c r="H51" s="138"/>
      <c r="I51" s="2483"/>
      <c r="J51" s="2965" t="s">
        <v>2204</v>
      </c>
      <c r="K51" s="3129" t="s">
        <v>2205</v>
      </c>
      <c r="L51" s="3129"/>
      <c r="M51" s="2965" t="s">
        <v>2206</v>
      </c>
      <c r="N51" s="2965" t="s">
        <v>2207</v>
      </c>
      <c r="O51" s="2965" t="s">
        <v>2208</v>
      </c>
    </row>
    <row r="52" spans="1:35" ht="24" customHeight="1">
      <c r="A52" s="183" t="s">
        <v>2209</v>
      </c>
      <c r="B52" s="3138" t="s">
        <v>2210</v>
      </c>
      <c r="C52" s="3138"/>
      <c r="D52" s="182">
        <f ca="1">ROUND(D45*'数据-取费表'!B41/(1+'数据-取费表'!C42),0)</f>
        <v>47</v>
      </c>
      <c r="E52" s="11" t="s">
        <v>2211</v>
      </c>
      <c r="F52" s="184">
        <f>'数据-取费表'!B41</f>
        <v>5.6000000000000001E-2</v>
      </c>
      <c r="G52" s="2485"/>
      <c r="H52" s="138"/>
      <c r="I52" s="2483"/>
      <c r="J52" s="2966">
        <v>1</v>
      </c>
      <c r="K52" s="3144" t="s">
        <v>2212</v>
      </c>
      <c r="L52" s="3144"/>
      <c r="M52" s="1751">
        <f ca="1">D48</f>
        <v>47</v>
      </c>
      <c r="N52" s="2966" t="str">
        <f>E48</f>
        <v>销售额×税（费）率</v>
      </c>
      <c r="O52" s="1752">
        <f>F48</f>
        <v>5.6000000000000001E-2</v>
      </c>
    </row>
    <row r="53" spans="1:35" ht="12" customHeight="1">
      <c r="A53" s="183" t="s">
        <v>2213</v>
      </c>
      <c r="B53" s="3142" t="s">
        <v>2214</v>
      </c>
      <c r="C53" s="3143"/>
      <c r="D53" s="182">
        <f ca="1">ROUND(D45*'数据-取费表'!B41/(1+'数据-取费表'!C42),0)</f>
        <v>47</v>
      </c>
      <c r="E53" s="11" t="s">
        <v>2211</v>
      </c>
      <c r="F53" s="184">
        <f>'数据-取费表'!B41</f>
        <v>5.6000000000000001E-2</v>
      </c>
      <c r="G53" s="2485"/>
      <c r="H53" s="138"/>
      <c r="I53" s="2483"/>
      <c r="J53" s="2966">
        <v>2</v>
      </c>
      <c r="K53" s="3144" t="s">
        <v>2215</v>
      </c>
      <c r="L53" s="3144"/>
      <c r="M53" s="1751">
        <f t="shared" ref="M53:O54" ca="1" si="0">D55</f>
        <v>0</v>
      </c>
      <c r="N53" s="2966" t="str">
        <f t="shared" si="0"/>
        <v>销售额×税（费）率</v>
      </c>
      <c r="O53" s="1752">
        <f t="shared" si="0"/>
        <v>5.0000000000000001E-4</v>
      </c>
    </row>
    <row r="54" spans="1:35" ht="12" customHeight="1">
      <c r="A54" s="183" t="s">
        <v>2216</v>
      </c>
      <c r="B54" s="3142" t="s">
        <v>2217</v>
      </c>
      <c r="C54" s="3143"/>
      <c r="D54" s="182">
        <f ca="1">C68</f>
        <v>47</v>
      </c>
      <c r="E54" s="30" t="s">
        <v>2218</v>
      </c>
      <c r="F54" s="184">
        <f>'数据-取费表'!B41</f>
        <v>5.6000000000000001E-2</v>
      </c>
      <c r="G54" s="2485"/>
      <c r="H54" s="2486"/>
      <c r="I54" s="2483"/>
      <c r="J54" s="2966">
        <v>3</v>
      </c>
      <c r="K54" s="3144" t="s">
        <v>2219</v>
      </c>
      <c r="L54" s="3144"/>
      <c r="M54" s="1751">
        <f t="shared" ca="1" si="0"/>
        <v>93</v>
      </c>
      <c r="N54" s="2966" t="str">
        <f t="shared" si="0"/>
        <v>增值额×税（费）率</v>
      </c>
      <c r="O54" s="1753" t="str">
        <f t="shared" si="0"/>
        <v>——</v>
      </c>
    </row>
    <row r="55" spans="1:35" ht="24" customHeight="1">
      <c r="A55" s="3145" t="s">
        <v>2220</v>
      </c>
      <c r="B55" s="3136"/>
      <c r="C55" s="3136"/>
      <c r="D55" s="185">
        <f ca="1">IF(H55="个人住宅",0,ROUND(D45*I55,0))</f>
        <v>0</v>
      </c>
      <c r="E55" s="11" t="s">
        <v>2221</v>
      </c>
      <c r="F55" s="184">
        <f>IF(H55="正常",I55,"免征")</f>
        <v>5.0000000000000001E-4</v>
      </c>
      <c r="G55" s="2485"/>
      <c r="H55" s="2482" t="s">
        <v>2222</v>
      </c>
      <c r="I55" s="186">
        <f>'数据-取费表'!B49</f>
        <v>5.0000000000000001E-4</v>
      </c>
      <c r="J55" s="2966" t="str">
        <f>IF(H59="非个人房产","",4)</f>
        <v/>
      </c>
      <c r="K55" s="3144" t="str">
        <f>IF(H59="非个人房产","——","个人所得税")</f>
        <v>——</v>
      </c>
      <c r="L55" s="3144"/>
      <c r="M55" s="1754" t="str">
        <f>D59</f>
        <v>——</v>
      </c>
      <c r="N55" s="2967" t="str">
        <f>E59</f>
        <v>——</v>
      </c>
      <c r="O55" s="1755" t="str">
        <f>F59</f>
        <v>——</v>
      </c>
    </row>
    <row r="56" spans="1:35" ht="24.75">
      <c r="A56" s="3145" t="s">
        <v>2223</v>
      </c>
      <c r="B56" s="3136"/>
      <c r="C56" s="3136"/>
      <c r="D56" s="185">
        <f ca="1">IF(H56="个人住宅",D57,D58)</f>
        <v>93</v>
      </c>
      <c r="E56" s="11" t="s">
        <v>2224</v>
      </c>
      <c r="F56" s="184" t="str">
        <f>IF(H56="正常",F58,"免征")</f>
        <v>——</v>
      </c>
      <c r="G56" s="2487" t="s">
        <v>2225</v>
      </c>
      <c r="H56" s="2488" t="s">
        <v>2222</v>
      </c>
      <c r="I56" s="2489"/>
      <c r="J56" s="2966" t="str">
        <f>IF(项目基本情况!K6="上海银行",IF(J55="",4,J55+1),"")</f>
        <v/>
      </c>
      <c r="K56" s="3146" t="str">
        <f>IF(项目基本情况!K6="上海银行","其他处置费用","")</f>
        <v/>
      </c>
      <c r="L56" s="3147"/>
      <c r="M56" s="1751" t="str">
        <f>IF(项目基本情况!K6="上海银行",M69,"")</f>
        <v/>
      </c>
      <c r="N56" s="3154" t="str">
        <f>IF(项目基本情况!K6="上海银行","包含处置中涉及的律师、诉讼、拍卖、评估等费用","")</f>
        <v/>
      </c>
      <c r="O56" s="3155"/>
    </row>
    <row r="57" spans="1:35" ht="12.75">
      <c r="A57" s="183" t="s">
        <v>2198</v>
      </c>
      <c r="B57" s="3117" t="s">
        <v>2226</v>
      </c>
      <c r="C57" s="3119"/>
      <c r="D57" s="187">
        <v>0</v>
      </c>
      <c r="E57" s="23" t="s">
        <v>2200</v>
      </c>
      <c r="F57" s="155"/>
      <c r="G57" s="2485"/>
      <c r="H57" s="2489"/>
      <c r="I57" s="2489"/>
      <c r="J57" s="3144">
        <f>IF(AND(J55="",J56=""),4,IF(项目基本情况!K6="上海银行",结果表!J56+1,结果表!J55+1))</f>
        <v>4</v>
      </c>
      <c r="K57" s="3144" t="s">
        <v>2227</v>
      </c>
      <c r="L57" s="2490" t="s">
        <v>2228</v>
      </c>
      <c r="M57" s="1756"/>
      <c r="N57" s="1757">
        <f ca="1">SUMIF(M52:M56,"&lt;9e307")</f>
        <v>140</v>
      </c>
      <c r="O57" s="2491"/>
      <c r="P57" s="1750">
        <f ca="1">N57/M49</f>
        <v>0.1580135440180587</v>
      </c>
    </row>
    <row r="58" spans="1:35" ht="24.75">
      <c r="A58" s="183" t="s">
        <v>2209</v>
      </c>
      <c r="B58" s="3117" t="s">
        <v>2229</v>
      </c>
      <c r="C58" s="3118"/>
      <c r="D58" s="185">
        <f ca="1">IF(H58="转让取得",C81,C97)</f>
        <v>93</v>
      </c>
      <c r="E58" s="11" t="s">
        <v>2224</v>
      </c>
      <c r="F58" s="24" t="s">
        <v>34</v>
      </c>
      <c r="G58" s="2485"/>
      <c r="H58" s="2488" t="s">
        <v>2230</v>
      </c>
      <c r="I58" s="2489"/>
      <c r="J58" s="3144"/>
      <c r="K58" s="3144"/>
      <c r="L58" s="2490" t="s">
        <v>2231</v>
      </c>
      <c r="M58" s="1758"/>
      <c r="N58" s="2492" t="str">
        <f ca="1">NUMBERSTRING(INT(N57*10000),2)&amp;"元整"</f>
        <v>壹佰肆拾万元整</v>
      </c>
      <c r="O58" s="2493"/>
    </row>
    <row r="59" spans="1:35" ht="24.75" thickBot="1">
      <c r="A59" s="3156" t="s">
        <v>2232</v>
      </c>
      <c r="B59" s="3157"/>
      <c r="C59" s="3157"/>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58">
        <f>J57+1</f>
        <v>5</v>
      </c>
      <c r="K59" s="3144" t="s">
        <v>2234</v>
      </c>
      <c r="L59" s="2966" t="s">
        <v>2228</v>
      </c>
      <c r="M59" s="1759"/>
      <c r="N59" s="1760">
        <f ca="1">M49-N57</f>
        <v>746</v>
      </c>
      <c r="O59" s="2495"/>
    </row>
    <row r="60" spans="1:35" ht="12" customHeight="1">
      <c r="A60" s="2496"/>
      <c r="B60" s="2418"/>
      <c r="C60" s="2418"/>
      <c r="D60" s="2418"/>
      <c r="E60" s="2166"/>
      <c r="F60" s="2489"/>
      <c r="G60" s="2489"/>
      <c r="H60" s="2497"/>
      <c r="I60" s="138"/>
      <c r="J60" s="3159"/>
      <c r="K60" s="3144"/>
      <c r="L60" s="2490" t="s">
        <v>2231</v>
      </c>
      <c r="M60" s="1758"/>
      <c r="N60" s="2492" t="str">
        <f ca="1">NUMBERSTRING(INT(N59*10000),2)&amp;"元整"</f>
        <v>柒佰肆拾陆万元整</v>
      </c>
      <c r="O60" s="2493"/>
    </row>
    <row r="61" spans="1:35" ht="13.5" thickBot="1">
      <c r="A61" s="3148" t="s">
        <v>2235</v>
      </c>
      <c r="B61" s="3148"/>
      <c r="C61" s="3148"/>
      <c r="D61" s="3148"/>
      <c r="E61" s="3148"/>
      <c r="F61" s="2489"/>
      <c r="G61" s="2489"/>
      <c r="H61" s="2497"/>
      <c r="I61" s="138"/>
      <c r="J61" s="2966">
        <f>J59+1</f>
        <v>6</v>
      </c>
      <c r="K61" s="3144" t="s">
        <v>2236</v>
      </c>
      <c r="L61" s="3144"/>
      <c r="M61" s="1761"/>
      <c r="N61" s="1762">
        <f ca="1">ROUND(N59*10000/'数据-汇总表'!E3,0)</f>
        <v>10525</v>
      </c>
      <c r="O61" s="2498"/>
    </row>
    <row r="62" spans="1:35" ht="12.75">
      <c r="A62" s="3149" t="s">
        <v>2237</v>
      </c>
      <c r="B62" s="3150"/>
      <c r="C62" s="2963"/>
      <c r="D62" s="2963" t="s">
        <v>2238</v>
      </c>
      <c r="E62" s="192" t="s">
        <v>2239</v>
      </c>
      <c r="F62" s="2489"/>
      <c r="G62" s="2489"/>
      <c r="H62" s="2497"/>
      <c r="I62" s="138"/>
    </row>
    <row r="63" spans="1:35" ht="12.75">
      <c r="A63" s="203" t="s">
        <v>775</v>
      </c>
      <c r="B63" s="193" t="s">
        <v>2240</v>
      </c>
      <c r="C63" s="194">
        <f ca="1">ROUND((C64+C65)/(1+'数据-取费表'!C42),0)</f>
        <v>844</v>
      </c>
      <c r="D63" s="195"/>
      <c r="E63" s="196"/>
      <c r="F63" s="2489"/>
      <c r="G63" s="2489"/>
      <c r="H63" s="2497"/>
      <c r="I63" s="138"/>
      <c r="J63" s="3151" t="s">
        <v>2241</v>
      </c>
      <c r="K63" s="2968" t="s">
        <v>2242</v>
      </c>
      <c r="L63" s="1749">
        <f ca="1">IF(M49&gt;10000,M49*0.5%,IF(AND(M49&gt;1000,M49&lt;=10000),M49*1%,IF(AND(M49&gt;100,M49&lt;=1000),M49*3%,IF(AND(M49&gt;10,M49&lt;=100),M49*5%,M49*8%))))</f>
        <v>26.58</v>
      </c>
      <c r="M63" s="24">
        <f ca="1">ROUND(L63,1)</f>
        <v>26.6</v>
      </c>
      <c r="Z63" s="2423"/>
      <c r="AI63" s="2424"/>
    </row>
    <row r="64" spans="1:35" ht="14.25" customHeight="1">
      <c r="A64" s="197" t="s">
        <v>770</v>
      </c>
      <c r="B64" s="198" t="s">
        <v>2243</v>
      </c>
      <c r="C64" s="199">
        <f ca="1">D45</f>
        <v>886</v>
      </c>
      <c r="D64" s="200" t="s">
        <v>32</v>
      </c>
      <c r="E64" s="201"/>
      <c r="F64" s="2489"/>
      <c r="G64" s="2489"/>
      <c r="H64" s="2497"/>
      <c r="I64" s="138"/>
      <c r="J64" s="3151"/>
      <c r="K64" s="2968" t="s">
        <v>2244</v>
      </c>
      <c r="L64" s="1749">
        <f ca="1">IF(M49&gt;2000,M49*0.5%,IF(AND(M49&gt;1000,M49&lt;=2000),M49*0.6%,IF(AND(M49&gt;500,M49&lt;=1000),M49*0.7%,IF(AND(M49&gt;200,M49&lt;=500),M49*0.8%,IF(AND(M49&gt;100,M49&lt;=200),M49*0.9%,IF(AND(M49&gt;50,M49&lt;=100),M49*1%,IF(AND(M49&gt;20,M49&lt;=50),M49*1.5%,IF(AND(M49&gt;10,M49&lt;=20),M49*2%,IF(AND(M49&gt;1,M49&lt;=10),M49*2.5%)))))))))</f>
        <v>6.2019999999999991</v>
      </c>
      <c r="M64" s="24">
        <f t="shared" ref="M64:M65" ca="1" si="1">ROUND(L64,1)</f>
        <v>6.2</v>
      </c>
      <c r="N64" s="138" t="s">
        <v>2245</v>
      </c>
      <c r="Z64" s="2423"/>
      <c r="AI64" s="2424"/>
    </row>
    <row r="65" spans="1:35" ht="14.25" customHeight="1">
      <c r="A65" s="197" t="s">
        <v>771</v>
      </c>
      <c r="B65" s="198" t="s">
        <v>2246</v>
      </c>
      <c r="C65" s="202"/>
      <c r="D65" s="200"/>
      <c r="E65" s="201"/>
      <c r="F65" s="2489"/>
      <c r="G65" s="2489"/>
      <c r="H65" s="2497"/>
      <c r="I65" s="138"/>
      <c r="J65" s="3151"/>
      <c r="K65" s="2968" t="s">
        <v>2247</v>
      </c>
      <c r="L65" s="1749">
        <f ca="1">IF(M49&gt;1000,M49*0.1%,IF(AND(M49&gt;500,M49&lt;=1000),M49*0.5%,IF(AND(M49&gt;50,M49&lt;=500),M49*1%,IF(AND(M49&gt;1,M49&lt;=50),M49*1.5%))))</f>
        <v>4.43</v>
      </c>
      <c r="M65" s="24">
        <f t="shared" ca="1" si="1"/>
        <v>4.4000000000000004</v>
      </c>
      <c r="N65" s="138" t="s">
        <v>2245</v>
      </c>
      <c r="Z65" s="2423"/>
      <c r="AI65" s="2424"/>
    </row>
    <row r="66" spans="1:35" ht="14.25" customHeight="1">
      <c r="A66" s="203" t="s">
        <v>772</v>
      </c>
      <c r="B66" s="204" t="s">
        <v>2248</v>
      </c>
      <c r="C66" s="205"/>
      <c r="D66" s="206" t="s">
        <v>32</v>
      </c>
      <c r="E66" s="1773" t="s">
        <v>1366</v>
      </c>
      <c r="F66" s="2489"/>
      <c r="G66" s="2489"/>
      <c r="H66" s="2497"/>
      <c r="I66" s="138"/>
      <c r="J66" s="3151"/>
      <c r="K66" s="2968" t="s">
        <v>2249</v>
      </c>
      <c r="L66" s="1749">
        <f ca="1">M49*0.5%</f>
        <v>4.43</v>
      </c>
      <c r="M66" s="24">
        <f ca="1">IF(L66&gt;0.5,0.5,ROUND(L66,0))</f>
        <v>0.5</v>
      </c>
      <c r="N66" s="138" t="s">
        <v>2250</v>
      </c>
      <c r="Z66" s="2423"/>
      <c r="AI66" s="2424"/>
    </row>
    <row r="67" spans="1:35" ht="14.25" customHeight="1">
      <c r="A67" s="203" t="s">
        <v>773</v>
      </c>
      <c r="B67" s="204" t="s">
        <v>2251</v>
      </c>
      <c r="C67" s="207">
        <f ca="1">C63-C66</f>
        <v>844</v>
      </c>
      <c r="D67" s="200" t="s">
        <v>32</v>
      </c>
      <c r="E67" s="201"/>
      <c r="F67" s="2489"/>
      <c r="G67" s="2489"/>
      <c r="H67" s="2497"/>
      <c r="I67" s="138"/>
      <c r="J67" s="3151"/>
      <c r="K67" s="2968" t="s">
        <v>2252</v>
      </c>
      <c r="L67" s="1749">
        <f ca="1">IF(M49&gt;=10000,(8.25+(M49-10000)*0.01%),IF(AND(M49&gt;=8000,M49&lt;10000),(7.85+(M49-8000)*0.02%),IF(AND(M49&gt;=5000,M49&lt;8000),(6.65+(M49-5000)*0.04%),IF(AND(M49&gt;=2000,M49&lt;5000),(4.25+(PM49-2000)*0.08%),IF(AND(M49&gt;=1000,M49&lt;2000),(2.75+(M49-1000)*0.15%),IF(AND(M49&gt;=100,M49&lt;1000),(0.5+(M49-100)*0.25%),IF(AND(M49&gt;0,M49&lt;100),M49*0.5%)))))))</f>
        <v>2.4649999999999999</v>
      </c>
      <c r="M67" s="24">
        <f ca="1">ROUND(L67*0.9,1)</f>
        <v>2.2000000000000002</v>
      </c>
      <c r="Z67" s="2423"/>
      <c r="AI67" s="2424"/>
    </row>
    <row r="68" spans="1:35" ht="14.25" customHeight="1" thickBot="1">
      <c r="A68" s="208" t="s">
        <v>774</v>
      </c>
      <c r="B68" s="209" t="s">
        <v>2253</v>
      </c>
      <c r="C68" s="210">
        <f ca="1">IF(C67&lt;=0,0,ROUND(C67*D68,0))</f>
        <v>47</v>
      </c>
      <c r="D68" s="211">
        <f>'数据-取费表'!B41</f>
        <v>5.6000000000000001E-2</v>
      </c>
      <c r="E68" s="212"/>
      <c r="F68" s="2489"/>
      <c r="G68" s="2489"/>
      <c r="H68" s="2497"/>
      <c r="I68" s="138"/>
      <c r="J68" s="3151"/>
      <c r="K68" s="2968" t="s">
        <v>2254</v>
      </c>
      <c r="L68" s="1749">
        <f ca="1">IF(M49&gt;10000,M49*0.5%,IF(AND(M49&gt;5000,M49&lt;=10000),M49*1%,IF(AND(M49&gt;1000,M49&lt;=5000),M49*2%,IF(AND(M49&gt;200,M49&lt;=1000),M49*3%,M49*5%))))</f>
        <v>26.58</v>
      </c>
      <c r="M68" s="24">
        <f ca="1">ROUND(L68,1)</f>
        <v>26.6</v>
      </c>
      <c r="Z68" s="2423"/>
      <c r="AI68" s="2424"/>
    </row>
    <row r="69" spans="1:35" s="2446" customFormat="1" ht="16.5" customHeight="1">
      <c r="A69" s="2500"/>
      <c r="B69" s="2501"/>
      <c r="C69" s="2502"/>
      <c r="D69" s="2503"/>
      <c r="E69" s="2504"/>
      <c r="F69" s="2166"/>
      <c r="G69" s="2166"/>
      <c r="H69" s="2165"/>
      <c r="I69" s="2418"/>
      <c r="J69" s="3151"/>
      <c r="K69" s="2968" t="s">
        <v>2255</v>
      </c>
      <c r="L69" s="2505"/>
      <c r="M69" s="24">
        <f ca="1">ROUND(SUM(M63:M68),0)</f>
        <v>67</v>
      </c>
      <c r="N69" s="1750">
        <f ca="1">M69/M49</f>
        <v>7.5620767494356658E-2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2" t="s">
        <v>2256</v>
      </c>
      <c r="B70" s="3153"/>
      <c r="C70" s="3153"/>
      <c r="D70" s="3153"/>
      <c r="E70" s="3153"/>
      <c r="F70" s="3153"/>
      <c r="G70" s="3153"/>
      <c r="H70" s="315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9" t="s">
        <v>2237</v>
      </c>
      <c r="B71" s="3150"/>
      <c r="C71" s="2963"/>
      <c r="D71" s="2963"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844</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5</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42" t="s">
        <v>2265</v>
      </c>
      <c r="F76" s="3138"/>
      <c r="G76" s="3138"/>
      <c r="H76" s="317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2969" t="s">
        <v>2267</v>
      </c>
      <c r="F77" s="224"/>
      <c r="G77" s="2513" t="s">
        <v>2268</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5</v>
      </c>
      <c r="D78" s="226">
        <f>'数据-取费表'!B43</f>
        <v>6.000000000000001E-3</v>
      </c>
      <c r="E78" s="3160" t="s">
        <v>2270</v>
      </c>
      <c r="F78" s="3161"/>
      <c r="G78" s="3161"/>
      <c r="H78" s="316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839</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167.8</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502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2" t="s">
        <v>2274</v>
      </c>
      <c r="B83" s="3153"/>
      <c r="C83" s="3153"/>
      <c r="D83" s="3153"/>
      <c r="E83" s="3153"/>
      <c r="F83" s="3153"/>
      <c r="G83" s="3153"/>
      <c r="H83" s="315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9" t="s">
        <v>2237</v>
      </c>
      <c r="B84" s="3150"/>
      <c r="C84" s="2963"/>
      <c r="D84" s="2963"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844</v>
      </c>
      <c r="D85" s="200" t="s">
        <v>32</v>
      </c>
      <c r="E85" s="2962"/>
      <c r="F85" s="2957"/>
      <c r="G85" s="2957"/>
      <c r="H85" s="234"/>
      <c r="I85" s="2512"/>
      <c r="J85" s="2508">
        <v>32960.910000000003</v>
      </c>
      <c r="K85" s="2508">
        <v>133057.29</v>
      </c>
      <c r="L85" s="2508">
        <v>9841.5499999999993</v>
      </c>
      <c r="M85" s="2508">
        <v>10568.17</v>
      </c>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543</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178</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f>J90</f>
        <v>173</v>
      </c>
      <c r="D88" s="226"/>
      <c r="E88" s="237" t="s">
        <v>2277</v>
      </c>
      <c r="F88" s="2959"/>
      <c r="G88" s="238" t="s">
        <v>2278</v>
      </c>
      <c r="H88" s="2517" t="s">
        <v>3122</v>
      </c>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5</v>
      </c>
      <c r="D89" s="226">
        <f>'数据-取费表'!B48+'数据-取费表'!B49</f>
        <v>3.0499999999999999E-2</v>
      </c>
      <c r="E89" s="237" t="s">
        <v>2279</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2959"/>
      <c r="G90" s="2959"/>
      <c r="H90" s="2961"/>
      <c r="I90" s="2512"/>
      <c r="J90" s="2508">
        <f>ROUND(J85*L85/K85*'数据-汇总表'!F27/10000,0)</f>
        <v>173</v>
      </c>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 ca="1">IF(H91="——",成本法!C33,I91)</f>
        <v>236</v>
      </c>
      <c r="D91" s="226"/>
      <c r="E91" s="3160" t="s">
        <v>2283</v>
      </c>
      <c r="F91" s="3161"/>
      <c r="G91" s="3161"/>
      <c r="H91" s="2518" t="s">
        <v>3126</v>
      </c>
      <c r="I91" s="2519">
        <f ca="1">ROUND(收益法!C19/收益法!F7*典型户型修正!B22,0)</f>
        <v>236</v>
      </c>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 ca="1">ROUND((C87+C90+C91)*D92,0)</f>
        <v>41</v>
      </c>
      <c r="D92" s="226">
        <v>0.1</v>
      </c>
      <c r="E92" s="3160" t="s">
        <v>2287</v>
      </c>
      <c r="F92" s="3161"/>
      <c r="G92" s="3161"/>
      <c r="H92" s="316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5</v>
      </c>
      <c r="D93" s="226">
        <f>'数据-取费表'!B43</f>
        <v>6.000000000000001E-3</v>
      </c>
      <c r="E93" s="3160" t="s">
        <v>2270</v>
      </c>
      <c r="F93" s="3161"/>
      <c r="G93" s="3161"/>
      <c r="H93" s="316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 ca="1">ROUND((C87+C90+C91)*D94,0)</f>
        <v>83</v>
      </c>
      <c r="D94" s="226">
        <v>0.2</v>
      </c>
      <c r="E94" s="3163" t="s">
        <v>2291</v>
      </c>
      <c r="F94" s="3164"/>
      <c r="G94" s="3164"/>
      <c r="H94" s="316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301</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0.55432780847145491</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02" t="s">
        <v>2293</v>
      </c>
      <c r="B100" s="3103"/>
      <c r="C100" s="3103"/>
      <c r="D100" s="3166"/>
      <c r="E100" s="3103" t="s">
        <v>2294</v>
      </c>
      <c r="F100" s="3103"/>
      <c r="G100" s="3103"/>
      <c r="H100" s="3166"/>
      <c r="I100" s="138"/>
    </row>
    <row r="101" spans="1:35" ht="18.75" customHeight="1">
      <c r="A101" s="3167" t="s">
        <v>2295</v>
      </c>
      <c r="B101" s="3168"/>
      <c r="C101" s="736" t="str">
        <f>C4</f>
        <v>典型户型修正</v>
      </c>
      <c r="D101" s="737" t="str">
        <f>D4</f>
        <v>典型户型修正</v>
      </c>
      <c r="E101" s="3169" t="s">
        <v>2296</v>
      </c>
      <c r="F101" s="3170"/>
      <c r="G101" s="2520" t="s">
        <v>2297</v>
      </c>
      <c r="H101" s="1045">
        <f ca="1">H118</f>
        <v>886</v>
      </c>
      <c r="I101" s="138"/>
    </row>
    <row r="102" spans="1:35" ht="18.75" customHeight="1">
      <c r="A102" s="3171" t="s">
        <v>2298</v>
      </c>
      <c r="B102" s="2520" t="s">
        <v>2297</v>
      </c>
      <c r="C102" s="736">
        <f ca="1">C19</f>
        <v>886</v>
      </c>
      <c r="D102" s="737">
        <f ca="1">D19</f>
        <v>886</v>
      </c>
      <c r="E102" s="3169"/>
      <c r="F102" s="3170"/>
      <c r="G102" s="2520" t="s">
        <v>2299</v>
      </c>
      <c r="H102" s="371">
        <f ca="1">I118</f>
        <v>12500</v>
      </c>
      <c r="I102" s="138"/>
    </row>
    <row r="103" spans="1:35" ht="42.75" customHeight="1">
      <c r="A103" s="3171"/>
      <c r="B103" s="2520" t="s">
        <v>2299</v>
      </c>
      <c r="C103" s="738">
        <f ca="1">C20</f>
        <v>12500</v>
      </c>
      <c r="D103" s="739">
        <f ca="1">D20</f>
        <v>12500</v>
      </c>
      <c r="E103" s="3172" t="s">
        <v>2300</v>
      </c>
      <c r="F103" s="3173"/>
      <c r="G103" s="2521" t="s">
        <v>2301</v>
      </c>
      <c r="H103" s="1045">
        <f>IF(D36="正常操作",H104+H105+H106,H105+H106)</f>
        <v>0</v>
      </c>
      <c r="I103" s="138"/>
    </row>
    <row r="104" spans="1:35" ht="18.75" customHeight="1">
      <c r="A104" s="3171" t="s">
        <v>2302</v>
      </c>
      <c r="B104" s="2522" t="s">
        <v>2297</v>
      </c>
      <c r="C104" s="740">
        <f ca="1">H118</f>
        <v>886</v>
      </c>
      <c r="D104" s="741"/>
      <c r="E104" s="2267" t="s">
        <v>2303</v>
      </c>
      <c r="F104" s="2258"/>
      <c r="G104" s="2521" t="s">
        <v>2301</v>
      </c>
      <c r="H104" s="1046">
        <f>IF(D36="同一抵押权人同一抵押物续贷",C36&amp;"（未扣减，详见特别提示）",C36)</f>
        <v>0</v>
      </c>
      <c r="I104" s="138"/>
    </row>
    <row r="105" spans="1:35" ht="18.75" customHeight="1" thickBot="1">
      <c r="A105" s="3180"/>
      <c r="B105" s="2523" t="s">
        <v>2299</v>
      </c>
      <c r="C105" s="742">
        <f ca="1">I118</f>
        <v>12500</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81" t="str">
        <f>IF(项目基本情况!E8="已注销","——","3.房地产抵押价值")</f>
        <v>3.房地产抵押价值</v>
      </c>
      <c r="F107" s="3170"/>
      <c r="G107" s="2520" t="s">
        <v>2297</v>
      </c>
      <c r="H107" s="1045">
        <f ca="1">IF(E107="——","——",H101-H103)</f>
        <v>886</v>
      </c>
      <c r="I107" s="138"/>
    </row>
    <row r="108" spans="1:35" ht="18.75" customHeight="1">
      <c r="A108" s="138"/>
      <c r="B108" s="138"/>
      <c r="C108" s="138"/>
      <c r="D108" s="138"/>
      <c r="E108" s="3181"/>
      <c r="F108" s="3170"/>
      <c r="G108" s="2520" t="s">
        <v>2299</v>
      </c>
      <c r="H108" s="371">
        <f ca="1">ROUND(H107*10000/'数据-汇总表'!E3,0)</f>
        <v>12500</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70"/>
      <c r="G109" s="2520" t="s">
        <v>2297</v>
      </c>
      <c r="H109" s="348" t="str">
        <f>IF(E109="——","——",H101-H105-H106)</f>
        <v>——</v>
      </c>
      <c r="I109" s="138"/>
    </row>
    <row r="110" spans="1:35" ht="18.75" customHeight="1">
      <c r="A110" s="138"/>
      <c r="B110" s="138"/>
      <c r="C110" s="138"/>
      <c r="D110" s="138"/>
      <c r="E110" s="3181"/>
      <c r="F110" s="3170"/>
      <c r="G110" s="2520" t="s">
        <v>2299</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4.抵押净值</v>
      </c>
      <c r="F111" s="3183"/>
      <c r="G111" s="2520" t="s">
        <v>2297</v>
      </c>
      <c r="H111" s="1045">
        <f ca="1">IF(E111="——","——",N59)</f>
        <v>746</v>
      </c>
      <c r="I111" s="138"/>
    </row>
    <row r="112" spans="1:35" ht="18.75" customHeight="1" thickBot="1">
      <c r="A112" s="138"/>
      <c r="B112" s="138"/>
      <c r="C112" s="138"/>
      <c r="D112" s="138"/>
      <c r="E112" s="3184"/>
      <c r="F112" s="3185"/>
      <c r="G112" s="2525" t="s">
        <v>2299</v>
      </c>
      <c r="H112" s="790">
        <f ca="1">IF(E111="——","——",N61)</f>
        <v>10525</v>
      </c>
      <c r="I112" s="138"/>
    </row>
    <row r="113" spans="1:11" ht="18.75" customHeight="1">
      <c r="A113" s="138"/>
      <c r="B113" s="138"/>
      <c r="C113" s="138"/>
      <c r="D113" s="138"/>
      <c r="E113" s="3186" t="s">
        <v>2305</v>
      </c>
      <c r="F113" s="3186"/>
      <c r="G113" s="3186"/>
      <c r="H113" s="3186"/>
      <c r="I113" s="138"/>
    </row>
    <row r="114" spans="1:11" ht="3.75" customHeight="1">
      <c r="A114" s="2418"/>
      <c r="B114" s="2418"/>
      <c r="C114" s="2418"/>
      <c r="D114" s="2418"/>
      <c r="E114" s="2496"/>
      <c r="F114" s="2496"/>
      <c r="G114" s="2496"/>
      <c r="H114" s="2496"/>
      <c r="I114" s="2418"/>
    </row>
    <row r="115" spans="1:11" ht="18.75" customHeight="1">
      <c r="A115" s="3187" t="s">
        <v>2307</v>
      </c>
      <c r="B115" s="3188"/>
      <c r="C115" s="3188"/>
      <c r="D115" s="3188"/>
      <c r="E115" s="3188"/>
      <c r="F115" s="3188"/>
      <c r="G115" s="3188"/>
      <c r="H115" s="3188"/>
      <c r="I115" s="3189"/>
    </row>
    <row r="116" spans="1:11" ht="27" customHeight="1">
      <c r="A116" s="3081" t="s">
        <v>2308</v>
      </c>
      <c r="B116" s="3175" t="s">
        <v>2309</v>
      </c>
      <c r="C116" s="3175" t="s">
        <v>2310</v>
      </c>
      <c r="D116" s="3177" t="s">
        <v>2311</v>
      </c>
      <c r="E116" s="3178"/>
      <c r="F116" s="3179" t="s">
        <v>2312</v>
      </c>
      <c r="G116" s="3179"/>
      <c r="H116" s="3081" t="s">
        <v>2313</v>
      </c>
      <c r="I116" s="3081"/>
    </row>
    <row r="117" spans="1:11" ht="18.75" customHeight="1">
      <c r="A117" s="3081"/>
      <c r="B117" s="3176"/>
      <c r="C117" s="3176"/>
      <c r="D117" s="2955" t="s">
        <v>2314</v>
      </c>
      <c r="E117" s="2955" t="s">
        <v>2315</v>
      </c>
      <c r="F117" s="2955" t="s">
        <v>2314</v>
      </c>
      <c r="G117" s="2955" t="s">
        <v>2316</v>
      </c>
      <c r="H117" s="2955" t="s">
        <v>2314</v>
      </c>
      <c r="I117" s="2955" t="s">
        <v>2316</v>
      </c>
    </row>
    <row r="118" spans="1:11" ht="24.75" customHeight="1">
      <c r="A118" s="2526" t="str">
        <f>项目基本情况!S2</f>
        <v>北京市出让国有建设用地使用权及在建建筑物房地产</v>
      </c>
      <c r="B118" s="2955">
        <f>M18</f>
        <v>708.8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886</v>
      </c>
      <c r="I118" s="2955">
        <f ca="1">ROUND(IF(D32="楼面单价",C32,H118*10000/B118),0)</f>
        <v>12500</v>
      </c>
    </row>
    <row r="119" spans="1:11" ht="18.75" customHeight="1">
      <c r="A119" s="3081" t="s">
        <v>2317</v>
      </c>
      <c r="B119" s="3081"/>
      <c r="C119" s="3081"/>
      <c r="D119" s="3193" t="e">
        <f ca="1">NUMBERSTRING(INT(D118*10000),2)&amp;"元整"</f>
        <v>#REF!</v>
      </c>
      <c r="E119" s="3195"/>
      <c r="F119" s="3193" t="e">
        <f ca="1">NUMBERSTRING(INT(F118*10000),2)&amp;"元整"</f>
        <v>#REF!</v>
      </c>
      <c r="G119" s="3195"/>
      <c r="H119" s="3193" t="str">
        <f ca="1">NUMBERSTRING(INT(H118*10000),2)&amp;"元整"</f>
        <v>捌佰捌拾陆万元整</v>
      </c>
      <c r="I119" s="3195"/>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23" t="str">
        <f>IF(D120=0,"故，本次评估不存在"&amp;A120,"故，本次评估"&amp;A120&amp;"为人民币"&amp;D120&amp;"万元整。")</f>
        <v>故，本次评估不存在估价师知悉的法定优先受偿款</v>
      </c>
    </row>
    <row r="121" spans="1:11" ht="18.75" customHeight="1">
      <c r="A121" s="3190" t="s">
        <v>2317</v>
      </c>
      <c r="B121" s="3191"/>
      <c r="C121" s="3192"/>
      <c r="D121" s="3193" t="str">
        <f>IF(D120=0,"零元整",NUMBERSTRING(INT(D120*10000),2)&amp;"元整")</f>
        <v>零元整</v>
      </c>
      <c r="E121" s="3194"/>
      <c r="F121" s="3194"/>
      <c r="G121" s="3194"/>
      <c r="H121" s="3194"/>
      <c r="I121" s="3195"/>
    </row>
    <row r="122" spans="1:11" ht="18.75" customHeight="1">
      <c r="A122" s="3196" t="str">
        <f>IF(项目基本情况!B9="房地产市场价值","",MID(E107,3,LEN(E107)-2))</f>
        <v>房地产抵押价值</v>
      </c>
      <c r="B122" s="3196"/>
      <c r="C122" s="3196"/>
      <c r="D122" s="3197">
        <f ca="1">H107</f>
        <v>886</v>
      </c>
      <c r="E122" s="3198"/>
      <c r="F122" s="3198"/>
      <c r="G122" s="3198"/>
      <c r="H122" s="3198"/>
      <c r="I122" s="3199"/>
    </row>
    <row r="123" spans="1:11" ht="18.75" customHeight="1">
      <c r="A123" s="3081" t="s">
        <v>2317</v>
      </c>
      <c r="B123" s="3081"/>
      <c r="C123" s="3081"/>
      <c r="D123" s="3193" t="str">
        <f ca="1">NUMBERSTRING(INT(D122*10000),2)&amp;"元整"</f>
        <v>捌佰捌拾陆万元整</v>
      </c>
      <c r="E123" s="3194"/>
      <c r="F123" s="3194"/>
      <c r="G123" s="3194"/>
      <c r="H123" s="3194"/>
      <c r="I123" s="3195"/>
    </row>
    <row r="124" spans="1:11" ht="18.75" customHeight="1">
      <c r="A124" s="3196" t="str">
        <f>IF(项目基本情况!B9="房地产市场价值","",MID(E109,3,LEN(E109)-2))</f>
        <v/>
      </c>
      <c r="B124" s="3196"/>
      <c r="C124" s="3196"/>
      <c r="D124" s="3197" t="str">
        <f>H109</f>
        <v>——</v>
      </c>
      <c r="E124" s="3198"/>
      <c r="F124" s="3198"/>
      <c r="G124" s="3198"/>
      <c r="H124" s="3198"/>
      <c r="I124" s="3199"/>
    </row>
    <row r="125" spans="1:11" ht="18.75" customHeight="1">
      <c r="A125" s="3081" t="s">
        <v>2317</v>
      </c>
      <c r="B125" s="3081"/>
      <c r="C125" s="3081"/>
      <c r="D125" s="3193" t="e">
        <f>NUMBERSTRING(INT(D124*10000),2)&amp;"元整"</f>
        <v>#VALUE!</v>
      </c>
      <c r="E125" s="3194"/>
      <c r="F125" s="3194"/>
      <c r="G125" s="3194"/>
      <c r="H125" s="3194"/>
      <c r="I125" s="3195"/>
    </row>
    <row r="126" spans="1:11" ht="18.75" customHeight="1">
      <c r="A126" s="3196" t="str">
        <f>IF(项目基本情况!B9="房地产市场价值","",MID(E111,3,LEN(E111)-2))</f>
        <v>抵押净值</v>
      </c>
      <c r="B126" s="3196"/>
      <c r="C126" s="3196"/>
      <c r="D126" s="3197">
        <f ca="1">H111</f>
        <v>746</v>
      </c>
      <c r="E126" s="3198"/>
      <c r="F126" s="3198"/>
      <c r="G126" s="3198"/>
      <c r="H126" s="3198"/>
      <c r="I126" s="3199"/>
    </row>
    <row r="127" spans="1:11" ht="18.75" customHeight="1">
      <c r="A127" s="3081" t="s">
        <v>2317</v>
      </c>
      <c r="B127" s="3081"/>
      <c r="C127" s="3081"/>
      <c r="D127" s="3193" t="str">
        <f ca="1">NUMBERSTRING(INT(D126*10000),2)&amp;"元整"</f>
        <v>柒佰肆拾陆万元整</v>
      </c>
      <c r="E127" s="3194"/>
      <c r="F127" s="3194"/>
      <c r="G127" s="3194"/>
      <c r="H127" s="3194"/>
      <c r="I127" s="3195"/>
    </row>
    <row r="128" spans="1:11" ht="21.75" customHeight="1">
      <c r="A128" s="3200" t="s">
        <v>2318</v>
      </c>
      <c r="B128" s="3200"/>
      <c r="C128" s="3200"/>
      <c r="D128" s="3200"/>
      <c r="E128" s="3200"/>
      <c r="F128" s="3200"/>
      <c r="G128" s="3200"/>
      <c r="H128" s="3200"/>
      <c r="I128" s="3200"/>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disablePrompts="1"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I29" sqref="I2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12" t="str">
        <f>项目基本情况!S2</f>
        <v>北京市出让国有建设用地使用权及在建建筑物房地产</v>
      </c>
      <c r="B2" s="3113"/>
      <c r="C2" s="3113"/>
      <c r="D2" s="3113"/>
      <c r="E2" s="3113"/>
      <c r="F2" s="3113"/>
      <c r="G2" s="3113"/>
      <c r="H2" s="3113"/>
      <c r="I2" s="3114"/>
    </row>
    <row r="3" spans="1:12" ht="12.75">
      <c r="A3" s="3115" t="s">
        <v>2119</v>
      </c>
      <c r="B3" s="3116"/>
      <c r="C3" s="3116"/>
      <c r="D3" s="3116"/>
      <c r="E3" s="3116"/>
      <c r="F3" s="3116"/>
      <c r="G3" s="3116"/>
      <c r="H3" s="3116"/>
      <c r="I3" s="3116"/>
    </row>
    <row r="4" spans="1:12" ht="14.25">
      <c r="A4" s="2425" t="s">
        <v>2120</v>
      </c>
      <c r="B4" s="2426" t="s">
        <v>2121</v>
      </c>
      <c r="C4" s="2427" t="s">
        <v>3110</v>
      </c>
      <c r="D4" s="2427" t="s">
        <v>3118</v>
      </c>
      <c r="E4" s="3117" t="s">
        <v>2122</v>
      </c>
      <c r="F4" s="3118"/>
      <c r="G4" s="3118"/>
      <c r="H4" s="3118"/>
      <c r="I4" s="3119"/>
      <c r="K4" s="2428" t="str">
        <f>IF(ISNUMBER(FIND("比较法",'结果表（1）'!C4)),"比较法",IF(ISNUMBER(FIND("成本法",'结果表（1）'!C4)),"成本法",IF(ISNUMBER(FIND("假设开发法",'结果表（1）'!C4)),"假设开发法",IF(ISNUMBER(FIND("收益法",'结果表（1）'!C4)),"收益法","基准地价系数修正法"))))</f>
        <v>收益法</v>
      </c>
      <c r="L4" s="2428" t="str">
        <f>IF(ISNUMBER(FIND("比较法",'结果表（1）'!D4)),"比较法",IF(ISNUMBER(FIND("成本法",'结果表（1）'!D4)),"成本法",IF(ISNUMBER(FIND("假设开发法",'结果表（1）'!D4)),"假设开发法",IF(ISNUMBER(FIND("收益法",'结果表（1）'!D4)),"收益法","基准地价系数修正法"))))</f>
        <v>比较法</v>
      </c>
    </row>
    <row r="5" spans="1:12" ht="12.75">
      <c r="A5" s="3108" t="s">
        <v>2123</v>
      </c>
      <c r="B5" s="3081">
        <v>25</v>
      </c>
      <c r="C5" s="3109"/>
      <c r="D5" s="3111"/>
      <c r="E5" s="140" t="s">
        <v>2124</v>
      </c>
      <c r="F5" s="2429"/>
      <c r="G5" s="2429"/>
      <c r="H5" s="2429"/>
      <c r="I5" s="1831"/>
    </row>
    <row r="6" spans="1:12" ht="12.75">
      <c r="A6" s="3108"/>
      <c r="B6" s="3081"/>
      <c r="C6" s="3120"/>
      <c r="D6" s="3111"/>
      <c r="E6" s="140" t="s">
        <v>2125</v>
      </c>
      <c r="F6" s="2429"/>
      <c r="G6" s="2429"/>
      <c r="H6" s="2429"/>
      <c r="I6" s="1831"/>
    </row>
    <row r="7" spans="1:12" ht="12.75">
      <c r="A7" s="3108"/>
      <c r="B7" s="3081"/>
      <c r="C7" s="3110"/>
      <c r="D7" s="3111"/>
      <c r="E7" s="140" t="s">
        <v>2126</v>
      </c>
      <c r="F7" s="2429"/>
      <c r="G7" s="2429"/>
      <c r="H7" s="2429"/>
      <c r="I7" s="1831"/>
    </row>
    <row r="8" spans="1:12" ht="12.75">
      <c r="A8" s="3108" t="s">
        <v>2127</v>
      </c>
      <c r="B8" s="3081">
        <v>15</v>
      </c>
      <c r="C8" s="3109"/>
      <c r="D8" s="3111"/>
      <c r="E8" s="140" t="s">
        <v>2128</v>
      </c>
      <c r="F8" s="2429"/>
      <c r="G8" s="2429"/>
      <c r="H8" s="2429"/>
      <c r="I8" s="1831"/>
    </row>
    <row r="9" spans="1:12" ht="12.75">
      <c r="A9" s="3108"/>
      <c r="B9" s="3081"/>
      <c r="C9" s="3110"/>
      <c r="D9" s="3111"/>
      <c r="E9" s="140" t="s">
        <v>2129</v>
      </c>
      <c r="F9" s="2429"/>
      <c r="G9" s="2429"/>
      <c r="H9" s="2429"/>
      <c r="I9" s="1831"/>
    </row>
    <row r="10" spans="1:12" ht="12.75">
      <c r="A10" s="3108" t="s">
        <v>2130</v>
      </c>
      <c r="B10" s="3081">
        <v>15</v>
      </c>
      <c r="C10" s="3109"/>
      <c r="D10" s="3111"/>
      <c r="E10" s="140" t="s">
        <v>2131</v>
      </c>
      <c r="F10" s="2429"/>
      <c r="G10" s="2429"/>
      <c r="H10" s="2429"/>
      <c r="I10" s="1831"/>
    </row>
    <row r="11" spans="1:12" ht="12.75">
      <c r="A11" s="3108"/>
      <c r="B11" s="3081"/>
      <c r="C11" s="3110"/>
      <c r="D11" s="3111"/>
      <c r="E11" s="140" t="s">
        <v>2132</v>
      </c>
      <c r="F11" s="2429"/>
      <c r="G11" s="2429"/>
      <c r="H11" s="2429"/>
      <c r="I11" s="1831"/>
    </row>
    <row r="12" spans="1:12" ht="12.75">
      <c r="A12" s="3108" t="s">
        <v>2133</v>
      </c>
      <c r="B12" s="3081">
        <v>15</v>
      </c>
      <c r="C12" s="3109"/>
      <c r="D12" s="3111"/>
      <c r="E12" s="140" t="s">
        <v>2134</v>
      </c>
      <c r="F12" s="2429"/>
      <c r="G12" s="2429"/>
      <c r="H12" s="2429"/>
      <c r="I12" s="1831"/>
    </row>
    <row r="13" spans="1:12" ht="12.75">
      <c r="A13" s="3108"/>
      <c r="B13" s="3081"/>
      <c r="C13" s="3110"/>
      <c r="D13" s="3111"/>
      <c r="E13" s="140" t="s">
        <v>2135</v>
      </c>
      <c r="F13" s="2429"/>
      <c r="G13" s="2429"/>
      <c r="H13" s="2429"/>
      <c r="I13" s="1831"/>
    </row>
    <row r="14" spans="1:12" ht="12.75">
      <c r="A14" s="3108" t="s">
        <v>2136</v>
      </c>
      <c r="B14" s="3081">
        <v>30</v>
      </c>
      <c r="C14" s="3109">
        <v>4</v>
      </c>
      <c r="D14" s="3111">
        <v>6</v>
      </c>
      <c r="E14" s="140" t="s">
        <v>2137</v>
      </c>
      <c r="F14" s="2429"/>
      <c r="G14" s="2429"/>
      <c r="H14" s="2429"/>
      <c r="I14" s="1831"/>
    </row>
    <row r="15" spans="1:12" ht="12.75">
      <c r="A15" s="3108"/>
      <c r="B15" s="3081"/>
      <c r="C15" s="3120"/>
      <c r="D15" s="3111"/>
      <c r="E15" s="140" t="s">
        <v>2138</v>
      </c>
      <c r="F15" s="2429"/>
      <c r="G15" s="2429"/>
      <c r="H15" s="2429"/>
      <c r="I15" s="1831"/>
    </row>
    <row r="16" spans="1:12" ht="12.75">
      <c r="A16" s="3108"/>
      <c r="B16" s="3081"/>
      <c r="C16" s="3110"/>
      <c r="D16" s="3111"/>
      <c r="E16" s="140" t="s">
        <v>2139</v>
      </c>
      <c r="F16" s="2429"/>
      <c r="G16" s="2429"/>
      <c r="H16" s="2429"/>
      <c r="I16" s="1831"/>
    </row>
    <row r="17" spans="1:35" ht="15">
      <c r="A17" s="2430" t="s">
        <v>2140</v>
      </c>
      <c r="B17" s="64"/>
      <c r="C17" s="141">
        <f>SUM(C5:C16)</f>
        <v>4</v>
      </c>
      <c r="D17" s="141">
        <f>SUM(D5:D16)</f>
        <v>6</v>
      </c>
      <c r="E17" s="138"/>
      <c r="F17" s="138"/>
      <c r="G17" s="138"/>
      <c r="H17" s="138"/>
      <c r="I17" s="138"/>
      <c r="K17" s="2428"/>
      <c r="L17" s="2431" t="s">
        <v>2141</v>
      </c>
      <c r="M17" s="2431" t="s">
        <v>2142</v>
      </c>
    </row>
    <row r="18" spans="1:35" ht="15.75" thickBot="1">
      <c r="A18" s="2432" t="s">
        <v>2143</v>
      </c>
      <c r="B18" s="2433"/>
      <c r="C18" s="142">
        <f>ROUND(C17/SUM(C17:D17),2)</f>
        <v>0.4</v>
      </c>
      <c r="D18" s="142">
        <f>1-C18</f>
        <v>0.6</v>
      </c>
      <c r="E18" s="138"/>
      <c r="F18" s="138"/>
      <c r="G18" s="138"/>
      <c r="H18" s="138"/>
      <c r="I18" s="138"/>
      <c r="K18" s="2428" t="s">
        <v>2144</v>
      </c>
      <c r="L18" s="2428">
        <f>IF(C1="",'数据-汇总表'!E3,SUMIF(项目类型,C1,'数据-汇总表'!E17:E26)+SUMIF(项目类型,C1,'数据-汇总表'!I17:I26))</f>
        <v>708.8</v>
      </c>
      <c r="M18" s="2428">
        <f>IF(C1="",'数据-汇总表'!E3,SUMIF(项目类型,C1,'数据-汇总表'!E17:E26))</f>
        <v>708.8</v>
      </c>
    </row>
    <row r="19" spans="1:35" ht="15">
      <c r="A19" s="2434" t="s">
        <v>2145</v>
      </c>
      <c r="B19" s="2435" t="s">
        <v>2146</v>
      </c>
      <c r="C19" s="143">
        <f ca="1">SUMIF(INDIRECT("'"&amp;C4&amp;"'"&amp;"!A:A"),'结果表（1）'!B19,INDIRECT("'"&amp;C4&amp;"'"&amp;"!B:B"))</f>
        <v>521</v>
      </c>
      <c r="D19" s="144">
        <f ca="1">SUMIF(INDIRECT("'"&amp;D4&amp;"'"&amp;"!A:A"),'结果表（1）'!B19,INDIRECT("'"&amp;D4&amp;"'"&amp;"!B:B"))</f>
        <v>930</v>
      </c>
      <c r="E19" s="2434" t="s">
        <v>2147</v>
      </c>
      <c r="F19" s="2435" t="s">
        <v>2146</v>
      </c>
      <c r="G19" s="145">
        <f ca="1">ROUND(C19*$C$18+D19*$D$18,0)</f>
        <v>766</v>
      </c>
      <c r="H19" s="2436" t="s">
        <v>2148</v>
      </c>
      <c r="I19" s="138"/>
      <c r="K19" s="2428" t="s">
        <v>2149</v>
      </c>
      <c r="L19" s="2428">
        <f>IF(C1="",'数据-汇总表'!D3,SUMIF(项目类型,C1,'数据-汇总表'!D17:D26)+SUMIF(项目类型,C1,'数据-汇总表'!H17:H27))</f>
        <v>0</v>
      </c>
      <c r="M19" s="2428">
        <f>IF(C1="",'数据-汇总表'!D3,SUMIF(项目类型,C1,'数据-汇总表'!D17:D26))</f>
        <v>0</v>
      </c>
    </row>
    <row r="20" spans="1:35" ht="15">
      <c r="A20" s="2437"/>
      <c r="B20" s="1247" t="s">
        <v>2150</v>
      </c>
      <c r="C20" s="146">
        <f ca="1">SUMIF(INDIRECT("'"&amp;C4&amp;"'"&amp;"!A:A"),'结果表（1）'!B20,INDIRECT("'"&amp;C4&amp;"'"&amp;"!B:B"))</f>
        <v>17544</v>
      </c>
      <c r="D20" s="147">
        <f ca="1">SUMIF(INDIRECT("'"&amp;D4&amp;"'"&amp;"!A:A"),'结果表（1）'!B20,INDIRECT("'"&amp;D4&amp;"'"&amp;"!B:B"))</f>
        <v>31333</v>
      </c>
      <c r="E20" s="2437"/>
      <c r="F20" s="1247" t="s">
        <v>2150</v>
      </c>
      <c r="G20" s="148">
        <f ca="1">ROUND(C20*$C$18+D20*$D$18,0)</f>
        <v>25817</v>
      </c>
      <c r="H20" s="980" t="s">
        <v>2151</v>
      </c>
      <c r="I20" s="138"/>
    </row>
    <row r="21" spans="1:35" ht="15" customHeight="1" thickBot="1">
      <c r="A21" s="1000"/>
      <c r="B21" s="2438" t="s">
        <v>2152</v>
      </c>
      <c r="C21" s="789" t="e">
        <f ca="1">ROUND(C19*10000/L19,0)</f>
        <v>#DIV/0!</v>
      </c>
      <c r="D21" s="790" t="e">
        <f ca="1">ROUND(D19*10000/L19,0)</f>
        <v>#DIV/0!</v>
      </c>
      <c r="E21" s="1000"/>
      <c r="F21" s="2438" t="s">
        <v>2152</v>
      </c>
      <c r="G21" s="149" t="e">
        <f ca="1">ROUND(G19*10000/L19,0)</f>
        <v>#DIV/0!</v>
      </c>
      <c r="H21" s="2439" t="s">
        <v>2151</v>
      </c>
      <c r="I21" s="138"/>
    </row>
    <row r="22" spans="1:35" ht="15" thickBot="1">
      <c r="A22" s="2281" t="s">
        <v>2153</v>
      </c>
      <c r="B22" s="2440"/>
      <c r="C22" s="2441"/>
      <c r="D22" s="791">
        <f ca="1">IF(C19&lt;D19,D19/C19-1,C19/D19-1)</f>
        <v>0.78502879078694821</v>
      </c>
      <c r="E22" s="138"/>
      <c r="F22" s="138"/>
      <c r="G22" s="138"/>
      <c r="H22" s="138"/>
      <c r="I22" s="138"/>
    </row>
    <row r="23" spans="1:35" ht="13.5" thickBot="1">
      <c r="A23" s="2418"/>
      <c r="B23" s="2418"/>
      <c r="C23" s="2418"/>
      <c r="D23" s="2418"/>
      <c r="E23" s="138"/>
      <c r="F23" s="138"/>
      <c r="G23" s="138"/>
      <c r="H23" s="138"/>
      <c r="I23" s="138"/>
    </row>
    <row r="24" spans="1:35" ht="14.25">
      <c r="A24" s="3121" t="s">
        <v>2154</v>
      </c>
      <c r="B24" s="2435" t="s">
        <v>2146</v>
      </c>
      <c r="C24" s="145">
        <f>IF(B30=0,0,D30)</f>
        <v>0</v>
      </c>
      <c r="D24" s="2442"/>
      <c r="E24" s="138"/>
      <c r="F24" s="138"/>
      <c r="G24" s="138"/>
      <c r="H24" s="138"/>
      <c r="I24" s="138"/>
    </row>
    <row r="25" spans="1:35" ht="14.25">
      <c r="A25" s="3122"/>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766</v>
      </c>
      <c r="D32" s="2449" t="s">
        <v>2161</v>
      </c>
      <c r="E32" s="138"/>
      <c r="F32" s="138"/>
      <c r="G32" s="138"/>
      <c r="H32" s="138"/>
      <c r="I32" s="138"/>
    </row>
    <row r="33" spans="1:15" ht="15">
      <c r="A33" s="957"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2165</v>
      </c>
      <c r="F34" s="1736"/>
      <c r="G34" s="138"/>
      <c r="H34" s="138"/>
      <c r="I34" s="138"/>
    </row>
    <row r="35" spans="1:15" ht="15.75" thickBot="1">
      <c r="A35" s="2458"/>
      <c r="B35" s="2459"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23" t="s">
        <v>2168</v>
      </c>
      <c r="B36" s="2461" t="s">
        <v>2169</v>
      </c>
      <c r="C36" s="154"/>
      <c r="D36" s="2462"/>
      <c r="E36" s="2463"/>
      <c r="F36" s="2464"/>
      <c r="G36" s="138"/>
      <c r="H36" s="138"/>
      <c r="I36" s="138"/>
    </row>
    <row r="37" spans="1:15" ht="15.75" thickBot="1">
      <c r="A37" s="3124"/>
      <c r="B37" s="2267" t="s">
        <v>2170</v>
      </c>
      <c r="C37" s="156"/>
      <c r="D37" s="1392"/>
      <c r="E37" s="1392"/>
      <c r="F37" s="2464"/>
      <c r="G37" s="138"/>
      <c r="H37" s="138"/>
      <c r="I37" s="138"/>
    </row>
    <row r="38" spans="1:15" ht="15.75" thickBot="1">
      <c r="A38" s="3125"/>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26" t="s">
        <v>2182</v>
      </c>
      <c r="B45" s="3127"/>
      <c r="C45" s="3128"/>
      <c r="D45" s="164">
        <f ca="1">ROUND(H101*F45,0)</f>
        <v>766</v>
      </c>
      <c r="E45" s="165" t="s">
        <v>2183</v>
      </c>
      <c r="F45" s="166">
        <v>1</v>
      </c>
      <c r="G45" s="167" t="s">
        <v>2184</v>
      </c>
      <c r="H45" s="138"/>
      <c r="I45" s="138"/>
      <c r="J45" s="3129" t="s">
        <v>2185</v>
      </c>
      <c r="K45" s="3129"/>
      <c r="L45" s="3129"/>
      <c r="M45" s="3129"/>
      <c r="N45" s="3129"/>
      <c r="O45" s="3129"/>
    </row>
    <row r="46" spans="1:15" ht="14.25" customHeight="1">
      <c r="A46" s="3130" t="s">
        <v>2186</v>
      </c>
      <c r="B46" s="3131"/>
      <c r="C46" s="3131"/>
      <c r="D46" s="3131"/>
      <c r="E46" s="3131"/>
      <c r="F46" s="3131"/>
      <c r="G46" s="3132"/>
      <c r="H46" s="2480"/>
      <c r="I46" s="168"/>
      <c r="J46" s="1809">
        <v>1</v>
      </c>
      <c r="K46" s="3129" t="s">
        <v>2187</v>
      </c>
      <c r="L46" s="3129"/>
      <c r="M46" s="3133"/>
      <c r="N46" s="3133"/>
      <c r="O46" s="3133"/>
    </row>
    <row r="47" spans="1:15" ht="12" customHeight="1">
      <c r="A47" s="169" t="s">
        <v>2188</v>
      </c>
      <c r="B47" s="170"/>
      <c r="C47" s="171"/>
      <c r="D47" s="172" t="s">
        <v>2189</v>
      </c>
      <c r="E47" s="24" t="s">
        <v>2190</v>
      </c>
      <c r="F47" s="173" t="s">
        <v>2191</v>
      </c>
      <c r="G47" s="174" t="s">
        <v>2192</v>
      </c>
      <c r="H47" s="2480"/>
      <c r="I47" s="168"/>
      <c r="J47" s="1809">
        <v>2</v>
      </c>
      <c r="K47" s="3129" t="s">
        <v>2193</v>
      </c>
      <c r="L47" s="3129"/>
      <c r="M47" s="3134">
        <f>'数据-取费表'!B2</f>
        <v>43914</v>
      </c>
      <c r="N47" s="3134"/>
      <c r="O47" s="3134"/>
    </row>
    <row r="48" spans="1:15" ht="25.5">
      <c r="A48" s="3135" t="s">
        <v>2194</v>
      </c>
      <c r="B48" s="3136"/>
      <c r="C48" s="3136"/>
      <c r="D48" s="140">
        <f>IF(H48="情况1",0,IF(H48="情况2",D52,IF(H48="情况3",D53,IF(H48="情况4",D54))))</f>
        <v>0</v>
      </c>
      <c r="E48" s="1798" t="str">
        <f>IF(H48="情况4","(销售额-原购置价)×税（费）率","销售额×税（费）率")</f>
        <v>销售额×税（费）率</v>
      </c>
      <c r="F48" s="175" t="str">
        <f>IF(H48="情况1","免征",'数据-取费表'!B41)</f>
        <v>免征</v>
      </c>
      <c r="G48" s="2481" t="s">
        <v>2195</v>
      </c>
      <c r="H48" s="2482" t="s">
        <v>2196</v>
      </c>
      <c r="I48" s="2480"/>
      <c r="J48" s="1809">
        <v>3</v>
      </c>
      <c r="K48" s="3129" t="s">
        <v>2197</v>
      </c>
      <c r="L48" s="3129"/>
      <c r="M48" s="3137">
        <f ca="1">H101</f>
        <v>766</v>
      </c>
      <c r="N48" s="3137"/>
      <c r="O48" s="3137"/>
    </row>
    <row r="49" spans="1:35" ht="25.5" customHeight="1">
      <c r="A49" s="176" t="s">
        <v>2198</v>
      </c>
      <c r="B49" s="3138" t="s">
        <v>2199</v>
      </c>
      <c r="C49" s="3138"/>
      <c r="D49" s="177">
        <v>0</v>
      </c>
      <c r="E49" s="23" t="s">
        <v>2200</v>
      </c>
      <c r="F49" s="28" t="s">
        <v>34</v>
      </c>
      <c r="G49" s="3139"/>
      <c r="H49" s="138"/>
      <c r="I49" s="2483"/>
      <c r="J49" s="1809">
        <v>4</v>
      </c>
      <c r="K49" s="3129" t="str">
        <f>IF(项目基本情况!E8="房地产抵押价值","房地产抵押价值","抵押担保权已注销时的房地产抵押价值")</f>
        <v>房地产抵押价值</v>
      </c>
      <c r="L49" s="3129"/>
      <c r="M49" s="3137">
        <f ca="1">IF(项目基本情况!E8="房地产抵押价值",H107,H109)</f>
        <v>766</v>
      </c>
      <c r="N49" s="3137"/>
      <c r="O49" s="3137"/>
    </row>
    <row r="50" spans="1:35" ht="25.5" customHeight="1">
      <c r="A50" s="178"/>
      <c r="B50" s="3138" t="s">
        <v>2201</v>
      </c>
      <c r="C50" s="3138"/>
      <c r="D50" s="179"/>
      <c r="E50" s="31"/>
      <c r="F50" s="180"/>
      <c r="G50" s="3140"/>
      <c r="H50" s="138"/>
      <c r="I50" s="2483"/>
      <c r="J50" s="3129" t="s">
        <v>2202</v>
      </c>
      <c r="K50" s="3129"/>
      <c r="L50" s="3129"/>
      <c r="M50" s="3129"/>
      <c r="N50" s="3129"/>
      <c r="O50" s="3129"/>
    </row>
    <row r="51" spans="1:35" ht="12" customHeight="1">
      <c r="A51" s="181"/>
      <c r="B51" s="3138" t="s">
        <v>2203</v>
      </c>
      <c r="C51" s="3138"/>
      <c r="D51" s="182"/>
      <c r="E51" s="30"/>
      <c r="F51" s="180"/>
      <c r="G51" s="3141"/>
      <c r="H51" s="138"/>
      <c r="I51" s="2483"/>
      <c r="J51" s="2484" t="s">
        <v>2204</v>
      </c>
      <c r="K51" s="3129" t="s">
        <v>2205</v>
      </c>
      <c r="L51" s="3129"/>
      <c r="M51" s="2484" t="s">
        <v>2206</v>
      </c>
      <c r="N51" s="2484" t="s">
        <v>2207</v>
      </c>
      <c r="O51" s="2484" t="s">
        <v>2208</v>
      </c>
    </row>
    <row r="52" spans="1:35" ht="24" customHeight="1">
      <c r="A52" s="183" t="s">
        <v>2209</v>
      </c>
      <c r="B52" s="3138" t="s">
        <v>2210</v>
      </c>
      <c r="C52" s="3138"/>
      <c r="D52" s="182">
        <f ca="1">ROUND(D45*'数据-取费表'!B41/(1+'数据-取费表'!C42),0)</f>
        <v>41</v>
      </c>
      <c r="E52" s="11" t="s">
        <v>2211</v>
      </c>
      <c r="F52" s="184">
        <f>'数据-取费表'!B41</f>
        <v>5.6000000000000001E-2</v>
      </c>
      <c r="G52" s="2485"/>
      <c r="H52" s="138"/>
      <c r="I52" s="2483"/>
      <c r="J52" s="1809">
        <v>1</v>
      </c>
      <c r="K52" s="3144" t="s">
        <v>2212</v>
      </c>
      <c r="L52" s="3144"/>
      <c r="M52" s="1751">
        <f>D48</f>
        <v>0</v>
      </c>
      <c r="N52" s="1809" t="str">
        <f>E48</f>
        <v>销售额×税（费）率</v>
      </c>
      <c r="O52" s="1752" t="str">
        <f>F48</f>
        <v>免征</v>
      </c>
    </row>
    <row r="53" spans="1:35" ht="12" customHeight="1">
      <c r="A53" s="183" t="s">
        <v>2213</v>
      </c>
      <c r="B53" s="3142" t="s">
        <v>2214</v>
      </c>
      <c r="C53" s="3143"/>
      <c r="D53" s="182">
        <f ca="1">ROUND(D45*'数据-取费表'!B41/(1+'数据-取费表'!C42),0)</f>
        <v>41</v>
      </c>
      <c r="E53" s="11" t="s">
        <v>2211</v>
      </c>
      <c r="F53" s="184">
        <f>'数据-取费表'!B41</f>
        <v>5.6000000000000001E-2</v>
      </c>
      <c r="G53" s="2485"/>
      <c r="H53" s="138"/>
      <c r="I53" s="2483"/>
      <c r="J53" s="1809">
        <v>2</v>
      </c>
      <c r="K53" s="3144" t="s">
        <v>2215</v>
      </c>
      <c r="L53" s="3144"/>
      <c r="M53" s="1751">
        <f t="shared" ref="M53:O54" ca="1" si="0">D55</f>
        <v>0</v>
      </c>
      <c r="N53" s="1809" t="str">
        <f t="shared" si="0"/>
        <v>销售额×税（费）率</v>
      </c>
      <c r="O53" s="1752">
        <f t="shared" si="0"/>
        <v>5.0000000000000001E-4</v>
      </c>
    </row>
    <row r="54" spans="1:35" ht="12" customHeight="1">
      <c r="A54" s="183" t="s">
        <v>2216</v>
      </c>
      <c r="B54" s="3142" t="s">
        <v>2217</v>
      </c>
      <c r="C54" s="3143"/>
      <c r="D54" s="182">
        <f ca="1">C68</f>
        <v>41</v>
      </c>
      <c r="E54" s="30" t="s">
        <v>2218</v>
      </c>
      <c r="F54" s="184">
        <f>'数据-取费表'!B41</f>
        <v>5.6000000000000001E-2</v>
      </c>
      <c r="G54" s="2485"/>
      <c r="H54" s="2486"/>
      <c r="I54" s="2483"/>
      <c r="J54" s="1809">
        <v>3</v>
      </c>
      <c r="K54" s="3144" t="s">
        <v>2219</v>
      </c>
      <c r="L54" s="3144"/>
      <c r="M54" s="1751">
        <f t="shared" ca="1" si="0"/>
        <v>434</v>
      </c>
      <c r="N54" s="1809" t="str">
        <f t="shared" si="0"/>
        <v>增值额×税（费）率</v>
      </c>
      <c r="O54" s="1753" t="str">
        <f t="shared" si="0"/>
        <v>——</v>
      </c>
    </row>
    <row r="55" spans="1:35" ht="24" customHeight="1">
      <c r="A55" s="3145" t="s">
        <v>2220</v>
      </c>
      <c r="B55" s="3136"/>
      <c r="C55" s="3136"/>
      <c r="D55" s="185">
        <f ca="1">IF(H55="个人住宅",0,ROUND(D45*I55,0))</f>
        <v>0</v>
      </c>
      <c r="E55" s="11" t="s">
        <v>2221</v>
      </c>
      <c r="F55" s="184">
        <f>IF(H55="正常",I55,"免征")</f>
        <v>5.0000000000000001E-4</v>
      </c>
      <c r="G55" s="2485"/>
      <c r="H55" s="2482" t="s">
        <v>2222</v>
      </c>
      <c r="I55" s="186">
        <f>'数据-取费表'!B49</f>
        <v>5.0000000000000001E-4</v>
      </c>
      <c r="J55" s="1809" t="str">
        <f>IF(H59="非个人房产","",4)</f>
        <v/>
      </c>
      <c r="K55" s="3144" t="str">
        <f>IF(H59="非个人房产","——","个人所得税")</f>
        <v>——</v>
      </c>
      <c r="L55" s="3144"/>
      <c r="M55" s="1754" t="str">
        <f>D59</f>
        <v>——</v>
      </c>
      <c r="N55" s="1807" t="str">
        <f>E59</f>
        <v>——</v>
      </c>
      <c r="O55" s="1755" t="str">
        <f>F59</f>
        <v>——</v>
      </c>
    </row>
    <row r="56" spans="1:35" ht="24.75">
      <c r="A56" s="3145" t="s">
        <v>2223</v>
      </c>
      <c r="B56" s="3136"/>
      <c r="C56" s="3136"/>
      <c r="D56" s="185">
        <f ca="1">IF(H56="个人住宅",D57,D58)</f>
        <v>434</v>
      </c>
      <c r="E56" s="11" t="s">
        <v>2224</v>
      </c>
      <c r="F56" s="184" t="str">
        <f>IF(H56="正常",F58,"免征")</f>
        <v>——</v>
      </c>
      <c r="G56" s="2487" t="s">
        <v>2225</v>
      </c>
      <c r="H56" s="2488" t="s">
        <v>2222</v>
      </c>
      <c r="I56" s="2489"/>
      <c r="J56" s="1809" t="str">
        <f>IF(项目基本情况!K6="上海银行",IF(J55="",4,J55+1),"")</f>
        <v/>
      </c>
      <c r="K56" s="3146" t="str">
        <f>IF(项目基本情况!K6="上海银行","其他处置费用","")</f>
        <v/>
      </c>
      <c r="L56" s="3147"/>
      <c r="M56" s="1751" t="str">
        <f>IF(项目基本情况!K6="上海银行",M69,"")</f>
        <v/>
      </c>
      <c r="N56" s="3154" t="str">
        <f>IF(项目基本情况!K6="上海银行","包含处置中涉及的律师、诉讼、拍卖、评估等费用","")</f>
        <v/>
      </c>
      <c r="O56" s="3155"/>
    </row>
    <row r="57" spans="1:35" ht="12.75">
      <c r="A57" s="183" t="s">
        <v>2198</v>
      </c>
      <c r="B57" s="3117" t="s">
        <v>2226</v>
      </c>
      <c r="C57" s="3119"/>
      <c r="D57" s="187">
        <v>0</v>
      </c>
      <c r="E57" s="23" t="s">
        <v>2200</v>
      </c>
      <c r="F57" s="155"/>
      <c r="G57" s="2485"/>
      <c r="H57" s="2489"/>
      <c r="I57" s="2489"/>
      <c r="J57" s="3144">
        <f>IF(AND(J55="",J56=""),4,IF(项目基本情况!K6="上海银行",'结果表（1）'!J56+1,'结果表（1）'!J55+1))</f>
        <v>4</v>
      </c>
      <c r="K57" s="3144" t="s">
        <v>2227</v>
      </c>
      <c r="L57" s="2490" t="s">
        <v>2228</v>
      </c>
      <c r="M57" s="1756"/>
      <c r="N57" s="1757">
        <f ca="1">SUMIF(M52:M56,"&lt;9e307")</f>
        <v>434</v>
      </c>
      <c r="O57" s="2491"/>
      <c r="P57" s="1750">
        <f ca="1">N57/M49</f>
        <v>0.56657963446475201</v>
      </c>
    </row>
    <row r="58" spans="1:35" ht="24.75">
      <c r="A58" s="183" t="s">
        <v>2209</v>
      </c>
      <c r="B58" s="3117" t="s">
        <v>2229</v>
      </c>
      <c r="C58" s="3118"/>
      <c r="D58" s="185">
        <f ca="1">IF(H58="转让取得",C81,C97)</f>
        <v>434</v>
      </c>
      <c r="E58" s="11" t="s">
        <v>2224</v>
      </c>
      <c r="F58" s="24" t="s">
        <v>34</v>
      </c>
      <c r="G58" s="2485"/>
      <c r="H58" s="2488" t="s">
        <v>2230</v>
      </c>
      <c r="I58" s="2489"/>
      <c r="J58" s="3144"/>
      <c r="K58" s="3144"/>
      <c r="L58" s="2490" t="s">
        <v>2231</v>
      </c>
      <c r="M58" s="1758"/>
      <c r="N58" s="2492" t="str">
        <f ca="1">NUMBERSTRING(INT(N57*10000),2)&amp;"元整"</f>
        <v>肆佰叁拾肆万元整</v>
      </c>
      <c r="O58" s="2493"/>
    </row>
    <row r="59" spans="1:35" ht="24.75" thickBot="1">
      <c r="A59" s="3156" t="s">
        <v>2232</v>
      </c>
      <c r="B59" s="3157"/>
      <c r="C59" s="3157"/>
      <c r="D59" s="188" t="str">
        <f>IF(H59="非个人房产","——",IF(H59="个人住宅",0,ROUND(D45*I59,0)))</f>
        <v>——</v>
      </c>
      <c r="E59" s="189" t="str">
        <f>IF(H59="非个人房产","——","销售额×税（费）率")</f>
        <v>——</v>
      </c>
      <c r="F59" s="190" t="str">
        <f>IF(H59="非个人房产","——",IF(H59="个人住宅","免征",I59))</f>
        <v>——</v>
      </c>
      <c r="G59" s="2494" t="s">
        <v>2225</v>
      </c>
      <c r="H59" s="2488" t="s">
        <v>2233</v>
      </c>
      <c r="I59" s="191">
        <v>0.01</v>
      </c>
      <c r="J59" s="3158">
        <f>J57+1</f>
        <v>5</v>
      </c>
      <c r="K59" s="3144" t="s">
        <v>2234</v>
      </c>
      <c r="L59" s="1809" t="s">
        <v>2228</v>
      </c>
      <c r="M59" s="1759"/>
      <c r="N59" s="1760">
        <f ca="1">M49-N57</f>
        <v>332</v>
      </c>
      <c r="O59" s="2495"/>
    </row>
    <row r="60" spans="1:35" ht="12" customHeight="1">
      <c r="A60" s="2496"/>
      <c r="B60" s="2418"/>
      <c r="C60" s="2418"/>
      <c r="D60" s="2418"/>
      <c r="E60" s="2166"/>
      <c r="F60" s="2489"/>
      <c r="G60" s="2489"/>
      <c r="H60" s="2497"/>
      <c r="I60" s="138"/>
      <c r="J60" s="3159"/>
      <c r="K60" s="3144"/>
      <c r="L60" s="2490" t="s">
        <v>2231</v>
      </c>
      <c r="M60" s="1758"/>
      <c r="N60" s="2492" t="str">
        <f ca="1">NUMBERSTRING(INT(N59*10000),2)&amp;"元整"</f>
        <v>叁佰叁拾贰万元整</v>
      </c>
      <c r="O60" s="2493"/>
    </row>
    <row r="61" spans="1:35" ht="13.5" thickBot="1">
      <c r="A61" s="3148" t="s">
        <v>2235</v>
      </c>
      <c r="B61" s="3148"/>
      <c r="C61" s="3148"/>
      <c r="D61" s="3148"/>
      <c r="E61" s="3148"/>
      <c r="F61" s="2489"/>
      <c r="G61" s="2489"/>
      <c r="H61" s="2497"/>
      <c r="I61" s="138"/>
      <c r="J61" s="1809">
        <f>J59+1</f>
        <v>6</v>
      </c>
      <c r="K61" s="3144" t="s">
        <v>2236</v>
      </c>
      <c r="L61" s="3144"/>
      <c r="M61" s="1761"/>
      <c r="N61" s="1762">
        <f ca="1">ROUND(N59*10000/'数据-汇总表'!E3,0)</f>
        <v>4684</v>
      </c>
      <c r="O61" s="2498"/>
    </row>
    <row r="62" spans="1:35" ht="12.75">
      <c r="A62" s="3149" t="s">
        <v>2237</v>
      </c>
      <c r="B62" s="3150"/>
      <c r="C62" s="1801"/>
      <c r="D62" s="1801" t="s">
        <v>2238</v>
      </c>
      <c r="E62" s="192" t="s">
        <v>2239</v>
      </c>
      <c r="F62" s="2489"/>
      <c r="G62" s="2489"/>
      <c r="H62" s="2497"/>
      <c r="I62" s="138"/>
    </row>
    <row r="63" spans="1:35" ht="12.75">
      <c r="A63" s="203" t="s">
        <v>775</v>
      </c>
      <c r="B63" s="193" t="s">
        <v>2240</v>
      </c>
      <c r="C63" s="194">
        <f ca="1">ROUND((C64+C65)/(1+'数据-取费表'!C42),0)</f>
        <v>730</v>
      </c>
      <c r="D63" s="195"/>
      <c r="E63" s="196"/>
      <c r="F63" s="2489"/>
      <c r="G63" s="2489"/>
      <c r="H63" s="2497"/>
      <c r="I63" s="138"/>
      <c r="J63" s="3151" t="s">
        <v>2241</v>
      </c>
      <c r="K63" s="2499" t="s">
        <v>2242</v>
      </c>
      <c r="L63" s="1749">
        <f ca="1">IF(M49&gt;10000,M49*0.5%,IF(AND(M49&gt;1000,M49&lt;=10000),M49*1%,IF(AND(M49&gt;100,M49&lt;=1000),M49*3%,IF(AND(M49&gt;10,M49&lt;=100),M49*5%,M49*8%))))</f>
        <v>22.98</v>
      </c>
      <c r="M63" s="24">
        <f ca="1">ROUND(L63,1)</f>
        <v>23</v>
      </c>
      <c r="Z63" s="2423"/>
      <c r="AI63" s="2424"/>
    </row>
    <row r="64" spans="1:35" ht="14.25" customHeight="1">
      <c r="A64" s="197" t="s">
        <v>770</v>
      </c>
      <c r="B64" s="198" t="s">
        <v>2243</v>
      </c>
      <c r="C64" s="199">
        <f ca="1">D45</f>
        <v>766</v>
      </c>
      <c r="D64" s="200" t="s">
        <v>32</v>
      </c>
      <c r="E64" s="201"/>
      <c r="F64" s="2489"/>
      <c r="G64" s="2489"/>
      <c r="H64" s="2497"/>
      <c r="I64" s="138"/>
      <c r="J64" s="3151"/>
      <c r="K64" s="2499" t="s">
        <v>2244</v>
      </c>
      <c r="L64" s="1749">
        <f ca="1">IF(M49&gt;2000,M49*0.5%,IF(AND(M49&gt;1000,M49&lt;=2000),M49*0.6%,IF(AND(M49&gt;500,M49&lt;=1000),M49*0.7%,IF(AND(M49&gt;200,M49&lt;=500),M49*0.8%,IF(AND(M49&gt;100,M49&lt;=200),M49*0.9%,IF(AND(M49&gt;50,M49&lt;=100),M49*1%,IF(AND(M49&gt;20,M49&lt;=50),M49*1.5%,IF(AND(M49&gt;10,M49&lt;=20),M49*2%,IF(AND(M49&gt;1,M49&lt;=10),M49*2.5%)))))))))</f>
        <v>5.3619999999999992</v>
      </c>
      <c r="M64" s="24">
        <f t="shared" ref="M64:M65" ca="1" si="1">ROUND(L64,1)</f>
        <v>5.4</v>
      </c>
      <c r="N64" s="138" t="s">
        <v>2245</v>
      </c>
      <c r="Z64" s="2423"/>
      <c r="AI64" s="2424"/>
    </row>
    <row r="65" spans="1:35" ht="14.25" customHeight="1">
      <c r="A65" s="197" t="s">
        <v>771</v>
      </c>
      <c r="B65" s="198" t="s">
        <v>2246</v>
      </c>
      <c r="C65" s="202"/>
      <c r="D65" s="200"/>
      <c r="E65" s="201"/>
      <c r="F65" s="2489"/>
      <c r="G65" s="2489"/>
      <c r="H65" s="2497"/>
      <c r="I65" s="138"/>
      <c r="J65" s="3151"/>
      <c r="K65" s="2499" t="s">
        <v>2247</v>
      </c>
      <c r="L65" s="1749">
        <f ca="1">IF(M49&gt;1000,M49*0.1%,IF(AND(M49&gt;500,M49&lt;=1000),M49*0.5%,IF(AND(M49&gt;50,M49&lt;=500),M49*1%,IF(AND(M49&gt;1,M49&lt;=50),M49*1.5%))))</f>
        <v>3.83</v>
      </c>
      <c r="M65" s="24">
        <f t="shared" ca="1" si="1"/>
        <v>3.8</v>
      </c>
      <c r="N65" s="138" t="s">
        <v>2245</v>
      </c>
      <c r="Z65" s="2423"/>
      <c r="AI65" s="2424"/>
    </row>
    <row r="66" spans="1:35" ht="14.25" customHeight="1">
      <c r="A66" s="203" t="s">
        <v>772</v>
      </c>
      <c r="B66" s="204" t="s">
        <v>2248</v>
      </c>
      <c r="C66" s="205"/>
      <c r="D66" s="206" t="s">
        <v>32</v>
      </c>
      <c r="E66" s="1773" t="s">
        <v>1366</v>
      </c>
      <c r="F66" s="2489"/>
      <c r="G66" s="2489"/>
      <c r="H66" s="2497"/>
      <c r="I66" s="138"/>
      <c r="J66" s="3151"/>
      <c r="K66" s="2499" t="s">
        <v>2249</v>
      </c>
      <c r="L66" s="1749">
        <f ca="1">M49*0.5%</f>
        <v>3.83</v>
      </c>
      <c r="M66" s="24">
        <f ca="1">IF(L66&gt;0.5,0.5,ROUND(L66,0))</f>
        <v>0.5</v>
      </c>
      <c r="N66" s="138" t="s">
        <v>2250</v>
      </c>
      <c r="Z66" s="2423"/>
      <c r="AI66" s="2424"/>
    </row>
    <row r="67" spans="1:35" ht="14.25" customHeight="1">
      <c r="A67" s="203" t="s">
        <v>773</v>
      </c>
      <c r="B67" s="204" t="s">
        <v>2251</v>
      </c>
      <c r="C67" s="207">
        <f ca="1">C63-C66</f>
        <v>730</v>
      </c>
      <c r="D67" s="200" t="s">
        <v>32</v>
      </c>
      <c r="E67" s="201"/>
      <c r="F67" s="2489"/>
      <c r="G67" s="2489"/>
      <c r="H67" s="2497"/>
      <c r="I67" s="138"/>
      <c r="J67" s="3151"/>
      <c r="K67" s="2499" t="s">
        <v>2252</v>
      </c>
      <c r="L67" s="1749">
        <f ca="1">IF(M49&gt;=10000,(8.25+(M49-10000)*0.01%),IF(AND(M49&gt;=8000,M49&lt;10000),(7.85+(M49-8000)*0.02%),IF(AND(M49&gt;=5000,M49&lt;8000),(6.65+(M49-5000)*0.04%),IF(AND(M49&gt;=2000,M49&lt;5000),(4.25+(PM49-2000)*0.08%),IF(AND(M49&gt;=1000,M49&lt;2000),(2.75+(M49-1000)*0.15%),IF(AND(M49&gt;=100,M49&lt;1000),(0.5+(M49-100)*0.25%),IF(AND(M49&gt;0,M49&lt;100),M49*0.5%)))))))</f>
        <v>2.165</v>
      </c>
      <c r="M67" s="24">
        <f ca="1">ROUND(L67*0.9,1)</f>
        <v>1.9</v>
      </c>
      <c r="Z67" s="2423"/>
      <c r="AI67" s="2424"/>
    </row>
    <row r="68" spans="1:35" ht="14.25" customHeight="1" thickBot="1">
      <c r="A68" s="208" t="s">
        <v>774</v>
      </c>
      <c r="B68" s="209" t="s">
        <v>2253</v>
      </c>
      <c r="C68" s="210">
        <f ca="1">IF(C67&lt;=0,0,ROUND(C67*D68,0))</f>
        <v>41</v>
      </c>
      <c r="D68" s="211">
        <f>'数据-取费表'!B41</f>
        <v>5.6000000000000001E-2</v>
      </c>
      <c r="E68" s="212"/>
      <c r="F68" s="2489"/>
      <c r="G68" s="2489"/>
      <c r="H68" s="2497"/>
      <c r="I68" s="138"/>
      <c r="J68" s="3151"/>
      <c r="K68" s="2499" t="s">
        <v>2254</v>
      </c>
      <c r="L68" s="1749">
        <f ca="1">IF(M49&gt;10000,M49*0.5%,IF(AND(M49&gt;5000,M49&lt;=10000),M49*1%,IF(AND(M49&gt;1000,M49&lt;=5000),M49*2%,IF(AND(M49&gt;200,M49&lt;=1000),M49*3%,M49*5%))))</f>
        <v>22.98</v>
      </c>
      <c r="M68" s="24">
        <f ca="1">ROUND(L68,1)</f>
        <v>23</v>
      </c>
      <c r="Z68" s="2423"/>
      <c r="AI68" s="2424"/>
    </row>
    <row r="69" spans="1:35" s="2446" customFormat="1" ht="16.5" customHeight="1">
      <c r="A69" s="2500"/>
      <c r="B69" s="2501"/>
      <c r="C69" s="2502"/>
      <c r="D69" s="2503"/>
      <c r="E69" s="2504"/>
      <c r="F69" s="2166"/>
      <c r="G69" s="2166"/>
      <c r="H69" s="2165"/>
      <c r="I69" s="2418"/>
      <c r="J69" s="3151"/>
      <c r="K69" s="2499" t="s">
        <v>2255</v>
      </c>
      <c r="L69" s="2505"/>
      <c r="M69" s="24">
        <f ca="1">ROUND(SUM(M63:M68),0)</f>
        <v>58</v>
      </c>
      <c r="N69" s="1750">
        <f ca="1">M69/M49</f>
        <v>7.5718015665796348E-2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52" t="s">
        <v>2256</v>
      </c>
      <c r="B70" s="3153"/>
      <c r="C70" s="3153"/>
      <c r="D70" s="3153"/>
      <c r="E70" s="3153"/>
      <c r="F70" s="3153"/>
      <c r="G70" s="3153"/>
      <c r="H70" s="315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49" t="s">
        <v>2237</v>
      </c>
      <c r="B71" s="3150"/>
      <c r="C71" s="1801"/>
      <c r="D71" s="1801" t="s">
        <v>2238</v>
      </c>
      <c r="E71" s="213" t="s">
        <v>2239</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2257</v>
      </c>
      <c r="C72" s="207">
        <f ca="1">ROUND(D45/(1+'数据-取费表'!C42),0)</f>
        <v>730</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2258</v>
      </c>
      <c r="C73" s="207">
        <f ca="1">C74+C78</f>
        <v>4</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2259</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2260</v>
      </c>
      <c r="C75" s="218"/>
      <c r="D75" s="200" t="s">
        <v>32</v>
      </c>
      <c r="E75" s="219" t="s">
        <v>2261</v>
      </c>
      <c r="F75" s="2511" t="s">
        <v>2262</v>
      </c>
      <c r="G75" s="219" t="s">
        <v>2263</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2264</v>
      </c>
      <c r="C76" s="200">
        <f>IF(F75="购房发票",ROUND(C75*H75*D76,0),0)</f>
        <v>0</v>
      </c>
      <c r="D76" s="222">
        <v>0.05</v>
      </c>
      <c r="E76" s="3142" t="s">
        <v>2265</v>
      </c>
      <c r="F76" s="3138"/>
      <c r="G76" s="3138"/>
      <c r="H76" s="317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3" t="s">
        <v>2268</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2269</v>
      </c>
      <c r="C78" s="225">
        <f ca="1">ROUND(D45*D78/(1+'数据-取费表'!C42),0)</f>
        <v>4</v>
      </c>
      <c r="D78" s="226">
        <f>'数据-取费表'!B43</f>
        <v>6.000000000000001E-3</v>
      </c>
      <c r="E78" s="3160" t="s">
        <v>2270</v>
      </c>
      <c r="F78" s="3161"/>
      <c r="G78" s="3161"/>
      <c r="H78" s="316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2271</v>
      </c>
      <c r="C79" s="207">
        <f ca="1">C72-C73</f>
        <v>726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2272</v>
      </c>
      <c r="C80" s="227">
        <f ca="1">IF(C79&lt;=0,0,C79/C73)</f>
        <v>181.5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2273</v>
      </c>
      <c r="C81" s="228">
        <f ca="1">ROUND(IF(C79&lt;=0,0,IF(C80&gt;=200%,C79*60%-C73*35%,IF(C80&gt;=100%,C79*50%-C73*15%,IF(C80&gt;=50%,C79*40%-C73*5%,IF(C80&lt;50%,C79*30%,0))))),0)</f>
        <v>434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52" t="s">
        <v>2274</v>
      </c>
      <c r="B83" s="3153"/>
      <c r="C83" s="3153"/>
      <c r="D83" s="3153"/>
      <c r="E83" s="3153"/>
      <c r="F83" s="3153"/>
      <c r="G83" s="3153"/>
      <c r="H83" s="315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49" t="s">
        <v>2237</v>
      </c>
      <c r="B84" s="3150"/>
      <c r="C84" s="1801"/>
      <c r="D84" s="1801" t="s">
        <v>2238</v>
      </c>
      <c r="E84" s="213" t="s">
        <v>2239</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2257</v>
      </c>
      <c r="C85" s="207">
        <f ca="1">ROUND(D45/(1+'数据-取费表'!C42),0)</f>
        <v>730</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2258</v>
      </c>
      <c r="C86" s="207">
        <f ca="1">IF(H88="仅含出让金",C87+C90+C91+C92+C93+C94,C87+C91+C92+C93+C94)</f>
        <v>4</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2275</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2276</v>
      </c>
      <c r="C88" s="236"/>
      <c r="D88" s="226"/>
      <c r="E88" s="237" t="s">
        <v>2277</v>
      </c>
      <c r="F88" s="1797"/>
      <c r="G88" s="238" t="s">
        <v>2278</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2266</v>
      </c>
      <c r="C89" s="225">
        <f>ROUND(C88*D89,0)</f>
        <v>0</v>
      </c>
      <c r="D89" s="226">
        <f>'数据-取费表'!B48+'数据-取费表'!B49</f>
        <v>3.0499999999999999E-2</v>
      </c>
      <c r="E89" s="237" t="s">
        <v>2279</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2280</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2281</v>
      </c>
      <c r="B91" s="198" t="s">
        <v>2282</v>
      </c>
      <c r="C91" s="225">
        <f>IF(H91="——",成本法!C33,I91)</f>
        <v>0</v>
      </c>
      <c r="D91" s="226"/>
      <c r="E91" s="3160" t="s">
        <v>2283</v>
      </c>
      <c r="F91" s="3161"/>
      <c r="G91" s="3161"/>
      <c r="H91" s="2518" t="s">
        <v>2284</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2285</v>
      </c>
      <c r="B92" s="198" t="s">
        <v>2286</v>
      </c>
      <c r="C92" s="225">
        <f>ROUND((C87+C90+C91)*D92,0)</f>
        <v>0</v>
      </c>
      <c r="D92" s="226">
        <v>0.1</v>
      </c>
      <c r="E92" s="3160" t="s">
        <v>2287</v>
      </c>
      <c r="F92" s="3161"/>
      <c r="G92" s="3161"/>
      <c r="H92" s="316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2288</v>
      </c>
      <c r="B93" s="198" t="s">
        <v>2269</v>
      </c>
      <c r="C93" s="225">
        <f ca="1">ROUND(D45*D93/(1+'数据-取费表'!C42),0)</f>
        <v>4</v>
      </c>
      <c r="D93" s="226">
        <f>'数据-取费表'!B43</f>
        <v>6.000000000000001E-3</v>
      </c>
      <c r="E93" s="3160" t="s">
        <v>2270</v>
      </c>
      <c r="F93" s="3161"/>
      <c r="G93" s="3161"/>
      <c r="H93" s="316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2289</v>
      </c>
      <c r="B94" s="198" t="s">
        <v>2290</v>
      </c>
      <c r="C94" s="236">
        <f>ROUND((C87+C90+C91)*D94,0)</f>
        <v>0</v>
      </c>
      <c r="D94" s="226">
        <v>0.2</v>
      </c>
      <c r="E94" s="3163" t="s">
        <v>2291</v>
      </c>
      <c r="F94" s="3164"/>
      <c r="G94" s="3164"/>
      <c r="H94" s="316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2271</v>
      </c>
      <c r="C95" s="207">
        <f ca="1">ROUND(C85-C86,0)</f>
        <v>726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2272</v>
      </c>
      <c r="C96" s="227">
        <f ca="1">IF(C95&lt;=0,0,C95/C86)</f>
        <v>181.5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2273</v>
      </c>
      <c r="C97" s="228">
        <f ca="1">ROUND(IF(C95&lt;=0,0,IF(C96&gt;=200%,C95*60%-C86*35%,IF(C96&gt;=100%,C95*50%-C86*15%,IF(C96&gt;=50%,C95*40%-C86*5%,IF(C96&lt;50%,C95*30%,0))))),0)</f>
        <v>434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2292</v>
      </c>
      <c r="B99" s="2418"/>
      <c r="C99" s="2418"/>
      <c r="D99" s="2418"/>
      <c r="E99" s="2166"/>
      <c r="F99" s="2166"/>
      <c r="G99" s="2166"/>
      <c r="H99" s="2165"/>
      <c r="I99" s="138"/>
    </row>
    <row r="100" spans="1:35" ht="18.75" customHeight="1">
      <c r="A100" s="3102" t="s">
        <v>2293</v>
      </c>
      <c r="B100" s="3103"/>
      <c r="C100" s="3103"/>
      <c r="D100" s="3166"/>
      <c r="E100" s="3103" t="s">
        <v>2294</v>
      </c>
      <c r="F100" s="3103"/>
      <c r="G100" s="3103"/>
      <c r="H100" s="3166"/>
      <c r="I100" s="138"/>
    </row>
    <row r="101" spans="1:35" ht="18.75" customHeight="1">
      <c r="A101" s="3167" t="s">
        <v>2295</v>
      </c>
      <c r="B101" s="3168"/>
      <c r="C101" s="736" t="str">
        <f>C4</f>
        <v>收益法</v>
      </c>
      <c r="D101" s="737" t="str">
        <f>D4</f>
        <v>比较法-商业</v>
      </c>
      <c r="E101" s="3169" t="s">
        <v>2296</v>
      </c>
      <c r="F101" s="3170"/>
      <c r="G101" s="2520" t="s">
        <v>2297</v>
      </c>
      <c r="H101" s="1045">
        <f ca="1">H118</f>
        <v>766</v>
      </c>
      <c r="I101" s="138"/>
    </row>
    <row r="102" spans="1:35" ht="18.75" customHeight="1">
      <c r="A102" s="3171" t="s">
        <v>2298</v>
      </c>
      <c r="B102" s="2520" t="s">
        <v>2297</v>
      </c>
      <c r="C102" s="736">
        <f ca="1">C19</f>
        <v>521</v>
      </c>
      <c r="D102" s="737">
        <f ca="1">D19</f>
        <v>930</v>
      </c>
      <c r="E102" s="3169"/>
      <c r="F102" s="3170"/>
      <c r="G102" s="2520" t="s">
        <v>2299</v>
      </c>
      <c r="H102" s="371">
        <f ca="1">I118</f>
        <v>10807</v>
      </c>
      <c r="I102" s="138"/>
    </row>
    <row r="103" spans="1:35" ht="42.75" customHeight="1">
      <c r="A103" s="3171"/>
      <c r="B103" s="2520" t="s">
        <v>2299</v>
      </c>
      <c r="C103" s="738">
        <f ca="1">C20</f>
        <v>17544</v>
      </c>
      <c r="D103" s="739">
        <f ca="1">D20</f>
        <v>31333</v>
      </c>
      <c r="E103" s="3172" t="s">
        <v>2300</v>
      </c>
      <c r="F103" s="3173"/>
      <c r="G103" s="2521" t="s">
        <v>2301</v>
      </c>
      <c r="H103" s="1045">
        <f>IF(D36="正常操作",H104+H105+H106,H105+H106)</f>
        <v>0</v>
      </c>
      <c r="I103" s="138"/>
    </row>
    <row r="104" spans="1:35" ht="18.75" customHeight="1">
      <c r="A104" s="3171" t="s">
        <v>2302</v>
      </c>
      <c r="B104" s="2522" t="s">
        <v>2297</v>
      </c>
      <c r="C104" s="740">
        <f ca="1">H118</f>
        <v>766</v>
      </c>
      <c r="D104" s="741"/>
      <c r="E104" s="2267" t="s">
        <v>2303</v>
      </c>
      <c r="F104" s="2258"/>
      <c r="G104" s="2521" t="s">
        <v>2301</v>
      </c>
      <c r="H104" s="1046">
        <f>IF(D36="同一抵押权人同一抵押物续贷",C36&amp;"（未扣减，详见特别提示）",C36)</f>
        <v>0</v>
      </c>
      <c r="I104" s="138"/>
    </row>
    <row r="105" spans="1:35" ht="18.75" customHeight="1" thickBot="1">
      <c r="A105" s="3180"/>
      <c r="B105" s="2523" t="s">
        <v>2299</v>
      </c>
      <c r="C105" s="742">
        <f ca="1">I118</f>
        <v>10807</v>
      </c>
      <c r="D105" s="743"/>
      <c r="E105" s="2267" t="s">
        <v>2304</v>
      </c>
      <c r="F105" s="2258"/>
      <c r="G105" s="2521" t="s">
        <v>2301</v>
      </c>
      <c r="H105" s="1046">
        <f>C37</f>
        <v>0</v>
      </c>
      <c r="I105" s="138"/>
    </row>
    <row r="106" spans="1:35" ht="18.75" customHeight="1">
      <c r="A106" s="2418" t="s">
        <v>2305</v>
      </c>
      <c r="B106" s="2418"/>
      <c r="C106" s="2418"/>
      <c r="D106" s="2418"/>
      <c r="E106" s="2524" t="s">
        <v>2306</v>
      </c>
      <c r="F106" s="2258"/>
      <c r="G106" s="2521" t="s">
        <v>2301</v>
      </c>
      <c r="H106" s="1046">
        <f>C38</f>
        <v>0</v>
      </c>
      <c r="I106" s="138"/>
    </row>
    <row r="107" spans="1:35" ht="18.75" customHeight="1">
      <c r="A107" s="138"/>
      <c r="B107" s="138"/>
      <c r="C107" s="138"/>
      <c r="D107" s="138"/>
      <c r="E107" s="3181" t="str">
        <f>IF(项目基本情况!E8="已注销","——","3.房地产抵押价值")</f>
        <v>3.房地产抵押价值</v>
      </c>
      <c r="F107" s="3170"/>
      <c r="G107" s="2520" t="s">
        <v>2297</v>
      </c>
      <c r="H107" s="1045">
        <f ca="1">IF(E107="——","——",H101-H103)</f>
        <v>766</v>
      </c>
      <c r="I107" s="138"/>
    </row>
    <row r="108" spans="1:35" ht="18.75" customHeight="1">
      <c r="A108" s="138"/>
      <c r="B108" s="138"/>
      <c r="C108" s="138"/>
      <c r="D108" s="138"/>
      <c r="E108" s="3181"/>
      <c r="F108" s="3170"/>
      <c r="G108" s="2520" t="s">
        <v>2299</v>
      </c>
      <c r="H108" s="371">
        <f ca="1">ROUND(H107*10000/'数据-汇总表'!E3,0)</f>
        <v>10807</v>
      </c>
      <c r="I108" s="138"/>
    </row>
    <row r="109" spans="1:35" ht="18.75" customHeight="1">
      <c r="A109" s="138"/>
      <c r="B109" s="138"/>
      <c r="C109" s="138"/>
      <c r="D109" s="138"/>
      <c r="E109" s="3181" t="str">
        <f>IF(项目基本情况!E8="已注销及未注销","4.抵押担保权已注销时的房地产抵押价值",IF(项目基本情况!E8="已注销","3.抵押担保权已注销时的房地产抵押价值","——"))</f>
        <v>——</v>
      </c>
      <c r="F109" s="3170"/>
      <c r="G109" s="2520" t="s">
        <v>2297</v>
      </c>
      <c r="H109" s="348" t="str">
        <f>IF(E109="——","——",H101-H105-H106)</f>
        <v>——</v>
      </c>
      <c r="I109" s="138"/>
    </row>
    <row r="110" spans="1:35" ht="18.75" customHeight="1">
      <c r="A110" s="138"/>
      <c r="B110" s="138"/>
      <c r="C110" s="138"/>
      <c r="D110" s="138"/>
      <c r="E110" s="3181"/>
      <c r="F110" s="3170"/>
      <c r="G110" s="2520" t="s">
        <v>2299</v>
      </c>
      <c r="H110" s="371" t="str">
        <f>IF(H109="——","——",ROUND(H109*10000/'数据-汇总表'!E3,0))</f>
        <v>——</v>
      </c>
      <c r="I110" s="138"/>
    </row>
    <row r="111" spans="1:35" ht="18.75" customHeight="1">
      <c r="A111" s="138"/>
      <c r="B111" s="138"/>
      <c r="C111" s="138"/>
      <c r="D111" s="138"/>
      <c r="E111" s="3182" t="str">
        <f>IF(项目基本情况!E9="抵押净值",IF(OR(项目基本情况!E8="已注销",项目基本情况!E8="房地产抵押价值"),"4.抵押净值","5.抵押净值"),"——")</f>
        <v>4.抵押净值</v>
      </c>
      <c r="F111" s="3183"/>
      <c r="G111" s="2520" t="s">
        <v>2297</v>
      </c>
      <c r="H111" s="1045">
        <f ca="1">IF(E111="——","——",N59)</f>
        <v>332</v>
      </c>
      <c r="I111" s="138"/>
    </row>
    <row r="112" spans="1:35" ht="18.75" customHeight="1" thickBot="1">
      <c r="A112" s="138"/>
      <c r="B112" s="138"/>
      <c r="C112" s="138"/>
      <c r="D112" s="138"/>
      <c r="E112" s="3184"/>
      <c r="F112" s="3185"/>
      <c r="G112" s="2525" t="s">
        <v>2299</v>
      </c>
      <c r="H112" s="790">
        <f ca="1">IF(E111="——","——",N61)</f>
        <v>4684</v>
      </c>
      <c r="I112" s="138"/>
    </row>
    <row r="113" spans="1:11" ht="18.75" customHeight="1">
      <c r="A113" s="138"/>
      <c r="B113" s="138"/>
      <c r="C113" s="138"/>
      <c r="D113" s="138"/>
      <c r="E113" s="3186" t="s">
        <v>2305</v>
      </c>
      <c r="F113" s="3186"/>
      <c r="G113" s="3186"/>
      <c r="H113" s="3186"/>
      <c r="I113" s="138"/>
    </row>
    <row r="114" spans="1:11" ht="3.75" customHeight="1">
      <c r="A114" s="2418"/>
      <c r="B114" s="2418"/>
      <c r="C114" s="2418"/>
      <c r="D114" s="2418"/>
      <c r="E114" s="2496"/>
      <c r="F114" s="2496"/>
      <c r="G114" s="2496"/>
      <c r="H114" s="2496"/>
      <c r="I114" s="2418"/>
    </row>
    <row r="115" spans="1:11" ht="18.75" customHeight="1">
      <c r="A115" s="3187" t="s">
        <v>2307</v>
      </c>
      <c r="B115" s="3188"/>
      <c r="C115" s="3188"/>
      <c r="D115" s="3188"/>
      <c r="E115" s="3188"/>
      <c r="F115" s="3188"/>
      <c r="G115" s="3188"/>
      <c r="H115" s="3188"/>
      <c r="I115" s="3189"/>
    </row>
    <row r="116" spans="1:11" ht="27" customHeight="1">
      <c r="A116" s="3081" t="s">
        <v>2308</v>
      </c>
      <c r="B116" s="3175" t="s">
        <v>2309</v>
      </c>
      <c r="C116" s="3175" t="s">
        <v>2310</v>
      </c>
      <c r="D116" s="3177" t="s">
        <v>2311</v>
      </c>
      <c r="E116" s="3178"/>
      <c r="F116" s="3179" t="s">
        <v>2312</v>
      </c>
      <c r="G116" s="3179"/>
      <c r="H116" s="3081" t="s">
        <v>2313</v>
      </c>
      <c r="I116" s="3081"/>
    </row>
    <row r="117" spans="1:11" ht="18.75" customHeight="1">
      <c r="A117" s="3081"/>
      <c r="B117" s="3176"/>
      <c r="C117" s="3176"/>
      <c r="D117" s="1795" t="s">
        <v>2314</v>
      </c>
      <c r="E117" s="1795" t="s">
        <v>2315</v>
      </c>
      <c r="F117" s="1795" t="s">
        <v>2314</v>
      </c>
      <c r="G117" s="1795" t="s">
        <v>2316</v>
      </c>
      <c r="H117" s="1795" t="s">
        <v>2314</v>
      </c>
      <c r="I117" s="1795" t="s">
        <v>2316</v>
      </c>
    </row>
    <row r="118" spans="1:11" ht="24.75" customHeight="1">
      <c r="A118" s="2526" t="str">
        <f>项目基本情况!S2</f>
        <v>北京市出让国有建设用地使用权及在建建筑物房地产</v>
      </c>
      <c r="B118" s="1795">
        <f>M18</f>
        <v>708.8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766</v>
      </c>
      <c r="I118" s="1795">
        <f ca="1">ROUND(IF(D32="楼面单价",C32,H118*10000/B118),0)</f>
        <v>10807</v>
      </c>
    </row>
    <row r="119" spans="1:11" ht="18.75" customHeight="1">
      <c r="A119" s="3081" t="s">
        <v>2317</v>
      </c>
      <c r="B119" s="3081"/>
      <c r="C119" s="3081"/>
      <c r="D119" s="3193" t="e">
        <f ca="1">NUMBERSTRING(INT(D118*10000),2)&amp;"元整"</f>
        <v>#REF!</v>
      </c>
      <c r="E119" s="3195"/>
      <c r="F119" s="3193" t="e">
        <f ca="1">NUMBERSTRING(INT(F118*10000),2)&amp;"元整"</f>
        <v>#REF!</v>
      </c>
      <c r="G119" s="3195"/>
      <c r="H119" s="3193" t="str">
        <f ca="1">NUMBERSTRING(INT(H118*10000),2)&amp;"元整"</f>
        <v>柒佰陆拾陆万元整</v>
      </c>
      <c r="I119" s="3195"/>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23" t="str">
        <f>IF(D120=0,"故，本次评估不存在"&amp;A120,"故，本次评估"&amp;A120&amp;"为人民币"&amp;D120&amp;"万元整。")</f>
        <v>故，本次评估不存在估价师知悉的法定优先受偿款</v>
      </c>
    </row>
    <row r="121" spans="1:11" ht="18.75" customHeight="1">
      <c r="A121" s="3190" t="s">
        <v>2317</v>
      </c>
      <c r="B121" s="3191"/>
      <c r="C121" s="3192"/>
      <c r="D121" s="3193" t="str">
        <f>IF(D120=0,"零元整",NUMBERSTRING(INT(D120*10000),2)&amp;"元整")</f>
        <v>零元整</v>
      </c>
      <c r="E121" s="3194"/>
      <c r="F121" s="3194"/>
      <c r="G121" s="3194"/>
      <c r="H121" s="3194"/>
      <c r="I121" s="3195"/>
    </row>
    <row r="122" spans="1:11" ht="18.75" customHeight="1">
      <c r="A122" s="3196" t="str">
        <f>IF(项目基本情况!B9="房地产市场价值","",MID(E107,3,LEN(E107)-2))</f>
        <v>房地产抵押价值</v>
      </c>
      <c r="B122" s="3196"/>
      <c r="C122" s="3196"/>
      <c r="D122" s="3197">
        <f ca="1">H107</f>
        <v>766</v>
      </c>
      <c r="E122" s="3198"/>
      <c r="F122" s="3198"/>
      <c r="G122" s="3198"/>
      <c r="H122" s="3198"/>
      <c r="I122" s="3199"/>
    </row>
    <row r="123" spans="1:11" ht="18.75" customHeight="1">
      <c r="A123" s="3081" t="s">
        <v>2317</v>
      </c>
      <c r="B123" s="3081"/>
      <c r="C123" s="3081"/>
      <c r="D123" s="3193" t="str">
        <f ca="1">NUMBERSTRING(INT(D122*10000),2)&amp;"元整"</f>
        <v>柒佰陆拾陆万元整</v>
      </c>
      <c r="E123" s="3194"/>
      <c r="F123" s="3194"/>
      <c r="G123" s="3194"/>
      <c r="H123" s="3194"/>
      <c r="I123" s="3195"/>
    </row>
    <row r="124" spans="1:11" ht="18.75" customHeight="1">
      <c r="A124" s="3196" t="str">
        <f>IF(项目基本情况!B9="房地产市场价值","",MID(E109,3,LEN(E109)-2))</f>
        <v/>
      </c>
      <c r="B124" s="3196"/>
      <c r="C124" s="3196"/>
      <c r="D124" s="3197" t="str">
        <f>H109</f>
        <v>——</v>
      </c>
      <c r="E124" s="3198"/>
      <c r="F124" s="3198"/>
      <c r="G124" s="3198"/>
      <c r="H124" s="3198"/>
      <c r="I124" s="3199"/>
    </row>
    <row r="125" spans="1:11" ht="18.75" customHeight="1">
      <c r="A125" s="3081" t="s">
        <v>2317</v>
      </c>
      <c r="B125" s="3081"/>
      <c r="C125" s="3081"/>
      <c r="D125" s="3193" t="e">
        <f>NUMBERSTRING(INT(D124*10000),2)&amp;"元整"</f>
        <v>#VALUE!</v>
      </c>
      <c r="E125" s="3194"/>
      <c r="F125" s="3194"/>
      <c r="G125" s="3194"/>
      <c r="H125" s="3194"/>
      <c r="I125" s="3195"/>
    </row>
    <row r="126" spans="1:11" ht="18.75" customHeight="1">
      <c r="A126" s="3196" t="str">
        <f>IF(项目基本情况!B9="房地产市场价值","",MID(E111,3,LEN(E111)-2))</f>
        <v>抵押净值</v>
      </c>
      <c r="B126" s="3196"/>
      <c r="C126" s="3196"/>
      <c r="D126" s="3197">
        <f ca="1">H111</f>
        <v>332</v>
      </c>
      <c r="E126" s="3198"/>
      <c r="F126" s="3198"/>
      <c r="G126" s="3198"/>
      <c r="H126" s="3198"/>
      <c r="I126" s="3199"/>
    </row>
    <row r="127" spans="1:11" ht="18.75" customHeight="1">
      <c r="A127" s="3081" t="s">
        <v>2317</v>
      </c>
      <c r="B127" s="3081"/>
      <c r="C127" s="3081"/>
      <c r="D127" s="3193" t="str">
        <f ca="1">NUMBERSTRING(INT(D126*10000),2)&amp;"元整"</f>
        <v>叁佰叁拾贰万元整</v>
      </c>
      <c r="E127" s="3194"/>
      <c r="F127" s="3194"/>
      <c r="G127" s="3194"/>
      <c r="H127" s="3194"/>
      <c r="I127" s="3195"/>
    </row>
    <row r="128" spans="1:11" ht="21.75" customHeight="1">
      <c r="A128" s="3200" t="s">
        <v>2318</v>
      </c>
      <c r="B128" s="3200"/>
      <c r="C128" s="3200"/>
      <c r="D128" s="3200"/>
      <c r="E128" s="3200"/>
      <c r="F128" s="3200"/>
      <c r="G128" s="3200"/>
      <c r="H128" s="3200"/>
      <c r="I128" s="3200"/>
    </row>
    <row r="129" spans="1:35" ht="21.75" customHeight="1">
      <c r="A129" s="2527" t="s">
        <v>2319</v>
      </c>
      <c r="B129" s="2528"/>
      <c r="C129" s="2529" t="s">
        <v>2320</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2321</v>
      </c>
      <c r="G135" s="2544"/>
      <c r="H135" s="2544"/>
      <c r="I135" s="2545" t="s">
        <v>2322</v>
      </c>
    </row>
    <row r="136" spans="1:35" ht="21.75" customHeight="1">
      <c r="A136" s="795"/>
      <c r="B136" s="2546"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2324</v>
      </c>
    </row>
    <row r="139" spans="1:35" ht="21.75" customHeight="1">
      <c r="A139" s="795"/>
      <c r="B139" s="2546" t="s">
        <v>2325</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2324</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15" t="str">
        <f>项目基本情况!B1</f>
        <v>北京市出让国有建设用地使用权及在建建筑物房地产抵押价值预评估</v>
      </c>
      <c r="C37" s="3015"/>
      <c r="D37" s="3015"/>
      <c r="E37" s="3015"/>
      <c r="F37" s="3015"/>
      <c r="G37" s="3015"/>
      <c r="H37" s="3015"/>
      <c r="I37" s="3015"/>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8</v>
      </c>
    </row>
    <row r="2" spans="1:9" s="244" customFormat="1" ht="18" customHeight="1">
      <c r="A2" s="245" t="s">
        <v>2327</v>
      </c>
      <c r="B2" s="246">
        <f ca="1">IF(D2="——",C52,C52-E2)</f>
        <v>289</v>
      </c>
      <c r="C2" s="243" t="s">
        <v>2328</v>
      </c>
      <c r="D2" s="2549" t="s">
        <v>70</v>
      </c>
      <c r="E2" s="1440" t="e">
        <f ca="1">SUMIF(INDIRECT("'"&amp;G2&amp;"'"&amp;"!A:A"),"承租人权益价值",INDIRECT("'"&amp;G2&amp;"'"&amp;"!c:c"))</f>
        <v>#REF!</v>
      </c>
      <c r="F2" s="2550" t="s">
        <v>2328</v>
      </c>
      <c r="G2" s="2551"/>
    </row>
    <row r="3" spans="1:9" s="244" customFormat="1" ht="18" customHeight="1" thickBot="1">
      <c r="A3" s="247" t="s">
        <v>2329</v>
      </c>
      <c r="B3" s="248">
        <f ca="1">ROUND(B2*10000/(IF(B1="",'数据-汇总表'!E3,INDIRECT("'数据-取费表'!k"&amp;$G$1))),0)</f>
        <v>4077</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0</v>
      </c>
      <c r="D5" s="255" t="s">
        <v>2334</v>
      </c>
      <c r="E5" s="256" t="s">
        <v>2335</v>
      </c>
      <c r="F5" s="256" t="s">
        <v>2336</v>
      </c>
      <c r="G5" s="257"/>
    </row>
    <row r="6" spans="1:9" s="258" customFormat="1" ht="13.5" customHeight="1">
      <c r="A6" s="949" t="s">
        <v>2337</v>
      </c>
      <c r="B6" s="259" t="s">
        <v>2338</v>
      </c>
      <c r="C6" s="260"/>
      <c r="D6" s="261"/>
      <c r="E6" s="262"/>
      <c r="F6" s="262"/>
      <c r="G6" s="263"/>
    </row>
    <row r="7" spans="1:9" s="258" customFormat="1" ht="13.5" customHeight="1">
      <c r="A7" s="949" t="s">
        <v>2339</v>
      </c>
      <c r="B7" s="259" t="s">
        <v>2340</v>
      </c>
      <c r="C7" s="264">
        <f>ROUND(C6*F7,0)</f>
        <v>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2"/>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3"/>
      <c r="H9" s="1390"/>
      <c r="I9" s="2554"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708.8</v>
      </c>
      <c r="E10" s="269">
        <f>'数据-取费表'!B28</f>
        <v>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f ca="1">IF(G19="已包含在土地取得成本中","0",ROUND(D19*E19/10000,0))</f>
        <v>14</v>
      </c>
      <c r="D19" s="1036">
        <f ca="1">D9+D10</f>
        <v>708.8</v>
      </c>
      <c r="E19" s="255">
        <f>'数据-取费表'!B31</f>
        <v>200</v>
      </c>
      <c r="F19" s="275"/>
      <c r="G19" s="2552"/>
    </row>
    <row r="20" spans="1:7" s="258" customFormat="1" ht="13.5" customHeight="1">
      <c r="A20" s="299" t="s">
        <v>2358</v>
      </c>
      <c r="B20" s="254" t="s">
        <v>2359</v>
      </c>
      <c r="C20" s="276">
        <f ca="1">ROUND((C5+C19)*F20,0)</f>
        <v>0</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1</v>
      </c>
      <c r="D22" s="279">
        <f ca="1">C26</f>
        <v>1E-3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0</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1</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2</v>
      </c>
      <c r="D28" s="279"/>
      <c r="E28" s="280"/>
      <c r="F28" s="290"/>
      <c r="G28" s="291"/>
    </row>
    <row r="29" spans="1:7" s="258" customFormat="1" ht="13.5" customHeight="1">
      <c r="A29" s="951"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18</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236</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213</v>
      </c>
      <c r="D34" s="261"/>
      <c r="E34" s="264"/>
      <c r="F34" s="301">
        <f ca="1">IF('数据-取费表'!B24=0,1,IF(B1="",'数据-取费表'!N16,INDIRECT("'数据-取费表'!n"&amp;$G$1)))</f>
        <v>1</v>
      </c>
      <c r="G34" s="263" t="s">
        <v>2391</v>
      </c>
    </row>
    <row r="35" spans="1:7" ht="13.5" customHeight="1">
      <c r="A35" s="951" t="s">
        <v>796</v>
      </c>
      <c r="B35" s="259" t="s">
        <v>2392</v>
      </c>
      <c r="C35" s="264">
        <f ca="1">ROUND(C34*F35,0)</f>
        <v>6</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14</v>
      </c>
      <c r="D37" s="261">
        <f ca="1">D19</f>
        <v>708.8</v>
      </c>
      <c r="E37" s="293">
        <f>'数据-取费表'!B35</f>
        <v>200</v>
      </c>
      <c r="F37" s="303"/>
      <c r="G37" s="305" t="s">
        <v>2397</v>
      </c>
    </row>
    <row r="38" spans="1:7" ht="13.5" customHeight="1">
      <c r="A38" s="951" t="s">
        <v>799</v>
      </c>
      <c r="B38" s="259" t="s">
        <v>2398</v>
      </c>
      <c r="C38" s="264">
        <f ca="1">ROUND(C34*F38,0)</f>
        <v>3</v>
      </c>
      <c r="D38" s="264"/>
      <c r="E38" s="264"/>
      <c r="F38" s="303">
        <f>'数据-取费表'!B36</f>
        <v>1.4999999999999999E-2</v>
      </c>
      <c r="G38" s="263" t="s">
        <v>2393</v>
      </c>
    </row>
    <row r="39" spans="1:7" s="258" customFormat="1" ht="13.5" customHeight="1">
      <c r="A39" s="299" t="s">
        <v>2399</v>
      </c>
      <c r="B39" s="254" t="s">
        <v>2400</v>
      </c>
      <c r="C39" s="276">
        <f ca="1">ROUND(C33*F20,0)</f>
        <v>5</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11</v>
      </c>
      <c r="D42" s="282"/>
      <c r="E42" s="282"/>
      <c r="F42" s="283"/>
      <c r="G42" s="3201" t="s">
        <v>2409</v>
      </c>
    </row>
    <row r="43" spans="1:7" ht="13.5" customHeight="1">
      <c r="A43" s="951" t="s">
        <v>792</v>
      </c>
      <c r="B43" s="259" t="s">
        <v>2410</v>
      </c>
      <c r="C43" s="282">
        <f ca="1">ROUND(IF('数据-取费表'!B22&lt;=1,C39*F22*'数据-取费表'!B21/2,C39*(POWER((1+F22),'数据-取费表'!B21/2)-1)),0)</f>
        <v>0</v>
      </c>
      <c r="D43" s="282"/>
      <c r="E43" s="282"/>
      <c r="F43" s="283"/>
      <c r="G43" s="3202"/>
    </row>
    <row r="44" spans="1:7" ht="13.5" customHeight="1">
      <c r="A44" s="951" t="s">
        <v>793</v>
      </c>
      <c r="B44" s="259" t="s">
        <v>2411</v>
      </c>
      <c r="C44" s="282">
        <f ca="1">ROUND(IF('数据-取费表'!B22&lt;=1,C40*F22*'数据-取费表'!B21/2,C40*(POWER((1+F22),'数据-取费表'!B21/2)-1)),4)</f>
        <v>1E-3</v>
      </c>
      <c r="D44" s="282"/>
      <c r="E44" s="282"/>
      <c r="F44" s="283"/>
      <c r="G44" s="3203"/>
    </row>
    <row r="45" spans="1:7" s="258" customFormat="1" ht="13.5" customHeight="1">
      <c r="A45" s="299" t="s">
        <v>2412</v>
      </c>
      <c r="B45" s="288" t="s">
        <v>2378</v>
      </c>
      <c r="C45" s="289">
        <f ca="1">C46</f>
        <v>36</v>
      </c>
      <c r="D45" s="279">
        <f ca="1">C47</f>
        <v>3.0000000000000001E-3</v>
      </c>
      <c r="E45" s="280" t="s">
        <v>2404</v>
      </c>
      <c r="F45" s="290"/>
      <c r="G45" s="291" t="s">
        <v>2413</v>
      </c>
    </row>
    <row r="46" spans="1:7" s="258" customFormat="1" ht="13.5" customHeight="1">
      <c r="A46" s="951" t="s">
        <v>791</v>
      </c>
      <c r="B46" s="292" t="s">
        <v>2414</v>
      </c>
      <c r="C46" s="293">
        <f ca="1">ROUND((C33+C39)*F27,0)</f>
        <v>36</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1728">
        <f>ROUND(F30/(1+'数据-取费表'!C42),4)</f>
        <v>5.33E-2</v>
      </c>
      <c r="D48" s="280" t="s">
        <v>2404</v>
      </c>
      <c r="E48" s="276"/>
      <c r="F48" s="281"/>
      <c r="G48" s="278" t="s">
        <v>2417</v>
      </c>
    </row>
    <row r="49" spans="1:7" ht="16.5" customHeight="1">
      <c r="A49" s="299" t="s">
        <v>2383</v>
      </c>
      <c r="B49" s="254" t="s">
        <v>2418</v>
      </c>
      <c r="C49" s="276">
        <f ca="1">ROUND((C33+C39+C41+C45)/(1-C40-D41-D45-C48),0)</f>
        <v>312</v>
      </c>
      <c r="D49" s="276"/>
      <c r="E49" s="276"/>
      <c r="F49" s="308"/>
      <c r="G49" s="278" t="s">
        <v>2419</v>
      </c>
    </row>
    <row r="50" spans="1:7" s="302" customFormat="1" ht="24">
      <c r="A50" s="299" t="s">
        <v>2420</v>
      </c>
      <c r="B50" s="254" t="s">
        <v>2421</v>
      </c>
      <c r="C50" s="276"/>
      <c r="D50" s="276"/>
      <c r="E50" s="276"/>
      <c r="F50" s="308">
        <f>IF('数据-取费表'!B24=0,'数据-取费表'!N16,1)</f>
        <v>0.86699999999999999</v>
      </c>
      <c r="G50" s="291" t="s">
        <v>2422</v>
      </c>
    </row>
    <row r="51" spans="1:7" ht="16.5" customHeight="1">
      <c r="A51" s="299" t="s">
        <v>2423</v>
      </c>
      <c r="B51" s="254" t="s">
        <v>2424</v>
      </c>
      <c r="C51" s="276">
        <f ca="1">ROUND(C49*F50,0)</f>
        <v>271</v>
      </c>
      <c r="D51" s="276"/>
      <c r="E51" s="276"/>
      <c r="F51" s="308"/>
      <c r="G51" s="278" t="s">
        <v>2425</v>
      </c>
    </row>
    <row r="52" spans="1:7" s="252" customFormat="1" ht="16.5" thickBot="1">
      <c r="A52" s="309" t="s">
        <v>2426</v>
      </c>
      <c r="B52" s="310"/>
      <c r="C52" s="311">
        <f ca="1">C31+C51</f>
        <v>289</v>
      </c>
      <c r="D52" s="310"/>
      <c r="E52" s="310"/>
      <c r="F52" s="310"/>
      <c r="G52" s="312"/>
    </row>
    <row r="55" spans="1:7" ht="15">
      <c r="B55" s="314" t="s">
        <v>2427</v>
      </c>
      <c r="C55" s="315"/>
    </row>
    <row r="56" spans="1:7">
      <c r="B56" s="317" t="s">
        <v>1507</v>
      </c>
      <c r="C56" s="319">
        <f ca="1">1-C57</f>
        <v>6.2000000000000055E-2</v>
      </c>
    </row>
    <row r="57" spans="1:7">
      <c r="B57" s="317" t="s">
        <v>1508</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5" t="s">
        <v>2428</v>
      </c>
      <c r="D1" s="242"/>
      <c r="E1" s="242"/>
      <c r="F1" s="242"/>
      <c r="G1" s="1379">
        <f>MATCH(B1,'数据-取费表'!A6:A16,0)+5</f>
        <v>8</v>
      </c>
      <c r="H1" s="1282" t="str">
        <f>IF(ISERROR(FIND("住宅",B1)),"非住宅","住宅")</f>
        <v>非住宅</v>
      </c>
    </row>
    <row r="2" spans="1:8" s="244" customFormat="1" ht="18" customHeight="1">
      <c r="A2" s="245" t="s">
        <v>2327</v>
      </c>
      <c r="B2" s="246">
        <f ca="1">ROUND(IF(D2="——",C52/10000,C52/10000-E2),0)</f>
        <v>291</v>
      </c>
      <c r="C2" s="243" t="s">
        <v>2328</v>
      </c>
      <c r="D2" s="2549" t="s">
        <v>70</v>
      </c>
      <c r="E2" s="1440" t="e">
        <f ca="1">SUMIF(INDIRECT("'"&amp;G2&amp;"'"&amp;"!A:A"),"承租人权益价值",INDIRECT("'"&amp;G2&amp;"'"&amp;"!c:c"))</f>
        <v>#REF!</v>
      </c>
      <c r="F2" s="2550" t="s">
        <v>2328</v>
      </c>
      <c r="G2" s="2551"/>
    </row>
    <row r="3" spans="1:8" s="244" customFormat="1" ht="18" customHeight="1" thickBot="1">
      <c r="A3" s="247" t="s">
        <v>2329</v>
      </c>
      <c r="B3" s="248">
        <f ca="1">ROUND(B2*10000/(IF(B1="",'数据-汇总表'!E3,INDIRECT("'数据-取费表'!k"&amp;$G$1))),0)</f>
        <v>4106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0</v>
      </c>
      <c r="D8" s="266"/>
      <c r="E8" s="264"/>
      <c r="F8" s="265"/>
      <c r="G8" s="2552"/>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708.8</v>
      </c>
      <c r="E10" s="269">
        <f>'数据-取费表'!B28</f>
        <v>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141760</v>
      </c>
      <c r="D19" s="1036">
        <f ca="1">D9+D10</f>
        <v>708.8</v>
      </c>
      <c r="E19" s="255">
        <f>'数据-取费表'!B31</f>
        <v>200</v>
      </c>
      <c r="F19" s="275"/>
      <c r="G19" s="2552"/>
    </row>
    <row r="20" spans="1:7" s="258" customFormat="1" ht="13.5" customHeight="1">
      <c r="A20" s="299" t="s">
        <v>2439</v>
      </c>
      <c r="B20" s="254" t="s">
        <v>2440</v>
      </c>
      <c r="C20" s="276">
        <f ca="1">ROUND((C5+C19)*F20,0)</f>
        <v>2835</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13922</v>
      </c>
      <c r="D22" s="279">
        <f ca="1">C26</f>
        <v>1E-3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13787</v>
      </c>
      <c r="D24" s="282"/>
      <c r="E24" s="282"/>
      <c r="F24" s="283"/>
      <c r="G24" s="284" t="s">
        <v>2451</v>
      </c>
    </row>
    <row r="25" spans="1:7" s="258" customFormat="1" ht="24">
      <c r="A25" s="951" t="s">
        <v>2341</v>
      </c>
      <c r="B25" s="259" t="s">
        <v>2452</v>
      </c>
      <c r="C25" s="1381">
        <f ca="1">ROUND(IF('数据-取费表'!B22&lt;=1,C20*F22*'数据-取费表'!B22/2,C20*(POWER((1+F22),'数据-取费表'!B22/2)-1)),0)</f>
        <v>135</v>
      </c>
      <c r="D25" s="282"/>
      <c r="E25" s="285"/>
      <c r="F25" s="283"/>
      <c r="G25" s="286" t="s">
        <v>2453</v>
      </c>
    </row>
    <row r="26" spans="1:7" s="258" customFormat="1">
      <c r="A26" s="951"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21689</v>
      </c>
      <c r="D27" s="279">
        <f ca="1">C29</f>
        <v>3.0000000000000001E-3</v>
      </c>
      <c r="E27" s="280" t="s">
        <v>2379</v>
      </c>
      <c r="F27" s="290">
        <f ca="1">IF(B1="",'数据-取费表'!Q16,INDIRECT("'数据-取费表'!q"&amp;$G$1))</f>
        <v>0.15</v>
      </c>
      <c r="G27" s="291" t="s">
        <v>2380</v>
      </c>
    </row>
    <row r="28" spans="1:7" s="258" customFormat="1" ht="13.5" customHeight="1">
      <c r="A28" s="951" t="s">
        <v>791</v>
      </c>
      <c r="B28" s="292" t="s">
        <v>2381</v>
      </c>
      <c r="C28" s="293">
        <f ca="1">ROUND((C5+C19+C20)*F27,0)</f>
        <v>21689</v>
      </c>
      <c r="D28" s="279"/>
      <c r="E28" s="280"/>
      <c r="F28" s="290"/>
      <c r="G28" s="291"/>
    </row>
    <row r="29" spans="1:7" s="258" customFormat="1" ht="13.5" customHeight="1">
      <c r="A29" s="951"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195303</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2363848</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2126400</v>
      </c>
      <c r="D34" s="261"/>
      <c r="E34" s="264"/>
      <c r="F34" s="301"/>
      <c r="G34" s="263"/>
    </row>
    <row r="35" spans="1:7" ht="13.5" customHeight="1">
      <c r="A35" s="951" t="s">
        <v>796</v>
      </c>
      <c r="B35" s="259" t="s">
        <v>2392</v>
      </c>
      <c r="C35" s="264">
        <f ca="1">ROUND(C34*F35,0)</f>
        <v>63792</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141760</v>
      </c>
      <c r="D37" s="261">
        <f ca="1">D19</f>
        <v>708.8</v>
      </c>
      <c r="E37" s="293">
        <f>'数据-取费表'!B35</f>
        <v>200</v>
      </c>
      <c r="F37" s="303"/>
      <c r="G37" s="305"/>
    </row>
    <row r="38" spans="1:7" ht="13.5" customHeight="1">
      <c r="A38" s="951" t="s">
        <v>799</v>
      </c>
      <c r="B38" s="259" t="s">
        <v>2398</v>
      </c>
      <c r="C38" s="264">
        <f ca="1">ROUND(C34*F38,0)</f>
        <v>31896</v>
      </c>
      <c r="D38" s="264"/>
      <c r="E38" s="264"/>
      <c r="F38" s="303">
        <f>'数据-取费表'!B36</f>
        <v>1.4999999999999999E-2</v>
      </c>
      <c r="G38" s="263" t="s">
        <v>2393</v>
      </c>
    </row>
    <row r="39" spans="1:7" s="258" customFormat="1" ht="13.5" customHeight="1">
      <c r="A39" s="299" t="s">
        <v>2399</v>
      </c>
      <c r="B39" s="254" t="s">
        <v>2400</v>
      </c>
      <c r="C39" s="276">
        <f ca="1">ROUND(C33*F20,0)</f>
        <v>47277</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114529</v>
      </c>
      <c r="D41" s="279">
        <f ca="1">C44</f>
        <v>1E-3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112283</v>
      </c>
      <c r="D42" s="282"/>
      <c r="E42" s="282"/>
      <c r="F42" s="283"/>
      <c r="G42" s="3201" t="s">
        <v>2456</v>
      </c>
    </row>
    <row r="43" spans="1:7" ht="13.5" customHeight="1">
      <c r="A43" s="951" t="s">
        <v>792</v>
      </c>
      <c r="B43" s="259" t="s">
        <v>2410</v>
      </c>
      <c r="C43" s="282">
        <f ca="1">ROUND(IF('数据-取费表'!B22&lt;=1,C39*F22*'数据-取费表'!B20/2,C39*(POWER((1+F22),'数据-取费表'!B20/2)-1)),0)</f>
        <v>2246</v>
      </c>
      <c r="D43" s="282"/>
      <c r="E43" s="282"/>
      <c r="F43" s="283"/>
      <c r="G43" s="3202"/>
    </row>
    <row r="44" spans="1:7" ht="13.5" customHeight="1">
      <c r="A44" s="951" t="s">
        <v>793</v>
      </c>
      <c r="B44" s="259" t="s">
        <v>2411</v>
      </c>
      <c r="C44" s="282">
        <f ca="1">ROUND(IF('数据-取费表'!B22&lt;=1,C40*F22*'数据-取费表'!B20/2,C40*(POWER((1+F22),'数据-取费表'!B20/2)-1)),4)</f>
        <v>1E-3</v>
      </c>
      <c r="D44" s="282"/>
      <c r="E44" s="282"/>
      <c r="F44" s="283"/>
      <c r="G44" s="3203"/>
    </row>
    <row r="45" spans="1:7" s="258" customFormat="1" ht="13.5" customHeight="1">
      <c r="A45" s="299" t="s">
        <v>2412</v>
      </c>
      <c r="B45" s="288" t="s">
        <v>2378</v>
      </c>
      <c r="C45" s="289">
        <f ca="1">C46</f>
        <v>361669</v>
      </c>
      <c r="D45" s="279">
        <f ca="1">C47</f>
        <v>3.0000000000000001E-3</v>
      </c>
      <c r="E45" s="280" t="s">
        <v>2404</v>
      </c>
      <c r="F45" s="290"/>
      <c r="G45" s="291" t="s">
        <v>2413</v>
      </c>
    </row>
    <row r="46" spans="1:7" s="258" customFormat="1" ht="13.5" customHeight="1">
      <c r="A46" s="951" t="s">
        <v>791</v>
      </c>
      <c r="B46" s="292" t="s">
        <v>2414</v>
      </c>
      <c r="C46" s="293">
        <f ca="1">ROUND((C33+C39)*F27,0)</f>
        <v>361669</v>
      </c>
      <c r="D46" s="307"/>
      <c r="E46" s="280"/>
      <c r="F46" s="290"/>
      <c r="G46" s="291"/>
    </row>
    <row r="47" spans="1:7" s="258" customFormat="1" ht="13.5" customHeight="1">
      <c r="A47" s="951"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3129211</v>
      </c>
      <c r="D49" s="276"/>
      <c r="E49" s="276"/>
      <c r="F49" s="308"/>
      <c r="G49" s="278" t="s">
        <v>2419</v>
      </c>
    </row>
    <row r="50" spans="1:7" s="302" customFormat="1">
      <c r="A50" s="299" t="s">
        <v>2420</v>
      </c>
      <c r="B50" s="254" t="s">
        <v>2421</v>
      </c>
      <c r="C50" s="276"/>
      <c r="D50" s="276"/>
      <c r="E50" s="276"/>
      <c r="F50" s="308">
        <f>IF('数据-取费表'!B24=0,'数据-取费表'!N16,1)</f>
        <v>0.86699999999999999</v>
      </c>
      <c r="G50" s="291"/>
    </row>
    <row r="51" spans="1:7" ht="16.5" customHeight="1">
      <c r="A51" s="299" t="s">
        <v>2423</v>
      </c>
      <c r="B51" s="254" t="s">
        <v>2458</v>
      </c>
      <c r="C51" s="276">
        <f ca="1">ROUND(C49*F50,0)</f>
        <v>2713026</v>
      </c>
      <c r="D51" s="276"/>
      <c r="E51" s="276"/>
      <c r="F51" s="308"/>
      <c r="G51" s="278" t="s">
        <v>2425</v>
      </c>
    </row>
    <row r="52" spans="1:7" s="252" customFormat="1" ht="16.5" thickBot="1">
      <c r="A52" s="309" t="s">
        <v>2426</v>
      </c>
      <c r="B52" s="310"/>
      <c r="C52" s="311">
        <f ca="1">C31+C51</f>
        <v>2908329</v>
      </c>
      <c r="D52" s="310"/>
      <c r="E52" s="310"/>
      <c r="F52" s="310"/>
      <c r="G52" s="312"/>
    </row>
    <row r="55" spans="1:7" ht="15">
      <c r="B55" s="314" t="s">
        <v>2427</v>
      </c>
      <c r="C55" s="315"/>
    </row>
    <row r="56" spans="1:7">
      <c r="B56" s="317" t="s">
        <v>1507</v>
      </c>
      <c r="C56" s="319">
        <f ca="1">1-C57</f>
        <v>6.6999999999999948E-2</v>
      </c>
    </row>
    <row r="57" spans="1:7">
      <c r="B57" s="317" t="s">
        <v>1508</v>
      </c>
      <c r="C57" s="318">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8</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6" t="s">
        <v>2465</v>
      </c>
      <c r="D5" s="2556" t="s">
        <v>2466</v>
      </c>
      <c r="E5" s="2556" t="s">
        <v>2467</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1329</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2481</v>
      </c>
      <c r="C12" s="24">
        <f ca="1">ROUND(C11*F12,0)</f>
        <v>0</v>
      </c>
      <c r="D12" s="973"/>
      <c r="E12" s="375"/>
      <c r="F12" s="976">
        <f>'数据-取费表'!B33</f>
        <v>0.03</v>
      </c>
      <c r="G12" s="8" t="s">
        <v>2482</v>
      </c>
      <c r="H12" s="968"/>
      <c r="I12" s="968"/>
      <c r="J12" s="968"/>
      <c r="K12" s="969"/>
    </row>
    <row r="13" spans="1:33" s="975" customFormat="1" ht="13.5" customHeight="1">
      <c r="A13" s="971" t="s">
        <v>1331</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1332</v>
      </c>
      <c r="B14" s="972" t="s">
        <v>2485</v>
      </c>
      <c r="C14" s="24">
        <f ca="1">ROUND(D14*E14*F11/10000,0)</f>
        <v>0</v>
      </c>
      <c r="D14" s="1033">
        <f ca="1">IF(C1="",'数据-汇总表'!E3,INDIRECT("'数据-取费表'!K"&amp;$K$1)+INDIRECT("'数据-取费表'!S"&amp;$K$1))</f>
        <v>708.8</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708.8</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2492</v>
      </c>
      <c r="C18" s="24">
        <f ca="1">C19+C20-IF(C1="",'数据-取费表'!B29,IF(G18="已全部缴纳",C19+C20,H18))</f>
        <v>0</v>
      </c>
      <c r="D18" s="1033"/>
      <c r="E18" s="24"/>
      <c r="F18" s="976"/>
      <c r="G18" s="2558"/>
      <c r="H18" s="1577"/>
      <c r="I18" s="2559"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708.8</v>
      </c>
      <c r="E20" s="24">
        <f>'数据-取费表'!B28</f>
        <v>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2509</v>
      </c>
      <c r="B28" s="2561" t="s">
        <v>2510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2" t="s">
        <v>2514</v>
      </c>
      <c r="B31" s="1005" t="s">
        <v>2515</v>
      </c>
      <c r="C31" s="1006">
        <f>ROUND(C4*F31/(1+'数据-取费表'!C42),0)</f>
        <v>0</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4" sqref="C14:C1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v>-201</v>
      </c>
      <c r="D1" s="1820"/>
      <c r="E1" s="1821" t="s">
        <v>1381</v>
      </c>
      <c r="F1" s="1283">
        <f ca="1">J53</f>
        <v>31.84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521</v>
      </c>
      <c r="C2" s="1845" t="s">
        <v>1510</v>
      </c>
      <c r="D2" s="1845"/>
      <c r="E2" s="1846"/>
      <c r="F2" s="1847"/>
      <c r="G2" s="1848"/>
      <c r="H2" s="1840"/>
      <c r="I2" s="1840"/>
      <c r="J2" s="1840"/>
      <c r="K2" s="1841"/>
      <c r="L2" s="1840"/>
      <c r="M2" s="1840"/>
    </row>
    <row r="3" spans="1:37" ht="18" customHeight="1" thickBot="1">
      <c r="A3" s="1849" t="s">
        <v>1511</v>
      </c>
      <c r="B3" s="1850">
        <f ca="1">IF(ISERROR(B2*10000/F43),0,ROUND(B2*10000/F43,0))</f>
        <v>17544</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34</v>
      </c>
      <c r="D5" s="1822" t="s">
        <v>1396</v>
      </c>
      <c r="E5" s="1293"/>
      <c r="F5" s="1294"/>
      <c r="G5" s="1851"/>
      <c r="H5" s="344">
        <v>1</v>
      </c>
      <c r="I5" s="345" t="s">
        <v>1395</v>
      </c>
      <c r="J5" s="1292">
        <f ca="1">J6+J10+J12</f>
        <v>0</v>
      </c>
      <c r="K5" s="1822" t="s">
        <v>1396</v>
      </c>
      <c r="L5" s="1293"/>
      <c r="M5" s="1294"/>
    </row>
    <row r="6" spans="1:37" ht="18" customHeight="1">
      <c r="A6" s="1291" t="s">
        <v>1031</v>
      </c>
      <c r="B6" s="3206" t="s">
        <v>1397</v>
      </c>
      <c r="C6" s="1296">
        <f ca="1">ROUND(F6*F8*F7*(1-F9)/10000,0)</f>
        <v>34</v>
      </c>
      <c r="D6" s="164" t="s">
        <v>3031</v>
      </c>
      <c r="E6" s="347" t="s">
        <v>1399</v>
      </c>
      <c r="F6" s="348">
        <f ca="1">INDIRECT("'数据-取费表'!u"&amp;$G$1)</f>
        <v>3.5</v>
      </c>
      <c r="G6" s="1851"/>
      <c r="H6" s="1291" t="s">
        <v>1031</v>
      </c>
      <c r="I6" s="3206" t="s">
        <v>1397</v>
      </c>
      <c r="J6" s="346">
        <f ca="1">ROUND(M6*M8*M7*(1-M9)/10000,0)</f>
        <v>0</v>
      </c>
      <c r="K6" s="164" t="s">
        <v>3030</v>
      </c>
      <c r="L6" s="347" t="s">
        <v>1399</v>
      </c>
      <c r="M6" s="348">
        <f ca="1">INDIRECT("'数据-取费表'!z"&amp;$G$1)</f>
        <v>0</v>
      </c>
    </row>
    <row r="7" spans="1:37" ht="18" customHeight="1">
      <c r="A7" s="1295"/>
      <c r="B7" s="3207"/>
      <c r="C7" s="1297"/>
      <c r="D7" s="352"/>
      <c r="E7" s="1298" t="s">
        <v>1400</v>
      </c>
      <c r="F7" s="348">
        <f ca="1">IF(INDIRECT("'数据-取费表'!ah"&amp;$G$1)="",INDIRECT("'数据-取费表'!k"&amp;$G$1),INDIRECT("'数据-取费表'!ah"&amp;$G$1))</f>
        <v>296.95999999999998</v>
      </c>
      <c r="G7" s="1851"/>
      <c r="H7" s="349"/>
      <c r="I7" s="3207"/>
      <c r="J7" s="351"/>
      <c r="K7" s="352"/>
      <c r="L7" s="347" t="s">
        <v>1400</v>
      </c>
      <c r="M7" s="348">
        <f ca="1">F7</f>
        <v>296.95999999999998</v>
      </c>
    </row>
    <row r="8" spans="1:37" ht="18" customHeight="1">
      <c r="A8" s="349"/>
      <c r="B8" s="3207"/>
      <c r="C8" s="351"/>
      <c r="D8" s="352"/>
      <c r="E8" s="347" t="s">
        <v>1401</v>
      </c>
      <c r="F8" s="348">
        <f ca="1">INDIRECT("'数据-取费表'!ai"&amp;$G$1)</f>
        <v>365</v>
      </c>
      <c r="G8" s="1851"/>
      <c r="H8" s="349"/>
      <c r="I8" s="3207"/>
      <c r="J8" s="351"/>
      <c r="K8" s="352"/>
      <c r="L8" s="347" t="s">
        <v>1401</v>
      </c>
      <c r="M8" s="348">
        <f ca="1">INDIRECT("'数据-取费表'!ai"&amp;$G$1)</f>
        <v>365</v>
      </c>
    </row>
    <row r="9" spans="1:37" ht="18" customHeight="1">
      <c r="A9" s="349"/>
      <c r="B9" s="3208"/>
      <c r="C9" s="351"/>
      <c r="D9" s="352"/>
      <c r="E9" s="347" t="s">
        <v>1402</v>
      </c>
      <c r="F9" s="357">
        <f ca="1">INDIRECT("'数据-取费表'!w"&amp;$G$1)</f>
        <v>0.1</v>
      </c>
      <c r="G9" s="1851"/>
      <c r="H9" s="349"/>
      <c r="I9" s="320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3040</v>
      </c>
      <c r="E10" s="358" t="s">
        <v>1404</v>
      </c>
      <c r="F10" s="1366" t="s">
        <v>3113</v>
      </c>
      <c r="G10" s="1851"/>
      <c r="H10" s="1291" t="s">
        <v>1035</v>
      </c>
      <c r="I10" s="1823" t="s">
        <v>1403</v>
      </c>
      <c r="J10" s="346">
        <f ca="1">ROUND(IF(M10="押一",J6/12*M11,IF(M10="押二",J6/12*2*M11,IF(M10="押三",J6/12*3*M11,J11*M11))),0)</f>
        <v>0</v>
      </c>
      <c r="K10" s="1824" t="s">
        <v>3039</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114</v>
      </c>
      <c r="D13" s="1331" t="s">
        <v>1409</v>
      </c>
      <c r="E13" s="1331" t="s">
        <v>1410</v>
      </c>
      <c r="F13" s="1332">
        <f ca="1">INDIRECT("'数据-取费表'!y"&amp;$G$1)</f>
        <v>0.86699999999999999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89</v>
      </c>
      <c r="D14" s="1800" t="s">
        <v>1412</v>
      </c>
      <c r="E14" s="1794"/>
      <c r="F14" s="364"/>
      <c r="G14" s="1851"/>
      <c r="H14" s="1201" t="s">
        <v>1031</v>
      </c>
      <c r="I14" s="347" t="s">
        <v>1413</v>
      </c>
      <c r="J14" s="24">
        <f ca="1">C29</f>
        <v>131</v>
      </c>
      <c r="K14" s="15"/>
      <c r="L14" s="979"/>
      <c r="M14" s="980"/>
    </row>
    <row r="15" spans="1:37" s="1858" customFormat="1" ht="18" customHeight="1" thickBot="1">
      <c r="A15" s="1201" t="s">
        <v>1032</v>
      </c>
      <c r="B15" s="347" t="s">
        <v>1414</v>
      </c>
      <c r="C15" s="24">
        <f ca="1">ROUND(C14*F15,0)</f>
        <v>3</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v>
      </c>
      <c r="K16" s="1337" t="s">
        <v>1419</v>
      </c>
      <c r="L16" s="1338"/>
      <c r="M16" s="1294"/>
    </row>
    <row r="17" spans="1:37" s="1858" customFormat="1" ht="18" customHeight="1">
      <c r="A17" s="1201" t="s">
        <v>1384</v>
      </c>
      <c r="B17" s="347" t="s">
        <v>1420</v>
      </c>
      <c r="C17" s="24">
        <f ca="1">ROUND(F17*(F43+INDIRECT("'数据-取费表'!S"&amp;$G$1))/10000,0)</f>
        <v>6</v>
      </c>
      <c r="D17" s="347" t="s">
        <v>1421</v>
      </c>
      <c r="E17" s="347" t="s">
        <v>1422</v>
      </c>
      <c r="F17" s="26">
        <f>'数据-取费表'!B35</f>
        <v>200</v>
      </c>
      <c r="G17" s="1854"/>
      <c r="H17" s="1201" t="s">
        <v>1031</v>
      </c>
      <c r="I17" s="347" t="s">
        <v>1423</v>
      </c>
      <c r="J17" s="24">
        <f ca="1">ROUND(IF(项目基本情况!B11="自然人",J6*M17/(1+'数据-取费表'!C42),J18+J19+J20),1)</f>
        <v>1.1000000000000001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99</v>
      </c>
      <c r="D19" s="140" t="s">
        <v>1430</v>
      </c>
      <c r="E19" s="1818"/>
      <c r="F19" s="26"/>
      <c r="G19" s="1851"/>
      <c r="H19" s="1201" t="s">
        <v>1032</v>
      </c>
      <c r="I19" s="347" t="s">
        <v>1431</v>
      </c>
      <c r="J19" s="24">
        <f ca="1">IF(K19="按租金收入计税",ROUND(J6*M19/(1+'数据-取费表'!C42),2),ROUND(C29*M19*0.7,2))</f>
        <v>1.1000000000000001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v>
      </c>
      <c r="K25" s="1345" t="s">
        <v>1458</v>
      </c>
      <c r="L25" s="1346"/>
      <c r="M25" s="1347"/>
    </row>
    <row r="26" spans="1:37">
      <c r="A26" s="1201" t="s">
        <v>1030</v>
      </c>
      <c r="B26" s="347" t="s">
        <v>1459</v>
      </c>
      <c r="C26" s="24">
        <f ca="1">ROUND((C19+C20)*F26,0)</f>
        <v>15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131</v>
      </c>
      <c r="D29" s="1342"/>
      <c r="E29" s="1340"/>
      <c r="F29" s="1343"/>
      <c r="G29" s="1854"/>
      <c r="H29" s="380" t="s">
        <v>1029</v>
      </c>
      <c r="I29" s="381" t="s">
        <v>1473</v>
      </c>
      <c r="J29" s="382">
        <f ca="1">ROUND(J26/(1+F40)^F41,0)</f>
        <v>0</v>
      </c>
      <c r="K29" s="383" t="s">
        <v>1474</v>
      </c>
      <c r="L29" s="384"/>
      <c r="M29" s="385">
        <f ca="1">INDIRECT("'数据-取费表'!k"&amp;$G$1)</f>
        <v>296.95999999999998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5.7</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1.81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3.89</v>
      </c>
      <c r="D33" s="1828" t="s">
        <v>3114</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0.2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0.3</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26</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521</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31.84</v>
      </c>
      <c r="G41" s="1851"/>
      <c r="H41" s="732"/>
      <c r="I41" s="1860"/>
      <c r="J41" s="1861"/>
      <c r="K41" s="751"/>
      <c r="L41" s="732"/>
      <c r="M41" s="732"/>
    </row>
    <row r="42" spans="1:18" ht="18" customHeight="1">
      <c r="A42" s="353"/>
      <c r="B42" s="354"/>
      <c r="C42" s="355"/>
      <c r="D42" s="373"/>
      <c r="E42" s="347" t="s">
        <v>1471</v>
      </c>
      <c r="F42" s="357">
        <f ca="1">INDIRECT("'数据-取费表'!v"&amp;$G$1)</f>
        <v>2.5000000000000001E-2</v>
      </c>
      <c r="G42" s="1851"/>
      <c r="H42" s="732"/>
      <c r="I42" s="1860"/>
      <c r="J42" s="1861"/>
      <c r="K42" s="751"/>
      <c r="L42" s="732"/>
      <c r="M42" s="732"/>
    </row>
    <row r="43" spans="1:18" ht="18" customHeight="1" thickBot="1">
      <c r="A43" s="380" t="s">
        <v>1029</v>
      </c>
      <c r="B43" s="381" t="s">
        <v>1481</v>
      </c>
      <c r="C43" s="382">
        <f ca="1">ROUND(C40*10000/F43,0)</f>
        <v>17544</v>
      </c>
      <c r="D43" s="383" t="s">
        <v>1482</v>
      </c>
      <c r="E43" s="384" t="s">
        <v>1483</v>
      </c>
      <c r="F43" s="385">
        <f ca="1">INDIRECT("'数据-取费表'!k"&amp;$G$1)</f>
        <v>296.95999999999998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-714</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3115</v>
      </c>
      <c r="K47" s="1882" t="s">
        <v>1521</v>
      </c>
      <c r="L47" s="1883">
        <f ca="1">INDIRECT("'数据-取费表'!d"&amp;$G$1)</f>
        <v>40</v>
      </c>
      <c r="M47" s="1838" t="str">
        <f>IF(ISNUMBER(FIND("住宅",C1)),"住宅","非住宅")</f>
        <v>非住宅</v>
      </c>
      <c r="O47" s="1884" t="s">
        <v>1036</v>
      </c>
      <c r="P47" s="1885" t="s">
        <v>1522</v>
      </c>
      <c r="Q47" s="1886">
        <f ca="1">C40+J29</f>
        <v>521</v>
      </c>
      <c r="R47" s="1886" t="s">
        <v>1523</v>
      </c>
    </row>
    <row r="48" spans="1:18" s="1842" customFormat="1" ht="28.5" thickBot="1">
      <c r="A48" s="1360" t="s">
        <v>1131</v>
      </c>
      <c r="B48" s="345" t="s">
        <v>1395</v>
      </c>
      <c r="C48" s="1817">
        <f ca="1">C49+C53+C55</f>
        <v>0</v>
      </c>
      <c r="D48" s="1362"/>
      <c r="E48" s="1363"/>
      <c r="F48" s="1181"/>
      <c r="G48" s="792"/>
      <c r="H48" s="793"/>
      <c r="I48" s="1887" t="s">
        <v>1524</v>
      </c>
      <c r="J48" s="1888" t="s">
        <v>3116</v>
      </c>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3032</v>
      </c>
      <c r="E49" s="1830" t="s">
        <v>1485</v>
      </c>
      <c r="F49" s="1281"/>
      <c r="G49" s="1891"/>
      <c r="H49" s="793"/>
      <c r="I49" s="1887" t="s">
        <v>1528</v>
      </c>
      <c r="J49" s="1892">
        <v>2012</v>
      </c>
      <c r="K49" s="1889" t="s">
        <v>1529</v>
      </c>
      <c r="L49" s="1893"/>
      <c r="O49" s="1894" t="s">
        <v>1038</v>
      </c>
      <c r="P49" s="1885" t="s">
        <v>1530</v>
      </c>
      <c r="Q49" s="1886">
        <f ca="1">C29</f>
        <v>131</v>
      </c>
      <c r="R49" s="1886" t="s">
        <v>1523</v>
      </c>
    </row>
    <row r="50" spans="1:18" s="1842" customFormat="1" ht="13.5" thickBot="1">
      <c r="A50" s="1195"/>
      <c r="B50" s="1198"/>
      <c r="C50" s="1368"/>
      <c r="D50" s="1172"/>
      <c r="E50" s="1277" t="s">
        <v>1400</v>
      </c>
      <c r="F50" s="1278">
        <f ca="1">F7</f>
        <v>296.95999999999998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52</v>
      </c>
      <c r="K51" s="1900" t="s">
        <v>1535</v>
      </c>
      <c r="L51" s="1901">
        <f ca="1">ROUND(-PV(INDIRECT("'数据-取费表'!h"&amp;$G$1),L48,(C39-C13*C76),0),0)</f>
        <v>257</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31.84</v>
      </c>
      <c r="R52" s="1886" t="s">
        <v>1540</v>
      </c>
    </row>
    <row r="53" spans="1:18" s="1842" customFormat="1" ht="24.75" thickBot="1">
      <c r="A53" s="1405" t="s">
        <v>1133</v>
      </c>
      <c r="B53" s="1831"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31.84</v>
      </c>
      <c r="K53" s="3204" t="s">
        <v>1542</v>
      </c>
      <c r="L53" s="3205"/>
      <c r="O53" s="1884" t="s">
        <v>1042</v>
      </c>
      <c r="P53" s="1885" t="s">
        <v>1543</v>
      </c>
      <c r="Q53" s="1886">
        <f ca="1">Q47+Q48</f>
        <v>521</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114</v>
      </c>
      <c r="D56" s="1913"/>
      <c r="E56" s="1914"/>
      <c r="F56" s="1906"/>
      <c r="I56" s="1915" t="s">
        <v>1548</v>
      </c>
      <c r="J56" s="1916" t="s">
        <v>3109</v>
      </c>
      <c r="K56" s="1887" t="s">
        <v>1549</v>
      </c>
      <c r="L56" s="1890" t="str">
        <f ca="1">IF(L48&lt;J51,"——",L48-J53)</f>
        <v>——</v>
      </c>
      <c r="O56" s="1884" t="s">
        <v>1036</v>
      </c>
      <c r="P56" s="1885" t="s">
        <v>1522</v>
      </c>
      <c r="Q56" s="1886">
        <f ca="1">C40+J29</f>
        <v>521</v>
      </c>
      <c r="R56" s="1886" t="s">
        <v>1523</v>
      </c>
    </row>
    <row r="57" spans="1:18" s="1842" customFormat="1" ht="24.75" thickBot="1">
      <c r="A57" s="1917"/>
      <c r="B57" s="1169" t="s">
        <v>1472</v>
      </c>
      <c r="C57" s="282">
        <f ca="1">C29</f>
        <v>131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13</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11</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v>
      </c>
      <c r="D61" s="1828" t="s">
        <v>1432</v>
      </c>
      <c r="E61" s="1169" t="s">
        <v>1488</v>
      </c>
      <c r="F61" s="367">
        <f t="shared" si="0"/>
        <v>0.12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521</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0.2</v>
      </c>
      <c r="D65" s="1183" t="s">
        <v>1448</v>
      </c>
      <c r="E65" s="1169" t="s">
        <v>1449</v>
      </c>
      <c r="F65" s="376">
        <f t="shared" ca="1" si="0"/>
        <v>1.5E-3</v>
      </c>
      <c r="I65" s="1928" t="s">
        <v>1573</v>
      </c>
      <c r="J65" s="1929">
        <v>40</v>
      </c>
      <c r="K65" s="1929">
        <v>30</v>
      </c>
      <c r="L65" s="1929">
        <v>50</v>
      </c>
      <c r="M65" s="1931">
        <v>0.02</v>
      </c>
      <c r="O65" s="1884" t="s">
        <v>1036</v>
      </c>
      <c r="P65" s="1885" t="s">
        <v>1574</v>
      </c>
      <c r="Q65" s="1886">
        <f ca="1">C40+J29</f>
        <v>521</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-13</v>
      </c>
      <c r="D67" s="1182" t="s">
        <v>1458</v>
      </c>
      <c r="E67" s="1187"/>
      <c r="F67" s="1188"/>
      <c r="O67" s="1894" t="s">
        <v>1038</v>
      </c>
      <c r="P67" s="1885" t="s">
        <v>1556</v>
      </c>
      <c r="Q67" s="1932">
        <f ca="1">L51</f>
        <v>257</v>
      </c>
      <c r="R67" s="1886" t="s">
        <v>1576</v>
      </c>
    </row>
    <row r="68" spans="1:18" s="1842" customFormat="1" ht="16.5" thickBot="1">
      <c r="A68" s="1166" t="s">
        <v>1028</v>
      </c>
      <c r="B68" s="1167" t="s">
        <v>1479</v>
      </c>
      <c r="C68" s="346">
        <f ca="1">ROUND(C67*(1-((1+F70)/(1+F68))^F69)/(F68-F70),0)</f>
        <v>-193</v>
      </c>
      <c r="D68" s="1184" t="s">
        <v>1463</v>
      </c>
      <c r="E68" s="1169" t="s">
        <v>1464</v>
      </c>
      <c r="F68" s="357">
        <f ca="1">F40</f>
        <v>5.5E-2</v>
      </c>
      <c r="O68" s="1894" t="s">
        <v>1039</v>
      </c>
      <c r="P68" s="1933" t="s">
        <v>1577</v>
      </c>
      <c r="Q68" s="1886">
        <f ca="1">ROUND(Q69-Q70*Q71,0)</f>
        <v>16</v>
      </c>
      <c r="R68" s="1886" t="s">
        <v>1047</v>
      </c>
    </row>
    <row r="69" spans="1:18" s="1842" customFormat="1" ht="13.5" thickBot="1">
      <c r="A69" s="1170"/>
      <c r="B69" s="1171"/>
      <c r="C69" s="351"/>
      <c r="D69" s="1189" t="s">
        <v>1467</v>
      </c>
      <c r="E69" s="1169" t="s">
        <v>1468</v>
      </c>
      <c r="F69" s="379">
        <f ca="1">F41</f>
        <v>31.84</v>
      </c>
      <c r="O69" s="1894" t="s">
        <v>1044</v>
      </c>
      <c r="P69" s="1933" t="s">
        <v>1578</v>
      </c>
      <c r="Q69" s="1886">
        <f ca="1">C39</f>
        <v>26</v>
      </c>
      <c r="R69" s="1886" t="s">
        <v>1523</v>
      </c>
    </row>
    <row r="70" spans="1:18" s="1842" customFormat="1" ht="13.5" thickBot="1">
      <c r="A70" s="1173"/>
      <c r="B70" s="1174"/>
      <c r="C70" s="355"/>
      <c r="D70" s="1185"/>
      <c r="E70" s="1169" t="s">
        <v>1471</v>
      </c>
      <c r="F70" s="1275"/>
      <c r="O70" s="1894" t="s">
        <v>1045</v>
      </c>
      <c r="P70" s="1933" t="s">
        <v>1579</v>
      </c>
      <c r="Q70" s="1886">
        <f ca="1">C13</f>
        <v>114</v>
      </c>
      <c r="R70" s="1886" t="s">
        <v>1523</v>
      </c>
    </row>
    <row r="71" spans="1:18" s="1842" customFormat="1" ht="13.5" thickBot="1">
      <c r="A71" s="1190" t="s">
        <v>1029</v>
      </c>
      <c r="B71" s="1191" t="s">
        <v>1481</v>
      </c>
      <c r="C71" s="382">
        <f ca="1">ROUND(C68*10000/F71,0)</f>
        <v>-6499</v>
      </c>
      <c r="D71" s="1192" t="s">
        <v>1482</v>
      </c>
      <c r="E71" s="1193" t="s">
        <v>1483</v>
      </c>
      <c r="F71" s="385">
        <f ca="1">F43</f>
        <v>296.95999999999998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10</v>
      </c>
      <c r="D75" s="1842"/>
      <c r="E75" s="1842"/>
      <c r="F75" s="1842"/>
      <c r="K75" s="1868"/>
      <c r="L75" s="1842"/>
      <c r="O75" s="1884" t="s">
        <v>1042</v>
      </c>
      <c r="P75" s="1885" t="s">
        <v>1543</v>
      </c>
      <c r="Q75" s="1886">
        <f ca="1">Q65+Q66</f>
        <v>521</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0.61499999999999999</v>
      </c>
    </row>
    <row r="80" spans="1:18">
      <c r="B80" s="386" t="s">
        <v>1505</v>
      </c>
      <c r="C80" s="318">
        <f ca="1">ROUND(C75/C39,3)</f>
        <v>0.38500000000000001</v>
      </c>
    </row>
    <row r="81" spans="2:3">
      <c r="B81" s="314" t="s">
        <v>1506</v>
      </c>
      <c r="C81" s="282"/>
    </row>
    <row r="82" spans="2:3">
      <c r="B82" s="317" t="s">
        <v>1507</v>
      </c>
      <c r="C82" s="319">
        <f ca="1">1-C83</f>
        <v>0.78100000000000003</v>
      </c>
    </row>
    <row r="83" spans="2:3">
      <c r="B83" s="317" t="s">
        <v>1508</v>
      </c>
      <c r="C83" s="318">
        <f ca="1">ROUND(C13/C40,3)</f>
        <v>0.219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206" t="s">
        <v>1397</v>
      </c>
      <c r="C6" s="1296">
        <f ca="1">ROUND(F6*F8*F7*(1-F9),0)</f>
        <v>0</v>
      </c>
      <c r="D6" s="164" t="s">
        <v>3028</v>
      </c>
      <c r="E6" s="347" t="s">
        <v>1399</v>
      </c>
      <c r="F6" s="348">
        <f ca="1">INDIRECT("'数据-取费表'!u"&amp;$G$1)</f>
        <v>0</v>
      </c>
      <c r="G6" s="1851"/>
      <c r="H6" s="1291" t="s">
        <v>1031</v>
      </c>
      <c r="I6" s="3206" t="s">
        <v>1397</v>
      </c>
      <c r="J6" s="346">
        <f ca="1">ROUND(M6*M8*M7*(1-M9),0)</f>
        <v>0</v>
      </c>
      <c r="K6" s="1834" t="s">
        <v>3029</v>
      </c>
      <c r="L6" s="347" t="s">
        <v>1399</v>
      </c>
      <c r="M6" s="348">
        <f ca="1">INDIRECT("'数据-取费表'!z"&amp;$G$1)</f>
        <v>0</v>
      </c>
    </row>
    <row r="7" spans="1:37" ht="18" customHeight="1">
      <c r="A7" s="1295"/>
      <c r="B7" s="3207"/>
      <c r="C7" s="1297"/>
      <c r="D7" s="352"/>
      <c r="E7" s="1298" t="s">
        <v>1400</v>
      </c>
      <c r="F7" s="348">
        <f ca="1">IF(INDIRECT("'数据-取费表'!ah"&amp;$G$1)="",INDIRECT("'数据-取费表'!k"&amp;$G$1),INDIRECT("'数据-取费表'!ah"&amp;$G$1))</f>
        <v>0</v>
      </c>
      <c r="G7" s="1851"/>
      <c r="H7" s="349"/>
      <c r="I7" s="3207"/>
      <c r="J7" s="351"/>
      <c r="K7" s="352"/>
      <c r="L7" s="347" t="s">
        <v>1400</v>
      </c>
      <c r="M7" s="348">
        <f ca="1">F7</f>
        <v>0</v>
      </c>
    </row>
    <row r="8" spans="1:37" ht="18" customHeight="1">
      <c r="A8" s="349"/>
      <c r="B8" s="3207"/>
      <c r="C8" s="351"/>
      <c r="D8" s="352"/>
      <c r="E8" s="347" t="s">
        <v>1401</v>
      </c>
      <c r="F8" s="348">
        <f ca="1">INDIRECT("'数据-取费表'!ai"&amp;$G$1)</f>
        <v>0</v>
      </c>
      <c r="G8" s="1851"/>
      <c r="H8" s="349"/>
      <c r="I8" s="3207"/>
      <c r="J8" s="351"/>
      <c r="K8" s="352"/>
      <c r="L8" s="347" t="s">
        <v>1401</v>
      </c>
      <c r="M8" s="348">
        <f ca="1">INDIRECT("'数据-取费表'!ai"&amp;$G$1)</f>
        <v>0</v>
      </c>
    </row>
    <row r="9" spans="1:37" ht="18" customHeight="1">
      <c r="A9" s="349"/>
      <c r="B9" s="3208"/>
      <c r="C9" s="351"/>
      <c r="D9" s="352"/>
      <c r="E9" s="347" t="s">
        <v>1402</v>
      </c>
      <c r="F9" s="357">
        <f ca="1">INDIRECT("'数据-取费表'!w"&amp;$G$1)</f>
        <v>0</v>
      </c>
      <c r="G9" s="1851"/>
      <c r="H9" s="349"/>
      <c r="I9" s="3208"/>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35" t="s">
        <v>3041</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0</v>
      </c>
      <c r="D45" s="1939" t="s">
        <v>1598</v>
      </c>
      <c r="E45" s="1866"/>
      <c r="F45" s="1866"/>
      <c r="O45" s="1869" t="s">
        <v>1513</v>
      </c>
      <c r="P45" s="1839"/>
      <c r="Q45" s="1839"/>
      <c r="R45" s="1839"/>
    </row>
    <row r="46" spans="1:18" s="1842" customFormat="1" ht="13.5" thickBot="1">
      <c r="A46" s="1870" t="s">
        <v>1514</v>
      </c>
      <c r="C46" s="1871">
        <f ca="1">ROUND(C45/10000,0)</f>
        <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40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31.84</v>
      </c>
      <c r="O48" s="1884" t="s">
        <v>1037</v>
      </c>
      <c r="P48" s="1885" t="s">
        <v>1526</v>
      </c>
      <c r="Q48" s="1886" t="str">
        <f ca="1">J60</f>
        <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3042</v>
      </c>
      <c r="E53" s="358" t="s">
        <v>1404</v>
      </c>
      <c r="F53" s="1366"/>
      <c r="I53" s="1905" t="s">
        <v>1541</v>
      </c>
      <c r="J53" s="2952">
        <f ca="1">IF(M47="住宅",IF(D1="——",MAX(J51,L48),MAX(J51,L48-'数据-取费表'!B24)),IF(D1="——",MIN(J51,L48),MIN(J51,L48-'数据-取费表'!B24)))</f>
        <v>0</v>
      </c>
      <c r="K53" s="3204" t="s">
        <v>1542</v>
      </c>
      <c r="L53" s="3205"/>
      <c r="O53" s="1884" t="s">
        <v>1042</v>
      </c>
      <c r="P53" s="1885" t="s">
        <v>1543</v>
      </c>
      <c r="Q53" s="1886">
        <f ca="1">Q47+Q48</f>
        <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31.84</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str">
        <f ca="1">IF(OR(M47="住宅",J51&lt;L48,J56="是"),"0",ROUND(J59/(1+J52)^J53,0))</f>
        <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5.5E-2</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2526</v>
      </c>
      <c r="B1" s="2564"/>
      <c r="C1" s="2564"/>
      <c r="D1" s="2564"/>
      <c r="E1" s="2565"/>
    </row>
    <row r="2" spans="1:6" ht="15.75">
      <c r="A2" s="2566" t="s">
        <v>2327</v>
      </c>
      <c r="B2" s="2567">
        <f ca="1">SUMIF(B6:B13,"&lt;&gt;#ref!",B6:B13)</f>
        <v>521</v>
      </c>
      <c r="C2" s="2568" t="s">
        <v>2519</v>
      </c>
      <c r="D2" s="2569" t="s">
        <v>2520</v>
      </c>
      <c r="E2" s="2570">
        <f>SUM(E6:E13)</f>
        <v>296.95999999999998</v>
      </c>
    </row>
    <row r="3" spans="1:6" ht="15.75">
      <c r="A3" s="2566" t="s">
        <v>1389</v>
      </c>
      <c r="B3" s="2567">
        <f ca="1">ROUND(B2*10000/E2,0)</f>
        <v>17544</v>
      </c>
      <c r="C3" s="2568" t="s">
        <v>2527</v>
      </c>
      <c r="D3" s="2571"/>
      <c r="E3" s="2572"/>
    </row>
    <row r="4" spans="1:6" ht="15.75">
      <c r="A4" s="2573"/>
      <c r="B4" s="2571"/>
      <c r="C4" s="2571"/>
      <c r="D4" s="2571"/>
      <c r="E4" s="2572"/>
    </row>
    <row r="5" spans="1:6" ht="15">
      <c r="A5" s="2574" t="s">
        <v>2521</v>
      </c>
      <c r="B5" s="3209" t="s">
        <v>2522</v>
      </c>
      <c r="C5" s="3209"/>
      <c r="D5" s="2575"/>
      <c r="E5" s="2576" t="s">
        <v>2523</v>
      </c>
      <c r="F5" s="2577" t="s">
        <v>2524</v>
      </c>
    </row>
    <row r="6" spans="1:6">
      <c r="A6" s="2578" t="str">
        <f>'数据-取费表'!AN6</f>
        <v>收益法</v>
      </c>
      <c r="B6" s="2577">
        <f ca="1">IF(F6="是",'数据-取费表'!AO6,0)</f>
        <v>521</v>
      </c>
      <c r="C6" s="2568" t="s">
        <v>2519</v>
      </c>
      <c r="D6" s="2571"/>
      <c r="E6" s="2579">
        <f>IF(OR(A6=0,F6="否"),0,'数据-取费表'!K6+'数据-取费表'!S6)</f>
        <v>296.95999999999998</v>
      </c>
      <c r="F6" s="2580" t="s">
        <v>2525</v>
      </c>
    </row>
    <row r="7" spans="1:6">
      <c r="A7" s="2578">
        <f>'数据-取费表'!AN7</f>
        <v>0</v>
      </c>
      <c r="B7" s="2577" t="e">
        <f ca="1">IF(F7="是",'数据-取费表'!AO7,0)</f>
        <v>#REF!</v>
      </c>
      <c r="C7" s="2568" t="s">
        <v>2519</v>
      </c>
      <c r="D7" s="2571"/>
      <c r="E7" s="2579">
        <f>IF(OR(A7=0,F7="否"),0,'数据-取费表'!K7+'数据-取费表'!S7)</f>
        <v>0</v>
      </c>
      <c r="F7" s="2580" t="s">
        <v>2525</v>
      </c>
    </row>
    <row r="8" spans="1:6">
      <c r="A8" s="2578">
        <f>'数据-取费表'!AN8</f>
        <v>0</v>
      </c>
      <c r="B8" s="2577" t="e">
        <f ca="1">IF(F8="是",'数据-取费表'!AO8,0)</f>
        <v>#REF!</v>
      </c>
      <c r="C8" s="2568" t="s">
        <v>2519</v>
      </c>
      <c r="D8" s="2571"/>
      <c r="E8" s="2579">
        <f>IF(OR(A8=0,F8="否"),0,'数据-取费表'!K8+'数据-取费表'!S8)</f>
        <v>0</v>
      </c>
      <c r="F8" s="2580" t="s">
        <v>2525</v>
      </c>
    </row>
    <row r="9" spans="1:6">
      <c r="A9" s="2578">
        <f>'数据-取费表'!AN9</f>
        <v>0</v>
      </c>
      <c r="B9" s="2577" t="e">
        <f ca="1">IF(F9="是",'数据-取费表'!AO9,0)</f>
        <v>#REF!</v>
      </c>
      <c r="C9" s="2568" t="s">
        <v>2519</v>
      </c>
      <c r="D9" s="2571"/>
      <c r="E9" s="2579">
        <f>IF(OR(A9=0,F9="否"),0,'数据-取费表'!K9+'数据-取费表'!S9)</f>
        <v>0</v>
      </c>
      <c r="F9" s="2580" t="s">
        <v>2525</v>
      </c>
    </row>
    <row r="10" spans="1:6">
      <c r="A10" s="2578">
        <f>'数据-取费表'!AN10</f>
        <v>0</v>
      </c>
      <c r="B10" s="2577" t="e">
        <f ca="1">IF(F10="是",'数据-取费表'!AO10,0)</f>
        <v>#REF!</v>
      </c>
      <c r="C10" s="2568" t="s">
        <v>2519</v>
      </c>
      <c r="D10" s="2571"/>
      <c r="E10" s="2579">
        <f>IF(OR(A10=0,F10="否"),0,'数据-取费表'!K10+'数据-取费表'!S10)</f>
        <v>0</v>
      </c>
      <c r="F10" s="2580" t="s">
        <v>2525</v>
      </c>
    </row>
    <row r="11" spans="1:6">
      <c r="A11" s="2578">
        <f>'数据-取费表'!AN11</f>
        <v>0</v>
      </c>
      <c r="B11" s="2577" t="e">
        <f ca="1">IF(F11="是",'数据-取费表'!AO11,0)</f>
        <v>#REF!</v>
      </c>
      <c r="C11" s="2568" t="s">
        <v>2519</v>
      </c>
      <c r="D11" s="2571"/>
      <c r="E11" s="2579">
        <f>IF(OR(A11=0,F11="否"),0,'数据-取费表'!K11+'数据-取费表'!S11)</f>
        <v>0</v>
      </c>
      <c r="F11" s="2580" t="s">
        <v>2525</v>
      </c>
    </row>
    <row r="12" spans="1:6">
      <c r="A12" s="2578">
        <f>'数据-取费表'!AN12</f>
        <v>0</v>
      </c>
      <c r="B12" s="2577" t="e">
        <f ca="1">IF(F12="是",'数据-取费表'!AO12,0)</f>
        <v>#REF!</v>
      </c>
      <c r="C12" s="2568" t="s">
        <v>2519</v>
      </c>
      <c r="D12" s="2571"/>
      <c r="E12" s="2579">
        <f>IF(OR(A12=0,F12="否"),0,'数据-取费表'!K12+'数据-取费表'!S12)</f>
        <v>0</v>
      </c>
      <c r="F12" s="2580" t="s">
        <v>2525</v>
      </c>
    </row>
    <row r="13" spans="1:6" ht="15" thickBot="1">
      <c r="A13" s="2581">
        <f>'数据-取费表'!AN13</f>
        <v>0</v>
      </c>
      <c r="B13" s="2577" t="e">
        <f ca="1">IF(F13="是",'数据-取费表'!AO13,0)</f>
        <v>#REF!</v>
      </c>
      <c r="C13" s="2582" t="s">
        <v>2519</v>
      </c>
      <c r="D13" s="2583"/>
      <c r="E13" s="2579">
        <f>IF(OR(A13=0,F13="否"),0,'数据-取费表'!K13+'数据-取费表'!S13)</f>
        <v>0</v>
      </c>
      <c r="F13" s="2580"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0" t="s">
        <v>1072</v>
      </c>
      <c r="B1" s="3211"/>
      <c r="C1" s="3212"/>
      <c r="D1" s="3213">
        <f>SUM(I10,I15,I20,I21,I23)</f>
        <v>0</v>
      </c>
      <c r="E1" s="3213"/>
      <c r="F1" s="3213"/>
      <c r="G1" s="3213"/>
      <c r="H1" s="3213"/>
      <c r="I1" s="3214"/>
    </row>
    <row r="2" spans="1:9">
      <c r="A2" s="3215" t="s">
        <v>1073</v>
      </c>
      <c r="B2" s="3216" t="s">
        <v>1074</v>
      </c>
      <c r="C2" s="3216"/>
      <c r="D2" s="1301" t="s">
        <v>1075</v>
      </c>
      <c r="E2" s="1301" t="s">
        <v>1076</v>
      </c>
      <c r="F2" s="1301" t="s">
        <v>1077</v>
      </c>
      <c r="G2" s="1301" t="s">
        <v>1078</v>
      </c>
      <c r="H2" s="1301" t="s">
        <v>1079</v>
      </c>
      <c r="I2" s="1302" t="s">
        <v>1080</v>
      </c>
    </row>
    <row r="3" spans="1:9">
      <c r="A3" s="3215"/>
      <c r="B3" s="3216" t="s">
        <v>1081</v>
      </c>
      <c r="C3" s="3216"/>
      <c r="D3" s="1303"/>
      <c r="E3" s="1301"/>
      <c r="F3" s="1304"/>
      <c r="G3" s="1304"/>
      <c r="H3" s="1305"/>
      <c r="I3" s="1306">
        <f>ROUND(D3*E3*F3*G3*H3/10000,0)</f>
        <v>0</v>
      </c>
    </row>
    <row r="4" spans="1:9">
      <c r="A4" s="3215"/>
      <c r="B4" s="3216" t="s">
        <v>1082</v>
      </c>
      <c r="C4" s="3216"/>
      <c r="D4" s="1303"/>
      <c r="E4" s="1301"/>
      <c r="F4" s="1304"/>
      <c r="G4" s="1304"/>
      <c r="H4" s="1305"/>
      <c r="I4" s="1306">
        <f t="shared" ref="I4:I9" si="0">ROUND(D4*E4*F4*G4*H4/10000,0)</f>
        <v>0</v>
      </c>
    </row>
    <row r="5" spans="1:9">
      <c r="A5" s="3215"/>
      <c r="B5" s="3216" t="s">
        <v>1083</v>
      </c>
      <c r="C5" s="3216"/>
      <c r="D5" s="1303"/>
      <c r="E5" s="1301"/>
      <c r="F5" s="1304"/>
      <c r="G5" s="1304"/>
      <c r="H5" s="1305"/>
      <c r="I5" s="1306">
        <f t="shared" si="0"/>
        <v>0</v>
      </c>
    </row>
    <row r="6" spans="1:9">
      <c r="A6" s="3215"/>
      <c r="B6" s="3216" t="s">
        <v>1084</v>
      </c>
      <c r="C6" s="3216"/>
      <c r="D6" s="1303"/>
      <c r="E6" s="1301"/>
      <c r="F6" s="1304"/>
      <c r="G6" s="1304"/>
      <c r="H6" s="1305"/>
      <c r="I6" s="1306">
        <f t="shared" si="0"/>
        <v>0</v>
      </c>
    </row>
    <row r="7" spans="1:9">
      <c r="A7" s="3215"/>
      <c r="B7" s="3216" t="s">
        <v>1085</v>
      </c>
      <c r="C7" s="3216"/>
      <c r="D7" s="1303"/>
      <c r="E7" s="1301"/>
      <c r="F7" s="1304"/>
      <c r="G7" s="1304"/>
      <c r="H7" s="1305"/>
      <c r="I7" s="1306">
        <f t="shared" si="0"/>
        <v>0</v>
      </c>
    </row>
    <row r="8" spans="1:9">
      <c r="A8" s="3215"/>
      <c r="B8" s="3216" t="s">
        <v>1086</v>
      </c>
      <c r="C8" s="3216"/>
      <c r="D8" s="1303"/>
      <c r="E8" s="1301"/>
      <c r="F8" s="1304"/>
      <c r="G8" s="1304"/>
      <c r="H8" s="1305"/>
      <c r="I8" s="1306">
        <f t="shared" si="0"/>
        <v>0</v>
      </c>
    </row>
    <row r="9" spans="1:9">
      <c r="A9" s="3215"/>
      <c r="B9" s="3216" t="s">
        <v>1087</v>
      </c>
      <c r="C9" s="3216"/>
      <c r="D9" s="1303"/>
      <c r="E9" s="1301"/>
      <c r="F9" s="1304"/>
      <c r="G9" s="1304"/>
      <c r="H9" s="1305"/>
      <c r="I9" s="1306">
        <f t="shared" si="0"/>
        <v>0</v>
      </c>
    </row>
    <row r="10" spans="1:9">
      <c r="A10" s="3215"/>
      <c r="B10" s="3217" t="s">
        <v>1088</v>
      </c>
      <c r="C10" s="3217"/>
      <c r="D10" s="1307"/>
      <c r="E10" s="1307" t="e">
        <f>ROUND(D1*10000/D10/H9,0)</f>
        <v>#DIV/0!</v>
      </c>
      <c r="F10" s="1308"/>
      <c r="G10" s="1308"/>
      <c r="H10" s="1309"/>
      <c r="I10" s="1310">
        <f>SUM(I3:I9)</f>
        <v>0</v>
      </c>
    </row>
    <row r="11" spans="1:9" ht="14.25">
      <c r="A11" s="3215" t="s">
        <v>1089</v>
      </c>
      <c r="B11" s="3216" t="s">
        <v>1090</v>
      </c>
      <c r="C11" s="3216"/>
      <c r="D11" s="1303" t="s">
        <v>1091</v>
      </c>
      <c r="E11" s="1303" t="s">
        <v>1092</v>
      </c>
      <c r="F11" s="1304" t="s">
        <v>1093</v>
      </c>
      <c r="G11" s="1304" t="s">
        <v>1079</v>
      </c>
      <c r="H11" s="1311" t="s">
        <v>1094</v>
      </c>
      <c r="I11" s="1302" t="s">
        <v>1080</v>
      </c>
    </row>
    <row r="12" spans="1:9">
      <c r="A12" s="3215"/>
      <c r="B12" s="3216" t="s">
        <v>1095</v>
      </c>
      <c r="C12" s="3216"/>
      <c r="D12" s="1303"/>
      <c r="E12" s="1303"/>
      <c r="F12" s="1304"/>
      <c r="G12" s="1305"/>
      <c r="H12" s="1312"/>
      <c r="I12" s="1302">
        <f>ROUND(D12*E12*F12*G12/10000,0)</f>
        <v>0</v>
      </c>
    </row>
    <row r="13" spans="1:9">
      <c r="A13" s="3215"/>
      <c r="B13" s="3216" t="s">
        <v>1096</v>
      </c>
      <c r="C13" s="3216"/>
      <c r="D13" s="1303"/>
      <c r="E13" s="1303"/>
      <c r="F13" s="1304"/>
      <c r="G13" s="1305"/>
      <c r="H13" s="1312"/>
      <c r="I13" s="1302">
        <f>ROUND(D13*E13*F13*G13/10000,0)</f>
        <v>0</v>
      </c>
    </row>
    <row r="14" spans="1:9">
      <c r="A14" s="3215"/>
      <c r="B14" s="3216" t="s">
        <v>1097</v>
      </c>
      <c r="C14" s="3216"/>
      <c r="D14" s="1303"/>
      <c r="E14" s="1303"/>
      <c r="F14" s="1304"/>
      <c r="G14" s="1305"/>
      <c r="H14" s="1312"/>
      <c r="I14" s="1302">
        <f>ROUND(D14*E14*F14*G14/10000,0)</f>
        <v>0</v>
      </c>
    </row>
    <row r="15" spans="1:9">
      <c r="A15" s="3215"/>
      <c r="B15" s="3217" t="s">
        <v>1088</v>
      </c>
      <c r="C15" s="3217"/>
      <c r="D15" s="1307"/>
      <c r="E15" s="1307">
        <f>SUM(E12:E14)</f>
        <v>0</v>
      </c>
      <c r="F15" s="1308"/>
      <c r="G15" s="1305"/>
      <c r="H15" s="1312"/>
      <c r="I15" s="1313">
        <f>SUM(I12:I14)</f>
        <v>0</v>
      </c>
    </row>
    <row r="16" spans="1:9" ht="24">
      <c r="A16" s="3215" t="s">
        <v>1098</v>
      </c>
      <c r="B16" s="3216" t="s">
        <v>1099</v>
      </c>
      <c r="C16" s="3216"/>
      <c r="D16" s="1303" t="s">
        <v>1075</v>
      </c>
      <c r="E16" s="1314" t="s">
        <v>1100</v>
      </c>
      <c r="F16" s="1304" t="s">
        <v>1101</v>
      </c>
      <c r="G16" s="1305" t="s">
        <v>1079</v>
      </c>
      <c r="H16" s="1311" t="s">
        <v>1094</v>
      </c>
      <c r="I16" s="1302" t="s">
        <v>1080</v>
      </c>
    </row>
    <row r="17" spans="1:9" ht="14.25">
      <c r="A17" s="3215"/>
      <c r="B17" s="3216" t="s">
        <v>1102</v>
      </c>
      <c r="C17" s="3216"/>
      <c r="D17" s="1303"/>
      <c r="E17" s="1303"/>
      <c r="F17" s="1304"/>
      <c r="G17" s="1305"/>
      <c r="H17" s="1315"/>
      <c r="I17" s="1316">
        <f>ROUND(D17*E17*F17*G17/10000,0)</f>
        <v>0</v>
      </c>
    </row>
    <row r="18" spans="1:9" ht="14.25">
      <c r="A18" s="3215"/>
      <c r="B18" s="3216" t="s">
        <v>1103</v>
      </c>
      <c r="C18" s="3216"/>
      <c r="D18" s="1303"/>
      <c r="E18" s="1303"/>
      <c r="F18" s="1304"/>
      <c r="G18" s="1305"/>
      <c r="H18" s="1315"/>
      <c r="I18" s="1316">
        <f>ROUND(D18*E18*F18*G18/10000,0)</f>
        <v>0</v>
      </c>
    </row>
    <row r="19" spans="1:9" ht="14.25">
      <c r="A19" s="3215"/>
      <c r="B19" s="3216" t="s">
        <v>1104</v>
      </c>
      <c r="C19" s="3216"/>
      <c r="D19" s="1303"/>
      <c r="E19" s="1303"/>
      <c r="F19" s="1304"/>
      <c r="G19" s="1305"/>
      <c r="H19" s="1315"/>
      <c r="I19" s="1316">
        <f>ROUND(D19*E19*F19*G19/10000,0)</f>
        <v>0</v>
      </c>
    </row>
    <row r="20" spans="1:9">
      <c r="A20" s="3215"/>
      <c r="B20" s="3217" t="s">
        <v>1088</v>
      </c>
      <c r="C20" s="3217"/>
      <c r="D20" s="1307">
        <f>SUM(D17:D19)</f>
        <v>0</v>
      </c>
      <c r="E20" s="1307"/>
      <c r="F20" s="1308"/>
      <c r="G20" s="1305"/>
      <c r="H20" s="1312"/>
      <c r="I20" s="1313">
        <f>SUM(I17:I19)</f>
        <v>0</v>
      </c>
    </row>
    <row r="21" spans="1:9">
      <c r="A21" s="3215" t="s">
        <v>1105</v>
      </c>
      <c r="B21" s="3219"/>
      <c r="C21" s="3219"/>
      <c r="D21" s="3219"/>
      <c r="E21" s="3219"/>
      <c r="F21" s="3219"/>
      <c r="G21" s="3219"/>
      <c r="H21" s="1765">
        <v>0.1</v>
      </c>
      <c r="I21" s="1310">
        <f>ROUND(I10*H21,0)</f>
        <v>0</v>
      </c>
    </row>
    <row r="22" spans="1:9" ht="14.25">
      <c r="A22" s="3220" t="s">
        <v>1106</v>
      </c>
      <c r="B22" s="3221"/>
      <c r="C22" s="3222"/>
      <c r="D22" s="1317" t="s">
        <v>1107</v>
      </c>
      <c r="E22" s="1317" t="s">
        <v>1108</v>
      </c>
      <c r="F22" s="1318" t="s">
        <v>1109</v>
      </c>
      <c r="G22" s="1318" t="s">
        <v>1110</v>
      </c>
      <c r="H22" s="1311" t="s">
        <v>1111</v>
      </c>
      <c r="I22" s="1302" t="s">
        <v>1112</v>
      </c>
    </row>
    <row r="23" spans="1:9" ht="14.25" thickBot="1">
      <c r="A23" s="3223"/>
      <c r="B23" s="3224"/>
      <c r="C23" s="3225"/>
      <c r="D23" s="1319"/>
      <c r="E23" s="1319"/>
      <c r="F23" s="1319"/>
      <c r="G23" s="1320"/>
      <c r="H23" s="1321"/>
      <c r="I23" s="1322">
        <f>ROUND(E23*D23*F23*(1-G23)/10000,0)</f>
        <v>0</v>
      </c>
    </row>
    <row r="26" spans="1:9">
      <c r="A26" s="1323" t="s">
        <v>1113</v>
      </c>
      <c r="B26" s="1323"/>
      <c r="C26" s="1323"/>
      <c r="D26" s="1323"/>
      <c r="E26" s="3226">
        <f>C27-C30-C31-C32</f>
        <v>0</v>
      </c>
      <c r="F26" s="3226"/>
      <c r="G26" s="3226"/>
      <c r="H26" s="1737" t="s">
        <v>1335</v>
      </c>
    </row>
    <row r="27" spans="1:9">
      <c r="A27" s="1324">
        <v>1</v>
      </c>
      <c r="B27" s="1325" t="s">
        <v>1114</v>
      </c>
      <c r="C27" s="1325">
        <f>C28+C29</f>
        <v>0</v>
      </c>
      <c r="D27" s="1325"/>
      <c r="E27" s="3227"/>
      <c r="F27" s="3227"/>
      <c r="G27" s="3227"/>
    </row>
    <row r="28" spans="1:9">
      <c r="A28" s="1326" t="s">
        <v>1115</v>
      </c>
      <c r="B28" s="1325" t="s">
        <v>1116</v>
      </c>
      <c r="C28" s="1325"/>
      <c r="D28" s="1325"/>
      <c r="E28" s="3227"/>
      <c r="F28" s="3227"/>
      <c r="G28" s="322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18"/>
      <c r="F32" s="3218"/>
      <c r="G32" s="3218"/>
    </row>
    <row r="33" spans="1:7" hidden="1">
      <c r="A33" s="3228" t="s">
        <v>1125</v>
      </c>
      <c r="B33" s="3229"/>
      <c r="C33" s="3229"/>
      <c r="D33" s="3230"/>
      <c r="E33" s="3226"/>
      <c r="F33" s="3226"/>
      <c r="G33" s="3226"/>
    </row>
    <row r="34" spans="1:7" hidden="1">
      <c r="A34" s="1328">
        <v>1</v>
      </c>
      <c r="B34" s="1325" t="s">
        <v>1126</v>
      </c>
      <c r="C34" s="1325"/>
      <c r="D34" s="1325"/>
      <c r="E34" s="3227"/>
      <c r="F34" s="3227"/>
      <c r="G34" s="3227"/>
    </row>
    <row r="35" spans="1:7" hidden="1">
      <c r="A35" s="1328">
        <v>2</v>
      </c>
      <c r="B35" s="1325" t="s">
        <v>1127</v>
      </c>
      <c r="C35" s="1325"/>
      <c r="D35" s="1325"/>
      <c r="E35" s="3227"/>
      <c r="F35" s="3227"/>
      <c r="G35" s="3227"/>
    </row>
    <row r="36" spans="1:7" hidden="1">
      <c r="A36" s="1328">
        <v>3</v>
      </c>
      <c r="B36" s="1325" t="s">
        <v>1128</v>
      </c>
      <c r="C36" s="1325"/>
      <c r="D36" s="1325"/>
      <c r="E36" s="3227"/>
      <c r="F36" s="3227"/>
      <c r="G36" s="3227"/>
    </row>
    <row r="37" spans="1:7" hidden="1">
      <c r="A37" s="1328">
        <v>4</v>
      </c>
      <c r="B37" s="1325" t="s">
        <v>1129</v>
      </c>
      <c r="C37" s="1325"/>
      <c r="D37" s="1325"/>
      <c r="E37" s="3227"/>
      <c r="F37" s="3227"/>
      <c r="G37" s="3227"/>
    </row>
    <row r="38" spans="1:7" hidden="1">
      <c r="A38" s="3228" t="s">
        <v>1130</v>
      </c>
      <c r="B38" s="3229"/>
      <c r="C38" s="3229"/>
      <c r="D38" s="3230"/>
      <c r="E38" s="3226"/>
      <c r="F38" s="3226"/>
      <c r="G38" s="32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2529</v>
      </c>
      <c r="C1" s="1634" t="s">
        <v>2530</v>
      </c>
      <c r="D1" s="1621"/>
      <c r="E1" s="2585"/>
      <c r="F1" s="2586" t="s">
        <v>2531</v>
      </c>
      <c r="G1" s="1631" t="s">
        <v>2532</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2533</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2534</v>
      </c>
      <c r="D3" s="399">
        <f>IF(D1="",'数据-汇总表'!E3,SUMIF('数据-汇总表'!$C19:$C33,D1,'数据-汇总表'!$E19:$E33))</f>
        <v>708.8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2535</v>
      </c>
      <c r="B4" s="402"/>
      <c r="C4" s="3249" t="s">
        <v>2536</v>
      </c>
      <c r="D4" s="3250"/>
      <c r="E4" s="3251" t="s">
        <v>2537</v>
      </c>
      <c r="F4" s="3252"/>
      <c r="G4" s="3249" t="s">
        <v>2538</v>
      </c>
      <c r="H4" s="3250"/>
      <c r="I4" s="3249" t="s">
        <v>2539</v>
      </c>
      <c r="J4" s="3250"/>
      <c r="K4" s="2598" t="s">
        <v>2540</v>
      </c>
      <c r="L4" s="1130"/>
      <c r="M4" s="1131"/>
      <c r="N4" s="1131"/>
      <c r="O4" s="1131"/>
      <c r="P4" s="3253" t="s">
        <v>2541</v>
      </c>
      <c r="Q4" s="3254"/>
      <c r="R4" s="3236" t="s">
        <v>2537</v>
      </c>
      <c r="S4" s="3237"/>
      <c r="T4" s="3236" t="s">
        <v>2538</v>
      </c>
      <c r="U4" s="3237"/>
      <c r="V4" s="3261" t="s">
        <v>2539</v>
      </c>
      <c r="W4" s="3261"/>
      <c r="X4" s="1813"/>
      <c r="Y4" s="3236" t="s">
        <v>2541</v>
      </c>
      <c r="Z4" s="3237"/>
      <c r="AA4" s="3231" t="s">
        <v>2537</v>
      </c>
      <c r="AB4" s="3231" t="s">
        <v>2538</v>
      </c>
      <c r="AC4" s="3231" t="s">
        <v>2539</v>
      </c>
    </row>
    <row r="5" spans="1:29" ht="15">
      <c r="A5" s="404"/>
      <c r="B5" s="405"/>
      <c r="C5" s="3242" t="s">
        <v>2542</v>
      </c>
      <c r="D5" s="3243"/>
      <c r="E5" s="3240" t="s">
        <v>2543</v>
      </c>
      <c r="F5" s="3241"/>
      <c r="G5" s="3242" t="s">
        <v>2544</v>
      </c>
      <c r="H5" s="3243"/>
      <c r="I5" s="3242" t="s">
        <v>2545</v>
      </c>
      <c r="J5" s="3243"/>
      <c r="K5" s="2599"/>
      <c r="L5" s="1130"/>
      <c r="M5" s="1131"/>
      <c r="N5" s="1131"/>
      <c r="O5" s="1131"/>
      <c r="P5" s="3255"/>
      <c r="Q5" s="3256"/>
      <c r="R5" s="3238"/>
      <c r="S5" s="3239"/>
      <c r="T5" s="3238"/>
      <c r="U5" s="3239"/>
      <c r="V5" s="3261"/>
      <c r="W5" s="3261"/>
      <c r="X5" s="1813"/>
      <c r="Y5" s="3238"/>
      <c r="Z5" s="3239"/>
      <c r="AA5" s="3232"/>
      <c r="AB5" s="3232"/>
      <c r="AC5" s="3232"/>
    </row>
    <row r="6" spans="1:29" ht="15.75" thickBot="1">
      <c r="A6" s="406"/>
      <c r="B6" s="407"/>
      <c r="C6" s="3244" t="s">
        <v>2546</v>
      </c>
      <c r="D6" s="3245"/>
      <c r="E6" s="3246" t="s">
        <v>2546</v>
      </c>
      <c r="F6" s="3247"/>
      <c r="G6" s="3244" t="s">
        <v>2546</v>
      </c>
      <c r="H6" s="3245"/>
      <c r="I6" s="3244" t="s">
        <v>2546</v>
      </c>
      <c r="J6" s="3245"/>
      <c r="K6" s="2599" t="s">
        <v>2547</v>
      </c>
      <c r="L6" s="1130"/>
      <c r="M6" s="1131"/>
      <c r="N6" s="1131"/>
      <c r="O6" s="1131"/>
      <c r="P6" s="3257"/>
      <c r="Q6" s="3258"/>
      <c r="R6" s="3238"/>
      <c r="S6" s="3239"/>
      <c r="T6" s="3259"/>
      <c r="U6" s="3260"/>
      <c r="V6" s="3261"/>
      <c r="W6" s="3261"/>
      <c r="X6" s="1813"/>
      <c r="Y6" s="3259"/>
      <c r="Z6" s="3260"/>
      <c r="AA6" s="3233"/>
      <c r="AB6" s="3233"/>
      <c r="AC6" s="3233"/>
    </row>
    <row r="7" spans="1:29" s="117" customFormat="1" ht="15.75" thickBot="1">
      <c r="A7" s="408" t="s">
        <v>2548</v>
      </c>
      <c r="B7" s="409"/>
      <c r="C7" s="410">
        <f>'数据-取费表'!B2</f>
        <v>43914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4" t="s">
        <v>2549</v>
      </c>
      <c r="Q7" s="3262"/>
      <c r="R7" s="770" t="s">
        <v>23</v>
      </c>
      <c r="S7" s="771">
        <f t="shared" ref="S7:S15" si="0">F7</f>
        <v>0</v>
      </c>
      <c r="T7" s="770" t="s">
        <v>23</v>
      </c>
      <c r="U7" s="771">
        <f t="shared" ref="U7:U15" si="1">H7</f>
        <v>0</v>
      </c>
      <c r="V7" s="770" t="s">
        <v>23</v>
      </c>
      <c r="W7" s="771">
        <f t="shared" ref="W7:W15" si="2">J7</f>
        <v>0</v>
      </c>
      <c r="X7" s="772"/>
      <c r="Y7" s="3234" t="s">
        <v>2549</v>
      </c>
      <c r="Z7" s="3235"/>
      <c r="AA7" s="773" t="e">
        <f>D7/F7</f>
        <v>#DIV/0!</v>
      </c>
      <c r="AB7" s="773" t="e">
        <f>D7/H7</f>
        <v>#DIV/0!</v>
      </c>
      <c r="AC7" s="773" t="e">
        <f>D7/J7</f>
        <v>#DIV/0!</v>
      </c>
    </row>
    <row r="8" spans="1:29" s="117" customFormat="1" ht="15.75" thickBot="1">
      <c r="A8" s="408" t="s">
        <v>2550</v>
      </c>
      <c r="B8" s="409"/>
      <c r="C8" s="414" t="s">
        <v>2551</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4" t="s">
        <v>2552</v>
      </c>
      <c r="Q8" s="3235"/>
      <c r="R8" s="770" t="s">
        <v>23</v>
      </c>
      <c r="S8" s="771">
        <f t="shared" si="0"/>
        <v>0</v>
      </c>
      <c r="T8" s="770" t="s">
        <v>23</v>
      </c>
      <c r="U8" s="771">
        <f t="shared" si="1"/>
        <v>0</v>
      </c>
      <c r="V8" s="770" t="s">
        <v>23</v>
      </c>
      <c r="W8" s="771">
        <f t="shared" si="2"/>
        <v>0</v>
      </c>
      <c r="X8" s="772"/>
      <c r="Y8" s="3234" t="s">
        <v>2552</v>
      </c>
      <c r="Z8" s="3235"/>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48"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8"/>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8"/>
      <c r="Q11" s="1795" t="str">
        <f t="shared" si="6"/>
        <v>容积率</v>
      </c>
      <c r="R11" s="770" t="s">
        <v>21</v>
      </c>
      <c r="S11" s="771" t="e">
        <f t="shared" si="0"/>
        <v>#N/A</v>
      </c>
      <c r="T11" s="770" t="s">
        <v>21</v>
      </c>
      <c r="U11" s="771" t="e">
        <f t="shared" si="1"/>
        <v>#N/A</v>
      </c>
      <c r="V11" s="770" t="s">
        <v>21</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48"/>
      <c r="Q12" s="1795">
        <f t="shared" si="6"/>
        <v>111</v>
      </c>
      <c r="R12" s="770" t="s">
        <v>21</v>
      </c>
      <c r="S12" s="771">
        <f t="shared" si="0"/>
        <v>100</v>
      </c>
      <c r="T12" s="770" t="s">
        <v>21</v>
      </c>
      <c r="U12" s="771">
        <f t="shared" si="1"/>
        <v>100</v>
      </c>
      <c r="V12" s="770" t="s">
        <v>21</v>
      </c>
      <c r="W12" s="771">
        <f t="shared" si="2"/>
        <v>100</v>
      </c>
      <c r="X12" s="772"/>
      <c r="Y12" s="308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48"/>
      <c r="Q13" s="1795">
        <f t="shared" si="6"/>
        <v>111</v>
      </c>
      <c r="R13" s="770" t="s">
        <v>21</v>
      </c>
      <c r="S13" s="771">
        <f t="shared" si="0"/>
        <v>100</v>
      </c>
      <c r="T13" s="770" t="s">
        <v>21</v>
      </c>
      <c r="U13" s="771">
        <f t="shared" si="1"/>
        <v>100</v>
      </c>
      <c r="V13" s="770" t="s">
        <v>21</v>
      </c>
      <c r="W13" s="771">
        <f t="shared" si="2"/>
        <v>100</v>
      </c>
      <c r="X13" s="772"/>
      <c r="Y13" s="308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48"/>
      <c r="Q14" s="1795">
        <f t="shared" si="6"/>
        <v>111</v>
      </c>
      <c r="R14" s="770" t="s">
        <v>21</v>
      </c>
      <c r="S14" s="771">
        <f t="shared" si="0"/>
        <v>100</v>
      </c>
      <c r="T14" s="770" t="s">
        <v>21</v>
      </c>
      <c r="U14" s="771">
        <f t="shared" si="1"/>
        <v>100</v>
      </c>
      <c r="V14" s="770" t="s">
        <v>21</v>
      </c>
      <c r="W14" s="771">
        <f t="shared" si="2"/>
        <v>100</v>
      </c>
      <c r="X14" s="772"/>
      <c r="Y14" s="3081"/>
      <c r="Z14" s="55">
        <f t="shared" si="7"/>
        <v>111</v>
      </c>
      <c r="AA14" s="773">
        <f t="shared" si="3"/>
        <v>1</v>
      </c>
      <c r="AB14" s="773">
        <f t="shared" si="4"/>
        <v>1</v>
      </c>
      <c r="AC14" s="773">
        <f t="shared" si="5"/>
        <v>1</v>
      </c>
    </row>
    <row r="15" spans="1:29" ht="99.75">
      <c r="A15" s="440" t="s">
        <v>2559</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5" t="s">
        <v>2560</v>
      </c>
      <c r="Q15" s="1810" t="str">
        <f t="shared" si="6"/>
        <v>居住社区成熟度</v>
      </c>
      <c r="R15" s="774" t="s">
        <v>21</v>
      </c>
      <c r="S15" s="775">
        <f t="shared" si="0"/>
        <v>100</v>
      </c>
      <c r="T15" s="774" t="s">
        <v>21</v>
      </c>
      <c r="U15" s="775">
        <f t="shared" si="1"/>
        <v>100</v>
      </c>
      <c r="V15" s="774" t="s">
        <v>21</v>
      </c>
      <c r="W15" s="775">
        <f t="shared" si="2"/>
        <v>100</v>
      </c>
      <c r="X15" s="1813"/>
      <c r="Y15" s="3268" t="s">
        <v>2560</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76"/>
      <c r="Q16" s="1810"/>
      <c r="R16" s="774"/>
      <c r="S16" s="775"/>
      <c r="T16" s="774"/>
      <c r="U16" s="775"/>
      <c r="V16" s="774"/>
      <c r="W16" s="775"/>
      <c r="X16" s="1813"/>
      <c r="Y16" s="3269"/>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6"/>
      <c r="Q17" s="1810" t="str">
        <f>B17</f>
        <v>交通便捷度</v>
      </c>
      <c r="R17" s="774" t="s">
        <v>21</v>
      </c>
      <c r="S17" s="775">
        <f>F17</f>
        <v>100</v>
      </c>
      <c r="T17" s="774" t="s">
        <v>21</v>
      </c>
      <c r="U17" s="775">
        <f>H17</f>
        <v>100</v>
      </c>
      <c r="V17" s="774" t="s">
        <v>21</v>
      </c>
      <c r="W17" s="775">
        <f>J17</f>
        <v>100</v>
      </c>
      <c r="X17" s="1813"/>
      <c r="Y17" s="326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76"/>
      <c r="Q18" s="1810"/>
      <c r="R18" s="774"/>
      <c r="S18" s="775"/>
      <c r="T18" s="774"/>
      <c r="U18" s="775"/>
      <c r="V18" s="774"/>
      <c r="W18" s="775"/>
      <c r="X18" s="1813"/>
      <c r="Y18" s="3269"/>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6"/>
      <c r="Q19" s="1810" t="str">
        <f>B19</f>
        <v>公共配套设施</v>
      </c>
      <c r="R19" s="774" t="s">
        <v>21</v>
      </c>
      <c r="S19" s="775">
        <f>F19</f>
        <v>100</v>
      </c>
      <c r="T19" s="774" t="s">
        <v>21</v>
      </c>
      <c r="U19" s="775">
        <f>H19</f>
        <v>100</v>
      </c>
      <c r="V19" s="774" t="s">
        <v>21</v>
      </c>
      <c r="W19" s="775">
        <f>J19</f>
        <v>100</v>
      </c>
      <c r="X19" s="1813"/>
      <c r="Y19" s="326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76"/>
      <c r="Q20" s="1810"/>
      <c r="R20" s="774"/>
      <c r="S20" s="775"/>
      <c r="T20" s="774"/>
      <c r="U20" s="775"/>
      <c r="V20" s="774"/>
      <c r="W20" s="775"/>
      <c r="X20" s="1813"/>
      <c r="Y20" s="3269"/>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6"/>
      <c r="Q21" s="1810" t="str">
        <f>B21</f>
        <v>基础设施水平</v>
      </c>
      <c r="R21" s="774" t="s">
        <v>17</v>
      </c>
      <c r="S21" s="775">
        <f>F21</f>
        <v>100</v>
      </c>
      <c r="T21" s="774" t="s">
        <v>17</v>
      </c>
      <c r="U21" s="775">
        <f>H21</f>
        <v>100</v>
      </c>
      <c r="V21" s="774" t="s">
        <v>17</v>
      </c>
      <c r="W21" s="775">
        <f>J21</f>
        <v>100</v>
      </c>
      <c r="X21" s="1813"/>
      <c r="Y21" s="326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76"/>
      <c r="Q22" s="1810"/>
      <c r="R22" s="774"/>
      <c r="S22" s="775"/>
      <c r="T22" s="774"/>
      <c r="U22" s="775"/>
      <c r="V22" s="774"/>
      <c r="W22" s="775"/>
      <c r="X22" s="1813"/>
      <c r="Y22" s="3269"/>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6"/>
      <c r="Q23" s="1810" t="str">
        <f>B23</f>
        <v>自然及人文环境</v>
      </c>
      <c r="R23" s="774" t="s">
        <v>21</v>
      </c>
      <c r="S23" s="775">
        <f>F23</f>
        <v>100</v>
      </c>
      <c r="T23" s="774" t="s">
        <v>21</v>
      </c>
      <c r="U23" s="775">
        <f>H23</f>
        <v>100</v>
      </c>
      <c r="V23" s="774" t="s">
        <v>21</v>
      </c>
      <c r="W23" s="775">
        <f>J23</f>
        <v>100</v>
      </c>
      <c r="X23" s="1813"/>
      <c r="Y23" s="326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76"/>
      <c r="Q24" s="1810"/>
      <c r="R24" s="774"/>
      <c r="S24" s="775"/>
      <c r="T24" s="774"/>
      <c r="U24" s="775"/>
      <c r="V24" s="774"/>
      <c r="W24" s="775"/>
      <c r="X24" s="1813"/>
      <c r="Y24" s="3269"/>
      <c r="Z24" s="1814"/>
      <c r="AA24" s="1811">
        <v>1</v>
      </c>
      <c r="AB24" s="1811">
        <v>1</v>
      </c>
      <c r="AC24" s="1811">
        <v>1</v>
      </c>
    </row>
    <row r="25" spans="1:29" ht="15">
      <c r="A25" s="428"/>
      <c r="B25" s="422" t="s">
        <v>2561</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7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69"/>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76"/>
      <c r="Q26" s="1810" t="str">
        <f t="shared" si="11"/>
        <v>朝向</v>
      </c>
      <c r="R26" s="774" t="s">
        <v>21</v>
      </c>
      <c r="S26" s="775">
        <f t="shared" si="12"/>
        <v>100</v>
      </c>
      <c r="T26" s="774" t="s">
        <v>21</v>
      </c>
      <c r="U26" s="775">
        <f t="shared" si="13"/>
        <v>100</v>
      </c>
      <c r="V26" s="774" t="s">
        <v>21</v>
      </c>
      <c r="W26" s="775">
        <f t="shared" si="14"/>
        <v>100</v>
      </c>
      <c r="X26" s="1813"/>
      <c r="Y26" s="326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76"/>
      <c r="Q27" s="1795">
        <f t="shared" si="11"/>
        <v>111</v>
      </c>
      <c r="R27" s="770" t="s">
        <v>21</v>
      </c>
      <c r="S27" s="771">
        <f t="shared" si="12"/>
        <v>100</v>
      </c>
      <c r="T27" s="770" t="s">
        <v>21</v>
      </c>
      <c r="U27" s="771">
        <f t="shared" si="13"/>
        <v>100</v>
      </c>
      <c r="V27" s="770" t="s">
        <v>21</v>
      </c>
      <c r="W27" s="771">
        <f t="shared" si="14"/>
        <v>100</v>
      </c>
      <c r="X27" s="772"/>
      <c r="Y27" s="326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76"/>
      <c r="Q28" s="1810">
        <f t="shared" si="11"/>
        <v>111</v>
      </c>
      <c r="R28" s="774" t="s">
        <v>21</v>
      </c>
      <c r="S28" s="775">
        <f t="shared" si="12"/>
        <v>100</v>
      </c>
      <c r="T28" s="774" t="s">
        <v>21</v>
      </c>
      <c r="U28" s="775">
        <f t="shared" si="13"/>
        <v>100</v>
      </c>
      <c r="V28" s="774" t="s">
        <v>21</v>
      </c>
      <c r="W28" s="775">
        <f t="shared" si="14"/>
        <v>100</v>
      </c>
      <c r="X28" s="1813"/>
      <c r="Y28" s="326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76"/>
      <c r="Q29" s="1810">
        <f t="shared" si="11"/>
        <v>111</v>
      </c>
      <c r="R29" s="774" t="s">
        <v>21</v>
      </c>
      <c r="S29" s="775">
        <f t="shared" si="12"/>
        <v>100</v>
      </c>
      <c r="T29" s="774" t="s">
        <v>21</v>
      </c>
      <c r="U29" s="775">
        <f t="shared" si="13"/>
        <v>100</v>
      </c>
      <c r="V29" s="774" t="s">
        <v>21</v>
      </c>
      <c r="W29" s="775">
        <f t="shared" si="14"/>
        <v>100</v>
      </c>
      <c r="X29" s="1813"/>
      <c r="Y29" s="326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76"/>
      <c r="Q30" s="1810">
        <f t="shared" si="11"/>
        <v>111</v>
      </c>
      <c r="R30" s="774" t="s">
        <v>21</v>
      </c>
      <c r="S30" s="775">
        <f t="shared" si="12"/>
        <v>100</v>
      </c>
      <c r="T30" s="774" t="s">
        <v>21</v>
      </c>
      <c r="U30" s="775">
        <f t="shared" si="13"/>
        <v>100</v>
      </c>
      <c r="V30" s="774" t="s">
        <v>21</v>
      </c>
      <c r="W30" s="775">
        <f t="shared" si="14"/>
        <v>100</v>
      </c>
      <c r="X30" s="1813"/>
      <c r="Y30" s="326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76"/>
      <c r="Q31" s="1810">
        <f t="shared" si="11"/>
        <v>111</v>
      </c>
      <c r="R31" s="774" t="s">
        <v>21</v>
      </c>
      <c r="S31" s="775">
        <f t="shared" si="12"/>
        <v>100</v>
      </c>
      <c r="T31" s="774" t="s">
        <v>21</v>
      </c>
      <c r="U31" s="775">
        <f t="shared" si="13"/>
        <v>100</v>
      </c>
      <c r="V31" s="774" t="s">
        <v>21</v>
      </c>
      <c r="W31" s="775">
        <f t="shared" si="14"/>
        <v>100</v>
      </c>
      <c r="X31" s="1813"/>
      <c r="Y31" s="3269"/>
      <c r="Z31" s="1814">
        <f t="shared" si="18"/>
        <v>111</v>
      </c>
      <c r="AA31" s="1811">
        <f t="shared" si="15"/>
        <v>1</v>
      </c>
      <c r="AB31" s="1811">
        <f t="shared" si="16"/>
        <v>1</v>
      </c>
      <c r="AC31" s="1811">
        <f t="shared" si="17"/>
        <v>1</v>
      </c>
    </row>
    <row r="32" spans="1:29" ht="15">
      <c r="A32" s="440" t="s">
        <v>2563</v>
      </c>
      <c r="B32" s="71" t="s">
        <v>2564</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70" t="s">
        <v>2565</v>
      </c>
      <c r="Q32" s="1810" t="str">
        <f t="shared" si="11"/>
        <v>建筑类型</v>
      </c>
      <c r="R32" s="774" t="s">
        <v>21</v>
      </c>
      <c r="S32" s="775">
        <f t="shared" si="12"/>
        <v>100</v>
      </c>
      <c r="T32" s="774" t="s">
        <v>21</v>
      </c>
      <c r="U32" s="775">
        <f t="shared" si="13"/>
        <v>100</v>
      </c>
      <c r="V32" s="774" t="s">
        <v>21</v>
      </c>
      <c r="W32" s="775">
        <f t="shared" si="14"/>
        <v>100</v>
      </c>
      <c r="X32" s="1813"/>
      <c r="Y32" s="3273"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71"/>
      <c r="Q33" s="776" t="str">
        <f t="shared" si="11"/>
        <v>项目建筑规模</v>
      </c>
      <c r="R33" s="777" t="s">
        <v>21</v>
      </c>
      <c r="S33" s="778" t="e">
        <f t="shared" si="12"/>
        <v>#N/A</v>
      </c>
      <c r="T33" s="777" t="s">
        <v>21</v>
      </c>
      <c r="U33" s="778" t="e">
        <f t="shared" si="13"/>
        <v>#N/A</v>
      </c>
      <c r="V33" s="777" t="s">
        <v>21</v>
      </c>
      <c r="W33" s="778" t="e">
        <f t="shared" si="14"/>
        <v>#N/A</v>
      </c>
      <c r="X33" s="779"/>
      <c r="Y33" s="3273"/>
      <c r="Z33" s="780" t="str">
        <f t="shared" si="18"/>
        <v>项目建筑规模</v>
      </c>
      <c r="AA33" s="1811" t="e">
        <f t="shared" si="15"/>
        <v>#N/A</v>
      </c>
      <c r="AB33" s="1811" t="e">
        <f t="shared" si="16"/>
        <v>#N/A</v>
      </c>
      <c r="AC33" s="1811" t="e">
        <f t="shared" si="17"/>
        <v>#N/A</v>
      </c>
    </row>
    <row r="34" spans="1:29" ht="15">
      <c r="A34" s="472"/>
      <c r="B34" s="422" t="s">
        <v>2567</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71"/>
      <c r="Q34" s="1810" t="str">
        <f t="shared" si="11"/>
        <v>建筑结构</v>
      </c>
      <c r="R34" s="774" t="s">
        <v>21</v>
      </c>
      <c r="S34" s="775">
        <f t="shared" si="12"/>
        <v>100</v>
      </c>
      <c r="T34" s="774" t="s">
        <v>21</v>
      </c>
      <c r="U34" s="775">
        <f t="shared" si="13"/>
        <v>100</v>
      </c>
      <c r="V34" s="774" t="s">
        <v>21</v>
      </c>
      <c r="W34" s="775">
        <f t="shared" si="14"/>
        <v>100</v>
      </c>
      <c r="X34" s="1813"/>
      <c r="Y34" s="3273"/>
      <c r="Z34" s="1814" t="str">
        <f t="shared" si="18"/>
        <v>建筑结构</v>
      </c>
      <c r="AA34" s="1811">
        <f t="shared" si="15"/>
        <v>1</v>
      </c>
      <c r="AB34" s="1811">
        <f t="shared" si="16"/>
        <v>1</v>
      </c>
      <c r="AC34" s="1811">
        <f t="shared" si="17"/>
        <v>1</v>
      </c>
    </row>
    <row r="35" spans="1:29" ht="15">
      <c r="A35" s="472"/>
      <c r="B35" s="422" t="s">
        <v>2568</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71"/>
      <c r="Q35" s="1810" t="str">
        <f t="shared" si="11"/>
        <v>建筑品质</v>
      </c>
      <c r="R35" s="774" t="s">
        <v>21</v>
      </c>
      <c r="S35" s="775">
        <f t="shared" si="12"/>
        <v>100</v>
      </c>
      <c r="T35" s="774" t="s">
        <v>21</v>
      </c>
      <c r="U35" s="775">
        <f t="shared" si="13"/>
        <v>100</v>
      </c>
      <c r="V35" s="774" t="s">
        <v>21</v>
      </c>
      <c r="W35" s="775">
        <f t="shared" si="14"/>
        <v>100</v>
      </c>
      <c r="X35" s="1813"/>
      <c r="Y35" s="3273"/>
      <c r="Z35" s="1814" t="str">
        <f t="shared" si="18"/>
        <v>建筑品质</v>
      </c>
      <c r="AA35" s="1811">
        <f t="shared" si="15"/>
        <v>1</v>
      </c>
      <c r="AB35" s="1811">
        <f t="shared" si="16"/>
        <v>1</v>
      </c>
      <c r="AC35" s="1811">
        <f t="shared" si="17"/>
        <v>1</v>
      </c>
    </row>
    <row r="36" spans="1:29" ht="15">
      <c r="A36" s="472"/>
      <c r="B36" s="422" t="s">
        <v>2569</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71"/>
      <c r="Q36" s="1810" t="str">
        <f t="shared" si="11"/>
        <v>公共部分装修</v>
      </c>
      <c r="R36" s="774" t="s">
        <v>21</v>
      </c>
      <c r="S36" s="775">
        <f t="shared" si="12"/>
        <v>100</v>
      </c>
      <c r="T36" s="774" t="s">
        <v>21</v>
      </c>
      <c r="U36" s="775">
        <f t="shared" si="13"/>
        <v>100</v>
      </c>
      <c r="V36" s="774" t="s">
        <v>21</v>
      </c>
      <c r="W36" s="775">
        <f t="shared" si="14"/>
        <v>100</v>
      </c>
      <c r="X36" s="1813"/>
      <c r="Y36" s="3273"/>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1"/>
      <c r="Q37" s="1795" t="str">
        <f t="shared" si="11"/>
        <v>成新度</v>
      </c>
      <c r="R37" s="770" t="s">
        <v>21</v>
      </c>
      <c r="S37" s="771" t="e">
        <f t="shared" si="12"/>
        <v>#N/A</v>
      </c>
      <c r="T37" s="770" t="s">
        <v>21</v>
      </c>
      <c r="U37" s="771" t="e">
        <f t="shared" si="13"/>
        <v>#N/A</v>
      </c>
      <c r="V37" s="770" t="s">
        <v>21</v>
      </c>
      <c r="W37" s="771" t="e">
        <f t="shared" si="14"/>
        <v>#N/A</v>
      </c>
      <c r="X37" s="772"/>
      <c r="Y37" s="3273"/>
      <c r="Z37" s="55" t="str">
        <f t="shared" si="18"/>
        <v>成新度</v>
      </c>
      <c r="AA37" s="773" t="e">
        <f t="shared" si="15"/>
        <v>#N/A</v>
      </c>
      <c r="AB37" s="773" t="e">
        <f t="shared" si="16"/>
        <v>#N/A</v>
      </c>
      <c r="AC37" s="773" t="e">
        <f t="shared" si="17"/>
        <v>#N/A</v>
      </c>
    </row>
    <row r="38" spans="1:29" ht="15">
      <c r="A38" s="472"/>
      <c r="B38" s="422" t="s">
        <v>2571</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71" t="s">
        <v>2565</v>
      </c>
      <c r="Q38" s="1810" t="str">
        <f t="shared" si="11"/>
        <v>物业管理</v>
      </c>
      <c r="R38" s="774" t="s">
        <v>21</v>
      </c>
      <c r="S38" s="775">
        <f t="shared" si="12"/>
        <v>100</v>
      </c>
      <c r="T38" s="774" t="s">
        <v>21</v>
      </c>
      <c r="U38" s="775">
        <f t="shared" si="13"/>
        <v>100</v>
      </c>
      <c r="V38" s="774" t="s">
        <v>21</v>
      </c>
      <c r="W38" s="775">
        <f t="shared" si="14"/>
        <v>100</v>
      </c>
      <c r="X38" s="1813"/>
      <c r="Y38" s="3273" t="s">
        <v>2565</v>
      </c>
      <c r="Z38" s="1814" t="str">
        <f t="shared" si="18"/>
        <v>物业管理</v>
      </c>
      <c r="AA38" s="1811">
        <f t="shared" si="15"/>
        <v>1</v>
      </c>
      <c r="AB38" s="1811">
        <f t="shared" si="16"/>
        <v>1</v>
      </c>
      <c r="AC38" s="1811">
        <f t="shared" si="17"/>
        <v>1</v>
      </c>
    </row>
    <row r="39" spans="1:29" ht="15">
      <c r="A39" s="472"/>
      <c r="B39" s="422" t="s">
        <v>2572</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71"/>
      <c r="Q39" s="1810" t="str">
        <f t="shared" si="11"/>
        <v>市政基础设施</v>
      </c>
      <c r="R39" s="774" t="s">
        <v>21</v>
      </c>
      <c r="S39" s="775">
        <f t="shared" si="12"/>
        <v>100</v>
      </c>
      <c r="T39" s="774" t="s">
        <v>21</v>
      </c>
      <c r="U39" s="775">
        <f t="shared" si="13"/>
        <v>100</v>
      </c>
      <c r="V39" s="774" t="s">
        <v>21</v>
      </c>
      <c r="W39" s="775">
        <f t="shared" si="14"/>
        <v>100</v>
      </c>
      <c r="X39" s="1813"/>
      <c r="Y39" s="3273"/>
      <c r="Z39" s="1814" t="str">
        <f t="shared" si="18"/>
        <v>市政基础设施</v>
      </c>
      <c r="AA39" s="1811">
        <f t="shared" si="15"/>
        <v>1</v>
      </c>
      <c r="AB39" s="1811">
        <f t="shared" si="16"/>
        <v>1</v>
      </c>
      <c r="AC39" s="1811">
        <f t="shared" si="17"/>
        <v>1</v>
      </c>
    </row>
    <row r="40" spans="1:29" ht="15">
      <c r="A40" s="472"/>
      <c r="B40" s="422" t="s">
        <v>2573</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71"/>
      <c r="Q40" s="1810" t="str">
        <f t="shared" si="11"/>
        <v>房型</v>
      </c>
      <c r="R40" s="774" t="s">
        <v>21</v>
      </c>
      <c r="S40" s="775">
        <f t="shared" si="12"/>
        <v>100</v>
      </c>
      <c r="T40" s="774" t="s">
        <v>21</v>
      </c>
      <c r="U40" s="775">
        <f t="shared" si="13"/>
        <v>100</v>
      </c>
      <c r="V40" s="774" t="s">
        <v>21</v>
      </c>
      <c r="W40" s="775">
        <f t="shared" si="14"/>
        <v>100</v>
      </c>
      <c r="X40" s="1813"/>
      <c r="Y40" s="3273"/>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71"/>
      <c r="Q41" s="776" t="str">
        <f t="shared" si="11"/>
        <v>单套/主力户型建筑面积</v>
      </c>
      <c r="R41" s="777" t="s">
        <v>21</v>
      </c>
      <c r="S41" s="778">
        <f t="shared" si="12"/>
        <v>100</v>
      </c>
      <c r="T41" s="777" t="s">
        <v>21</v>
      </c>
      <c r="U41" s="778">
        <f t="shared" si="13"/>
        <v>100</v>
      </c>
      <c r="V41" s="777" t="s">
        <v>21</v>
      </c>
      <c r="W41" s="778">
        <f t="shared" si="14"/>
        <v>100</v>
      </c>
      <c r="X41" s="779"/>
      <c r="Y41" s="3273"/>
      <c r="Z41" s="780" t="str">
        <f t="shared" si="18"/>
        <v>单套/主力户型建筑面积</v>
      </c>
      <c r="AA41" s="1811">
        <f t="shared" si="15"/>
        <v>1</v>
      </c>
      <c r="AB41" s="1811">
        <f t="shared" si="16"/>
        <v>1</v>
      </c>
      <c r="AC41" s="1811">
        <f t="shared" si="17"/>
        <v>1</v>
      </c>
    </row>
    <row r="42" spans="1:29" ht="15">
      <c r="A42" s="472"/>
      <c r="B42" s="422" t="s">
        <v>2575</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71"/>
      <c r="Q42" s="1810" t="str">
        <f t="shared" si="11"/>
        <v>内部装修</v>
      </c>
      <c r="R42" s="774" t="s">
        <v>21</v>
      </c>
      <c r="S42" s="775">
        <f t="shared" si="12"/>
        <v>100</v>
      </c>
      <c r="T42" s="774" t="s">
        <v>21</v>
      </c>
      <c r="U42" s="775">
        <f t="shared" si="13"/>
        <v>100</v>
      </c>
      <c r="V42" s="774" t="s">
        <v>21</v>
      </c>
      <c r="W42" s="775">
        <f t="shared" si="14"/>
        <v>100</v>
      </c>
      <c r="X42" s="1813"/>
      <c r="Y42" s="3273"/>
      <c r="Z42" s="1814" t="str">
        <f t="shared" si="18"/>
        <v>内部装修</v>
      </c>
      <c r="AA42" s="1811">
        <f t="shared" si="15"/>
        <v>1</v>
      </c>
      <c r="AB42" s="1811">
        <f t="shared" si="16"/>
        <v>1</v>
      </c>
      <c r="AC42" s="1811">
        <f t="shared" si="17"/>
        <v>1</v>
      </c>
    </row>
    <row r="43" spans="1:29" ht="15">
      <c r="A43" s="472"/>
      <c r="B43" s="422" t="s">
        <v>2576</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71"/>
      <c r="Q43" s="1810" t="str">
        <f t="shared" si="11"/>
        <v>内部装修维护情况</v>
      </c>
      <c r="R43" s="774" t="s">
        <v>21</v>
      </c>
      <c r="S43" s="775">
        <f t="shared" si="12"/>
        <v>100</v>
      </c>
      <c r="T43" s="774" t="s">
        <v>21</v>
      </c>
      <c r="U43" s="775">
        <f t="shared" si="13"/>
        <v>100</v>
      </c>
      <c r="V43" s="774" t="s">
        <v>21</v>
      </c>
      <c r="W43" s="775">
        <f t="shared" si="14"/>
        <v>100</v>
      </c>
      <c r="X43" s="1813"/>
      <c r="Y43" s="327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71"/>
      <c r="Q44" s="1795">
        <f t="shared" si="11"/>
        <v>111</v>
      </c>
      <c r="R44" s="770" t="s">
        <v>21</v>
      </c>
      <c r="S44" s="771">
        <f t="shared" si="12"/>
        <v>100</v>
      </c>
      <c r="T44" s="770" t="s">
        <v>21</v>
      </c>
      <c r="U44" s="771">
        <f t="shared" si="13"/>
        <v>100</v>
      </c>
      <c r="V44" s="770" t="s">
        <v>21</v>
      </c>
      <c r="W44" s="771">
        <f t="shared" si="14"/>
        <v>100</v>
      </c>
      <c r="X44" s="772"/>
      <c r="Y44" s="327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71"/>
      <c r="Q45" s="1810">
        <f t="shared" si="11"/>
        <v>111</v>
      </c>
      <c r="R45" s="774" t="s">
        <v>21</v>
      </c>
      <c r="S45" s="775">
        <f t="shared" si="12"/>
        <v>100</v>
      </c>
      <c r="T45" s="774" t="s">
        <v>21</v>
      </c>
      <c r="U45" s="775">
        <f t="shared" si="13"/>
        <v>100</v>
      </c>
      <c r="V45" s="774" t="s">
        <v>21</v>
      </c>
      <c r="W45" s="775">
        <f t="shared" si="14"/>
        <v>100</v>
      </c>
      <c r="X45" s="1813"/>
      <c r="Y45" s="327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72"/>
      <c r="Q46" s="1810">
        <f t="shared" si="11"/>
        <v>111</v>
      </c>
      <c r="R46" s="774" t="s">
        <v>20</v>
      </c>
      <c r="S46" s="775">
        <f t="shared" si="12"/>
        <v>100</v>
      </c>
      <c r="T46" s="774" t="s">
        <v>20</v>
      </c>
      <c r="U46" s="775">
        <f t="shared" si="13"/>
        <v>100</v>
      </c>
      <c r="V46" s="774" t="s">
        <v>20</v>
      </c>
      <c r="W46" s="775">
        <f t="shared" si="14"/>
        <v>100</v>
      </c>
      <c r="X46" s="1813"/>
      <c r="Y46" s="3274"/>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3"/>
      <c r="L47" s="1143"/>
      <c r="M47" s="1144"/>
      <c r="N47" s="1131"/>
      <c r="O47" s="1144"/>
      <c r="P47" s="3266" t="str">
        <f>A47</f>
        <v>成交单价（元/平方米）</v>
      </c>
      <c r="Q47" s="3266"/>
      <c r="R47" s="3267">
        <f>E47</f>
        <v>0</v>
      </c>
      <c r="S47" s="3267"/>
      <c r="T47" s="3267">
        <f>G47</f>
        <v>0</v>
      </c>
      <c r="U47" s="3267"/>
      <c r="V47" s="3267">
        <f>I47</f>
        <v>0</v>
      </c>
      <c r="W47" s="3267"/>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4"/>
      <c r="L48" s="1143"/>
      <c r="M48" s="1144"/>
      <c r="N48" s="1144"/>
      <c r="O48" s="1144"/>
      <c r="P48" s="3266" t="str">
        <f>A48</f>
        <v>比较价值（元/平方米）</v>
      </c>
      <c r="Q48" s="3266"/>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5"/>
      <c r="L49" s="1143"/>
      <c r="M49" s="1144"/>
      <c r="N49" s="1144"/>
      <c r="O49" s="1144"/>
      <c r="P49" s="3263" t="str">
        <f>A49</f>
        <v>估价对象XX用房的比较价值（楼面单价，元/平方米）</v>
      </c>
      <c r="Q49" s="3264"/>
      <c r="R49" s="3265" t="e">
        <f>IF(F1="售价",ROUND(AVERAGE(R48:V48),0),ROUND(AVERAGE(R48:V48),1))</f>
        <v>#DIV/0!</v>
      </c>
      <c r="S49" s="3265"/>
      <c r="T49" s="3265"/>
      <c r="U49" s="3265"/>
      <c r="V49" s="3265"/>
      <c r="W49" s="326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2020-3</v>
      </c>
      <c r="D58" s="1575">
        <f>EDATE(C58,-1)</f>
        <v>43862</v>
      </c>
      <c r="E58" s="1575">
        <f>EDATE(D58,-1)</f>
        <v>43831</v>
      </c>
      <c r="F58" s="1575">
        <f t="shared" ref="F58:O58" si="19">EDATE(E58,-1)</f>
        <v>43800</v>
      </c>
      <c r="G58" s="1575">
        <f t="shared" si="19"/>
        <v>43770</v>
      </c>
      <c r="H58" s="1575">
        <f t="shared" si="19"/>
        <v>43739</v>
      </c>
      <c r="I58" s="1575">
        <f t="shared" si="19"/>
        <v>43709</v>
      </c>
      <c r="J58" s="1575">
        <f t="shared" si="19"/>
        <v>43678</v>
      </c>
      <c r="K58" s="1575">
        <f t="shared" si="19"/>
        <v>43647</v>
      </c>
      <c r="L58" s="1575">
        <f t="shared" si="19"/>
        <v>43617</v>
      </c>
      <c r="M58" s="1575">
        <f t="shared" si="19"/>
        <v>43586</v>
      </c>
      <c r="N58" s="1575">
        <f t="shared" si="19"/>
        <v>43556</v>
      </c>
      <c r="O58" s="1575">
        <f t="shared" si="19"/>
        <v>43525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2615</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2616</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2617</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2618</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2619</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I29" sqref="I2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4" t="s">
        <v>2642</v>
      </c>
      <c r="C1" s="1634" t="s">
        <v>2530</v>
      </c>
      <c r="D1" s="1621">
        <v>-201</v>
      </c>
      <c r="E1" s="2659"/>
      <c r="F1" s="2586" t="s">
        <v>3117</v>
      </c>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2327</v>
      </c>
      <c r="B2" s="1418">
        <f>IF(C2="——",ROUND(C49*D3/10000,0),ROUND(C49*D3/10000,0)-D2)</f>
        <v>930</v>
      </c>
      <c r="C2" s="2588" t="s">
        <v>70</v>
      </c>
      <c r="D2" s="1365" t="e">
        <f ca="1">SUMIF(INDIRECT("'"&amp;F2&amp;"'"&amp;"!A:A"),"承租人权益价值",INDIRECT("'"&amp;F2&amp;"'"&amp;"!c:c"))</f>
        <v>#REF!</v>
      </c>
      <c r="E2" s="2589" t="s">
        <v>2328</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2329</v>
      </c>
      <c r="B3" s="609">
        <f>IF(C2="——",C49,ROUND(B2*10000/D3,0))</f>
        <v>31333</v>
      </c>
      <c r="C3" s="400" t="s">
        <v>2644</v>
      </c>
      <c r="D3" s="399">
        <f>IF(D1="",'数据-汇总表'!E3,SUMIF('数据-汇总表'!$C19:$C33,D1,'数据-汇总表'!$E19:$E33))</f>
        <v>296.95999999999998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61" t="s">
        <v>2648</v>
      </c>
      <c r="AC4" s="3231" t="s">
        <v>2649</v>
      </c>
    </row>
    <row r="5" spans="1:29" ht="15">
      <c r="A5" s="404"/>
      <c r="B5" s="405"/>
      <c r="C5" s="3242" t="s">
        <v>2542</v>
      </c>
      <c r="D5" s="3243"/>
      <c r="E5" s="3277" t="s">
        <v>3112</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61"/>
      <c r="AC5" s="3232"/>
    </row>
    <row r="6" spans="1:29" ht="15.75" thickBot="1">
      <c r="A6" s="406"/>
      <c r="B6" s="407"/>
      <c r="C6" s="3244" t="s">
        <v>2546</v>
      </c>
      <c r="D6" s="3245"/>
      <c r="E6" s="3246" t="s">
        <v>2546</v>
      </c>
      <c r="F6" s="3247"/>
      <c r="G6" s="3244" t="s">
        <v>2546</v>
      </c>
      <c r="H6" s="3245"/>
      <c r="I6" s="3244" t="s">
        <v>2546</v>
      </c>
      <c r="J6" s="3245"/>
      <c r="K6" s="610" t="s">
        <v>2547</v>
      </c>
      <c r="L6" s="1130"/>
      <c r="M6" s="1131"/>
      <c r="N6" s="1131"/>
      <c r="O6" s="1131"/>
      <c r="P6" s="3257"/>
      <c r="Q6" s="3258"/>
      <c r="R6" s="3238"/>
      <c r="S6" s="3239"/>
      <c r="T6" s="3259"/>
      <c r="U6" s="3260"/>
      <c r="V6" s="3261"/>
      <c r="W6" s="3261"/>
      <c r="X6" s="1813"/>
      <c r="Y6" s="3259"/>
      <c r="Z6" s="3260"/>
      <c r="AA6" s="3233"/>
      <c r="AB6" s="3261"/>
      <c r="AC6" s="3233"/>
    </row>
    <row r="7" spans="1:29" s="117" customFormat="1" ht="15.75" thickBot="1">
      <c r="A7" s="408" t="s">
        <v>2548</v>
      </c>
      <c r="B7" s="409"/>
      <c r="C7" s="410">
        <f>'数据-取费表'!B2</f>
        <v>43914</v>
      </c>
      <c r="D7" s="411">
        <v>100</v>
      </c>
      <c r="E7" s="412">
        <f>C7</f>
        <v>43914</v>
      </c>
      <c r="F7" s="413">
        <f>SUMIF(58:58,YEAR(E7)&amp;"-"&amp;MONTH(E7),59:59)</f>
        <v>100</v>
      </c>
      <c r="G7" s="412">
        <f>E7</f>
        <v>43914</v>
      </c>
      <c r="H7" s="411">
        <f>SUMIF(58:58,YEAR(G7)&amp;"-"&amp;MONTH(G7),59:59)</f>
        <v>100</v>
      </c>
      <c r="I7" s="412">
        <f>G7</f>
        <v>43914</v>
      </c>
      <c r="J7" s="411">
        <f>SUMIF(58:58,YEAR(I7)&amp;"-"&amp;MONTH(I7),59:59)</f>
        <v>100</v>
      </c>
      <c r="K7" s="611"/>
      <c r="L7" s="1132"/>
      <c r="M7" s="1133"/>
      <c r="N7" s="1133"/>
      <c r="O7" s="1133"/>
      <c r="P7" s="3234" t="s">
        <v>2549</v>
      </c>
      <c r="Q7" s="3262"/>
      <c r="R7" s="770" t="s">
        <v>17</v>
      </c>
      <c r="S7" s="771">
        <f t="shared" ref="S7:S15" si="0">F7</f>
        <v>100</v>
      </c>
      <c r="T7" s="770" t="s">
        <v>17</v>
      </c>
      <c r="U7" s="771">
        <f t="shared" ref="U7:U15" si="1">H7</f>
        <v>100</v>
      </c>
      <c r="V7" s="770" t="s">
        <v>17</v>
      </c>
      <c r="W7" s="771">
        <f t="shared" ref="W7:W15" si="2">J7</f>
        <v>100</v>
      </c>
      <c r="X7" s="772"/>
      <c r="Y7" s="3234" t="s">
        <v>2549</v>
      </c>
      <c r="Z7" s="3235"/>
      <c r="AA7" s="773">
        <f>D7/F7</f>
        <v>1</v>
      </c>
      <c r="AB7" s="773">
        <f>D7/H7</f>
        <v>1</v>
      </c>
      <c r="AC7" s="773">
        <f>D7/J7</f>
        <v>1</v>
      </c>
    </row>
    <row r="8" spans="1:29" s="117" customFormat="1" ht="15.75" thickBot="1">
      <c r="A8" s="408" t="s">
        <v>2550</v>
      </c>
      <c r="B8" s="409"/>
      <c r="C8" s="414" t="s">
        <v>2652</v>
      </c>
      <c r="D8" s="411">
        <v>100</v>
      </c>
      <c r="E8" s="414" t="s">
        <v>2587</v>
      </c>
      <c r="F8" s="413">
        <f>SUMIF(61:61,E8,62:62)-SUMIF(61:61,C8,62:62)+100</f>
        <v>100</v>
      </c>
      <c r="G8" s="414" t="s">
        <v>2587</v>
      </c>
      <c r="H8" s="411">
        <f>SUMIF(61:61,G8,62:62)-SUMIF(61:61,C8,62:62)+100</f>
        <v>100</v>
      </c>
      <c r="I8" s="414" t="s">
        <v>2587</v>
      </c>
      <c r="J8" s="411">
        <f>SUMIF(61:61,I8,62:62)-SUMIF(61:61,C8,62:62)+100</f>
        <v>100</v>
      </c>
      <c r="K8" s="611"/>
      <c r="L8" s="1132"/>
      <c r="M8" s="1133"/>
      <c r="N8" s="1133"/>
      <c r="O8" s="1133"/>
      <c r="P8" s="3234" t="s">
        <v>2552</v>
      </c>
      <c r="Q8" s="3235"/>
      <c r="R8" s="770" t="s">
        <v>17</v>
      </c>
      <c r="S8" s="771">
        <f t="shared" si="0"/>
        <v>100</v>
      </c>
      <c r="T8" s="770" t="s">
        <v>17</v>
      </c>
      <c r="U8" s="771">
        <f t="shared" si="1"/>
        <v>100</v>
      </c>
      <c r="V8" s="770" t="s">
        <v>17</v>
      </c>
      <c r="W8" s="771">
        <f t="shared" si="2"/>
        <v>100</v>
      </c>
      <c r="X8" s="772"/>
      <c r="Y8" s="3234" t="s">
        <v>2552</v>
      </c>
      <c r="Z8" s="3235"/>
      <c r="AA8" s="773">
        <f t="shared" ref="AA8:AA46" si="3">D8/F8</f>
        <v>1</v>
      </c>
      <c r="AB8" s="773">
        <f t="shared" ref="AB8:AB46" si="4">D8/H8</f>
        <v>1</v>
      </c>
      <c r="AC8" s="773">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48"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48"/>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48"/>
      <c r="Q11" s="1795" t="str">
        <f t="shared" si="6"/>
        <v>容积率</v>
      </c>
      <c r="R11" s="770" t="s">
        <v>17</v>
      </c>
      <c r="S11" s="771">
        <f t="shared" si="0"/>
        <v>100</v>
      </c>
      <c r="T11" s="770" t="s">
        <v>17</v>
      </c>
      <c r="U11" s="771">
        <f t="shared" si="1"/>
        <v>100</v>
      </c>
      <c r="V11" s="770" t="s">
        <v>17</v>
      </c>
      <c r="W11" s="771">
        <f t="shared" si="2"/>
        <v>100</v>
      </c>
      <c r="X11" s="772"/>
      <c r="Y11" s="3081"/>
      <c r="Z11" s="55" t="str">
        <f t="shared" si="7"/>
        <v>容积率</v>
      </c>
      <c r="AA11" s="773">
        <f t="shared" si="3"/>
        <v>1</v>
      </c>
      <c r="AB11" s="773">
        <f t="shared" si="4"/>
        <v>1</v>
      </c>
      <c r="AC11" s="773">
        <f t="shared" si="5"/>
        <v>1</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8"/>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8"/>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8"/>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71.25">
      <c r="A15" s="440" t="s">
        <v>2559</v>
      </c>
      <c r="B15" s="69" t="s">
        <v>2653</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5" t="s">
        <v>2560</v>
      </c>
      <c r="Q15" s="1810" t="str">
        <f t="shared" si="6"/>
        <v>商业繁华度</v>
      </c>
      <c r="R15" s="774" t="s">
        <v>17</v>
      </c>
      <c r="S15" s="775">
        <f t="shared" si="0"/>
        <v>100</v>
      </c>
      <c r="T15" s="774" t="s">
        <v>17</v>
      </c>
      <c r="U15" s="775">
        <f t="shared" si="1"/>
        <v>100</v>
      </c>
      <c r="V15" s="774" t="s">
        <v>17</v>
      </c>
      <c r="W15" s="775">
        <f t="shared" si="2"/>
        <v>100</v>
      </c>
      <c r="X15" s="1813"/>
      <c r="Y15" s="3268"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76"/>
      <c r="Q16" s="1810"/>
      <c r="R16" s="774"/>
      <c r="S16" s="775"/>
      <c r="T16" s="774"/>
      <c r="U16" s="775"/>
      <c r="V16" s="774"/>
      <c r="W16" s="775"/>
      <c r="X16" s="1813"/>
      <c r="Y16" s="3269"/>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6"/>
      <c r="Q17" s="1810" t="str">
        <f>B17</f>
        <v>交通便捷度</v>
      </c>
      <c r="R17" s="774" t="s">
        <v>17</v>
      </c>
      <c r="S17" s="775">
        <f>F17</f>
        <v>100</v>
      </c>
      <c r="T17" s="774" t="s">
        <v>17</v>
      </c>
      <c r="U17" s="775">
        <f>H17</f>
        <v>100</v>
      </c>
      <c r="V17" s="774" t="s">
        <v>17</v>
      </c>
      <c r="W17" s="775">
        <f>J17</f>
        <v>100</v>
      </c>
      <c r="X17" s="1813"/>
      <c r="Y17" s="326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76"/>
      <c r="Q18" s="1810"/>
      <c r="R18" s="774"/>
      <c r="S18" s="775"/>
      <c r="T18" s="774"/>
      <c r="U18" s="775"/>
      <c r="V18" s="774"/>
      <c r="W18" s="775"/>
      <c r="X18" s="1813"/>
      <c r="Y18" s="3269"/>
      <c r="Z18" s="1814"/>
      <c r="AA18" s="1811">
        <v>1</v>
      </c>
      <c r="AB18" s="1811">
        <v>1</v>
      </c>
      <c r="AC18" s="1811">
        <v>1</v>
      </c>
    </row>
    <row r="19" spans="1:29" ht="42.75">
      <c r="A19" s="428"/>
      <c r="B19" s="451" t="s">
        <v>2654</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6"/>
      <c r="Q19" s="1810" t="str">
        <f>B19</f>
        <v>公共配套设施</v>
      </c>
      <c r="R19" s="774" t="s">
        <v>17</v>
      </c>
      <c r="S19" s="775">
        <f>F19</f>
        <v>100</v>
      </c>
      <c r="T19" s="774" t="s">
        <v>17</v>
      </c>
      <c r="U19" s="775">
        <f>H19</f>
        <v>100</v>
      </c>
      <c r="V19" s="774" t="s">
        <v>17</v>
      </c>
      <c r="W19" s="775">
        <f>J19</f>
        <v>100</v>
      </c>
      <c r="X19" s="1813"/>
      <c r="Y19" s="326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76"/>
      <c r="Q20" s="1810"/>
      <c r="R20" s="774"/>
      <c r="S20" s="775"/>
      <c r="T20" s="774"/>
      <c r="U20" s="775"/>
      <c r="V20" s="774"/>
      <c r="W20" s="775"/>
      <c r="X20" s="1813"/>
      <c r="Y20" s="3269"/>
      <c r="Z20" s="1814"/>
      <c r="AA20" s="1811">
        <v>1</v>
      </c>
      <c r="AB20" s="1811">
        <v>1</v>
      </c>
      <c r="AC20" s="1811">
        <v>1</v>
      </c>
    </row>
    <row r="21" spans="1:29" ht="28.5">
      <c r="A21" s="428"/>
      <c r="B21" s="1384" t="s">
        <v>2655</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6"/>
      <c r="Q21" s="1810" t="str">
        <f>B21</f>
        <v>基础设施水平</v>
      </c>
      <c r="R21" s="774" t="s">
        <v>17</v>
      </c>
      <c r="S21" s="775">
        <f>F21</f>
        <v>100</v>
      </c>
      <c r="T21" s="774" t="s">
        <v>17</v>
      </c>
      <c r="U21" s="775">
        <f>H21</f>
        <v>100</v>
      </c>
      <c r="V21" s="774" t="s">
        <v>17</v>
      </c>
      <c r="W21" s="775">
        <f>J21</f>
        <v>100</v>
      </c>
      <c r="X21" s="1813"/>
      <c r="Y21" s="326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76"/>
      <c r="Q22" s="1810"/>
      <c r="R22" s="774"/>
      <c r="S22" s="775"/>
      <c r="T22" s="774"/>
      <c r="U22" s="775"/>
      <c r="V22" s="774"/>
      <c r="W22" s="775"/>
      <c r="X22" s="1813"/>
      <c r="Y22" s="3269"/>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6"/>
      <c r="Q23" s="1810" t="str">
        <f>B23</f>
        <v>自然及人文环境</v>
      </c>
      <c r="R23" s="774" t="s">
        <v>17</v>
      </c>
      <c r="S23" s="775">
        <f>F23</f>
        <v>100</v>
      </c>
      <c r="T23" s="774" t="s">
        <v>17</v>
      </c>
      <c r="U23" s="775">
        <f>H23</f>
        <v>100</v>
      </c>
      <c r="V23" s="774" t="s">
        <v>17</v>
      </c>
      <c r="W23" s="775">
        <f>J23</f>
        <v>100</v>
      </c>
      <c r="X23" s="1813"/>
      <c r="Y23" s="326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76"/>
      <c r="Q24" s="1810"/>
      <c r="R24" s="774"/>
      <c r="S24" s="775"/>
      <c r="T24" s="774"/>
      <c r="U24" s="775"/>
      <c r="V24" s="774"/>
      <c r="W24" s="775"/>
      <c r="X24" s="1813"/>
      <c r="Y24" s="3269"/>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6"/>
      <c r="Q25" s="1810" t="str">
        <f t="shared" ref="Q25:Q46" si="11">B25</f>
        <v>临街状况</v>
      </c>
      <c r="R25" s="774" t="s">
        <v>17</v>
      </c>
      <c r="S25" s="775">
        <f>F25</f>
        <v>100</v>
      </c>
      <c r="T25" s="774" t="s">
        <v>17</v>
      </c>
      <c r="U25" s="775">
        <f>H25</f>
        <v>100</v>
      </c>
      <c r="V25" s="774" t="s">
        <v>17</v>
      </c>
      <c r="W25" s="775">
        <f>J25</f>
        <v>100</v>
      </c>
      <c r="X25" s="1813"/>
      <c r="Y25" s="3269"/>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6"/>
      <c r="Q26" s="1810" t="str">
        <f t="shared" si="11"/>
        <v>平面位置/可视性</v>
      </c>
      <c r="R26" s="774" t="s">
        <v>17</v>
      </c>
      <c r="S26" s="775">
        <f>F26</f>
        <v>100</v>
      </c>
      <c r="T26" s="774" t="s">
        <v>17</v>
      </c>
      <c r="U26" s="775">
        <f>H26</f>
        <v>100</v>
      </c>
      <c r="V26" s="774" t="s">
        <v>17</v>
      </c>
      <c r="W26" s="775">
        <f>J26</f>
        <v>100</v>
      </c>
      <c r="X26" s="1813"/>
      <c r="Y26" s="3269"/>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76"/>
      <c r="Q27" s="1795" t="str">
        <f t="shared" si="11"/>
        <v>人流量</v>
      </c>
      <c r="R27" s="770" t="s">
        <v>17</v>
      </c>
      <c r="S27" s="771">
        <f>F27</f>
        <v>100</v>
      </c>
      <c r="T27" s="770" t="s">
        <v>17</v>
      </c>
      <c r="U27" s="771">
        <f>H27</f>
        <v>100</v>
      </c>
      <c r="V27" s="770" t="s">
        <v>17</v>
      </c>
      <c r="W27" s="771">
        <f>J27</f>
        <v>100</v>
      </c>
      <c r="X27" s="772"/>
      <c r="Y27" s="3269"/>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69"/>
      <c r="Z28" s="1814" t="str">
        <f t="shared" ref="Z28:Z46" si="15">Q28</f>
        <v>楼层</v>
      </c>
      <c r="AA28" s="1811">
        <f t="shared" si="3"/>
        <v>1</v>
      </c>
      <c r="AB28" s="1811">
        <f t="shared" si="4"/>
        <v>1</v>
      </c>
      <c r="AC28" s="1811">
        <f t="shared" si="5"/>
        <v>1</v>
      </c>
    </row>
    <row r="29" spans="1:29" ht="15">
      <c r="A29" s="428"/>
      <c r="B29" s="3014" t="s">
        <v>3119</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6"/>
      <c r="Q29" s="1810" t="str">
        <f t="shared" si="11"/>
        <v>楼层</v>
      </c>
      <c r="R29" s="774" t="s">
        <v>17</v>
      </c>
      <c r="S29" s="775">
        <f t="shared" si="12"/>
        <v>100</v>
      </c>
      <c r="T29" s="774" t="s">
        <v>17</v>
      </c>
      <c r="U29" s="775">
        <f t="shared" si="13"/>
        <v>100</v>
      </c>
      <c r="V29" s="774" t="s">
        <v>17</v>
      </c>
      <c r="W29" s="775">
        <f t="shared" si="14"/>
        <v>100</v>
      </c>
      <c r="X29" s="1813"/>
      <c r="Y29" s="3269"/>
      <c r="Z29" s="1814" t="str">
        <f t="shared" si="15"/>
        <v>楼层</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6"/>
      <c r="Q30" s="1810">
        <f t="shared" si="11"/>
        <v>111</v>
      </c>
      <c r="R30" s="774" t="s">
        <v>17</v>
      </c>
      <c r="S30" s="775">
        <f t="shared" si="12"/>
        <v>100</v>
      </c>
      <c r="T30" s="774" t="s">
        <v>17</v>
      </c>
      <c r="U30" s="775">
        <f t="shared" si="13"/>
        <v>100</v>
      </c>
      <c r="V30" s="774" t="s">
        <v>17</v>
      </c>
      <c r="W30" s="775">
        <f t="shared" si="14"/>
        <v>100</v>
      </c>
      <c r="X30" s="1813"/>
      <c r="Y30" s="326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6"/>
      <c r="Q31" s="1810">
        <f t="shared" si="11"/>
        <v>111</v>
      </c>
      <c r="R31" s="774" t="s">
        <v>17</v>
      </c>
      <c r="S31" s="775">
        <f t="shared" si="12"/>
        <v>100</v>
      </c>
      <c r="T31" s="774" t="s">
        <v>17</v>
      </c>
      <c r="U31" s="775">
        <f t="shared" si="13"/>
        <v>100</v>
      </c>
      <c r="V31" s="774" t="s">
        <v>17</v>
      </c>
      <c r="W31" s="775">
        <f t="shared" si="14"/>
        <v>100</v>
      </c>
      <c r="X31" s="1813"/>
      <c r="Y31" s="3269"/>
      <c r="Z31" s="1814">
        <f t="shared" si="15"/>
        <v>111</v>
      </c>
      <c r="AA31" s="1811">
        <f t="shared" si="3"/>
        <v>1</v>
      </c>
      <c r="AB31" s="1811">
        <f t="shared" si="4"/>
        <v>1</v>
      </c>
      <c r="AC31" s="1811">
        <f t="shared" si="5"/>
        <v>1</v>
      </c>
    </row>
    <row r="32" spans="1:29" ht="15">
      <c r="A32" s="440" t="s">
        <v>2563</v>
      </c>
      <c r="B32" s="71" t="s">
        <v>2660</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70" t="s">
        <v>2565</v>
      </c>
      <c r="Q32" s="1810" t="str">
        <f t="shared" si="11"/>
        <v>商业类型</v>
      </c>
      <c r="R32" s="774" t="s">
        <v>17</v>
      </c>
      <c r="S32" s="775">
        <f t="shared" si="12"/>
        <v>100</v>
      </c>
      <c r="T32" s="774" t="s">
        <v>17</v>
      </c>
      <c r="U32" s="775">
        <f t="shared" si="13"/>
        <v>100</v>
      </c>
      <c r="V32" s="774" t="s">
        <v>17</v>
      </c>
      <c r="W32" s="775">
        <f t="shared" si="14"/>
        <v>100</v>
      </c>
      <c r="X32" s="1813"/>
      <c r="Y32" s="3273"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71"/>
      <c r="Q33" s="776" t="str">
        <f t="shared" si="11"/>
        <v>项目建筑规模</v>
      </c>
      <c r="R33" s="777" t="s">
        <v>17</v>
      </c>
      <c r="S33" s="778">
        <f t="shared" si="12"/>
        <v>100</v>
      </c>
      <c r="T33" s="777" t="s">
        <v>17</v>
      </c>
      <c r="U33" s="778">
        <f t="shared" si="13"/>
        <v>100</v>
      </c>
      <c r="V33" s="777" t="s">
        <v>17</v>
      </c>
      <c r="W33" s="778">
        <f t="shared" si="14"/>
        <v>100</v>
      </c>
      <c r="X33" s="779"/>
      <c r="Y33" s="3273"/>
      <c r="Z33" s="780" t="str">
        <f t="shared" si="15"/>
        <v>项目建筑规模</v>
      </c>
      <c r="AA33" s="1811">
        <f t="shared" si="3"/>
        <v>1</v>
      </c>
      <c r="AB33" s="1811">
        <f t="shared" si="4"/>
        <v>1</v>
      </c>
      <c r="AC33" s="1811">
        <f t="shared" si="5"/>
        <v>1</v>
      </c>
    </row>
    <row r="34" spans="1:29" ht="15">
      <c r="A34" s="472"/>
      <c r="B34" s="422" t="s">
        <v>2567</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71"/>
      <c r="Q34" s="1810" t="str">
        <f t="shared" si="11"/>
        <v>建筑结构</v>
      </c>
      <c r="R34" s="774" t="s">
        <v>17</v>
      </c>
      <c r="S34" s="775">
        <f t="shared" si="12"/>
        <v>100</v>
      </c>
      <c r="T34" s="774" t="s">
        <v>17</v>
      </c>
      <c r="U34" s="775">
        <f t="shared" si="13"/>
        <v>100</v>
      </c>
      <c r="V34" s="774" t="s">
        <v>17</v>
      </c>
      <c r="W34" s="775">
        <f t="shared" si="14"/>
        <v>100</v>
      </c>
      <c r="X34" s="1813"/>
      <c r="Y34" s="3273"/>
      <c r="Z34" s="1814" t="str">
        <f t="shared" si="15"/>
        <v>建筑结构</v>
      </c>
      <c r="AA34" s="1811">
        <f t="shared" si="3"/>
        <v>1</v>
      </c>
      <c r="AB34" s="1811">
        <f t="shared" si="4"/>
        <v>1</v>
      </c>
      <c r="AC34" s="1811">
        <f t="shared" si="5"/>
        <v>1</v>
      </c>
    </row>
    <row r="35" spans="1:29" ht="15">
      <c r="A35" s="472"/>
      <c r="B35" s="422" t="s">
        <v>2661</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71"/>
      <c r="Q35" s="1810" t="str">
        <f t="shared" si="11"/>
        <v>公共部分装修</v>
      </c>
      <c r="R35" s="774" t="s">
        <v>17</v>
      </c>
      <c r="S35" s="775">
        <f t="shared" si="12"/>
        <v>100</v>
      </c>
      <c r="T35" s="774" t="s">
        <v>17</v>
      </c>
      <c r="U35" s="775">
        <f t="shared" si="13"/>
        <v>100</v>
      </c>
      <c r="V35" s="774" t="s">
        <v>17</v>
      </c>
      <c r="W35" s="775">
        <f t="shared" si="14"/>
        <v>100</v>
      </c>
      <c r="X35" s="1813"/>
      <c r="Y35" s="3273"/>
      <c r="Z35" s="1814" t="str">
        <f t="shared" si="15"/>
        <v>公共部分装修</v>
      </c>
      <c r="AA35" s="1811">
        <f t="shared" si="3"/>
        <v>1</v>
      </c>
      <c r="AB35" s="1811">
        <f t="shared" si="4"/>
        <v>1</v>
      </c>
      <c r="AC35" s="1811">
        <f t="shared" si="5"/>
        <v>1</v>
      </c>
    </row>
    <row r="36" spans="1:29" ht="15">
      <c r="A36" s="472"/>
      <c r="B36" s="422" t="s">
        <v>2662</v>
      </c>
      <c r="C36" s="474">
        <v>0.87</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c r="L36" s="1140"/>
      <c r="M36" s="1131"/>
      <c r="N36" s="1131"/>
      <c r="O36" s="1131"/>
      <c r="P36" s="3271"/>
      <c r="Q36" s="1810" t="str">
        <f t="shared" si="11"/>
        <v>成新度</v>
      </c>
      <c r="R36" s="774" t="s">
        <v>17</v>
      </c>
      <c r="S36" s="775">
        <f t="shared" si="12"/>
        <v>100</v>
      </c>
      <c r="T36" s="774" t="s">
        <v>17</v>
      </c>
      <c r="U36" s="775">
        <f t="shared" si="13"/>
        <v>100</v>
      </c>
      <c r="V36" s="774" t="s">
        <v>17</v>
      </c>
      <c r="W36" s="775">
        <f t="shared" si="14"/>
        <v>100</v>
      </c>
      <c r="X36" s="1813"/>
      <c r="Y36" s="3273"/>
      <c r="Z36" s="1814" t="str">
        <f t="shared" si="15"/>
        <v>成新度</v>
      </c>
      <c r="AA36" s="1811">
        <f t="shared" si="3"/>
        <v>1</v>
      </c>
      <c r="AB36" s="1811">
        <f t="shared" si="4"/>
        <v>1</v>
      </c>
      <c r="AC36" s="1811">
        <f t="shared" si="5"/>
        <v>1</v>
      </c>
    </row>
    <row r="37" spans="1:29" s="117" customFormat="1" ht="15">
      <c r="A37" s="473"/>
      <c r="B37" s="422" t="s">
        <v>2663</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71"/>
      <c r="Q37" s="1795" t="str">
        <f t="shared" si="11"/>
        <v>市政基础设施</v>
      </c>
      <c r="R37" s="770" t="s">
        <v>17</v>
      </c>
      <c r="S37" s="771">
        <f t="shared" si="12"/>
        <v>100</v>
      </c>
      <c r="T37" s="770" t="s">
        <v>17</v>
      </c>
      <c r="U37" s="771">
        <f t="shared" si="13"/>
        <v>100</v>
      </c>
      <c r="V37" s="770" t="s">
        <v>17</v>
      </c>
      <c r="W37" s="771">
        <f t="shared" si="14"/>
        <v>100</v>
      </c>
      <c r="X37" s="772"/>
      <c r="Y37" s="3273"/>
      <c r="Z37" s="55" t="str">
        <f t="shared" si="15"/>
        <v>市政基础设施</v>
      </c>
      <c r="AA37" s="773">
        <f t="shared" si="3"/>
        <v>1</v>
      </c>
      <c r="AB37" s="773">
        <f t="shared" si="4"/>
        <v>1</v>
      </c>
      <c r="AC37" s="773">
        <f t="shared" si="5"/>
        <v>1</v>
      </c>
    </row>
    <row r="38" spans="1:29" ht="15">
      <c r="A38" s="472"/>
      <c r="B38" s="422" t="s">
        <v>2664</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71" t="s">
        <v>2565</v>
      </c>
      <c r="Q38" s="1810" t="str">
        <f t="shared" si="11"/>
        <v>业态</v>
      </c>
      <c r="R38" s="774" t="s">
        <v>17</v>
      </c>
      <c r="S38" s="775">
        <f t="shared" si="12"/>
        <v>100</v>
      </c>
      <c r="T38" s="774" t="s">
        <v>17</v>
      </c>
      <c r="U38" s="775">
        <f t="shared" si="13"/>
        <v>100</v>
      </c>
      <c r="V38" s="774" t="s">
        <v>17</v>
      </c>
      <c r="W38" s="775">
        <f t="shared" si="14"/>
        <v>100</v>
      </c>
      <c r="X38" s="1813"/>
      <c r="Y38" s="3273" t="s">
        <v>2565</v>
      </c>
      <c r="Z38" s="1814" t="str">
        <f t="shared" si="15"/>
        <v>业态</v>
      </c>
      <c r="AA38" s="1811">
        <f t="shared" si="3"/>
        <v>1</v>
      </c>
      <c r="AB38" s="1811">
        <f t="shared" si="4"/>
        <v>1</v>
      </c>
      <c r="AC38" s="1811">
        <f t="shared" si="5"/>
        <v>1</v>
      </c>
    </row>
    <row r="39" spans="1:29" ht="15">
      <c r="A39" s="472"/>
      <c r="B39" s="422" t="s">
        <v>2665</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71"/>
      <c r="Q39" s="1810" t="str">
        <f t="shared" si="11"/>
        <v>层高</v>
      </c>
      <c r="R39" s="774" t="s">
        <v>17</v>
      </c>
      <c r="S39" s="775">
        <f t="shared" si="12"/>
        <v>100</v>
      </c>
      <c r="T39" s="774" t="s">
        <v>17</v>
      </c>
      <c r="U39" s="775">
        <f t="shared" si="13"/>
        <v>100</v>
      </c>
      <c r="V39" s="774" t="s">
        <v>17</v>
      </c>
      <c r="W39" s="775">
        <f t="shared" si="14"/>
        <v>100</v>
      </c>
      <c r="X39" s="1813"/>
      <c r="Y39" s="3273"/>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1"/>
      <c r="Q40" s="1810" t="str">
        <f t="shared" si="11"/>
        <v>单套建筑面积</v>
      </c>
      <c r="R40" s="774" t="s">
        <v>17</v>
      </c>
      <c r="S40" s="775">
        <f t="shared" si="12"/>
        <v>100</v>
      </c>
      <c r="T40" s="774" t="s">
        <v>17</v>
      </c>
      <c r="U40" s="775">
        <f t="shared" si="13"/>
        <v>100</v>
      </c>
      <c r="V40" s="774" t="s">
        <v>17</v>
      </c>
      <c r="W40" s="775">
        <f t="shared" si="14"/>
        <v>100</v>
      </c>
      <c r="X40" s="1813"/>
      <c r="Y40" s="3273"/>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1"/>
      <c r="Q41" s="776" t="str">
        <f t="shared" si="11"/>
        <v>进深比</v>
      </c>
      <c r="R41" s="777" t="s">
        <v>17</v>
      </c>
      <c r="S41" s="778">
        <f t="shared" si="12"/>
        <v>100</v>
      </c>
      <c r="T41" s="777" t="s">
        <v>17</v>
      </c>
      <c r="U41" s="778">
        <f t="shared" si="13"/>
        <v>100</v>
      </c>
      <c r="V41" s="777" t="s">
        <v>17</v>
      </c>
      <c r="W41" s="778">
        <f t="shared" si="14"/>
        <v>100</v>
      </c>
      <c r="X41" s="779"/>
      <c r="Y41" s="3273"/>
      <c r="Z41" s="780" t="str">
        <f t="shared" si="15"/>
        <v>进深比</v>
      </c>
      <c r="AA41" s="1811">
        <f t="shared" si="3"/>
        <v>1</v>
      </c>
      <c r="AB41" s="1811">
        <f t="shared" si="4"/>
        <v>1</v>
      </c>
      <c r="AC41" s="1811">
        <f t="shared" si="5"/>
        <v>1</v>
      </c>
    </row>
    <row r="42" spans="1:29" ht="15">
      <c r="A42" s="472"/>
      <c r="B42" s="422" t="s">
        <v>2668</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71"/>
      <c r="Q42" s="1810" t="str">
        <f t="shared" si="11"/>
        <v>内部装修</v>
      </c>
      <c r="R42" s="774" t="s">
        <v>17</v>
      </c>
      <c r="S42" s="775">
        <f t="shared" si="12"/>
        <v>100</v>
      </c>
      <c r="T42" s="774" t="s">
        <v>17</v>
      </c>
      <c r="U42" s="775">
        <f t="shared" si="13"/>
        <v>100</v>
      </c>
      <c r="V42" s="774" t="s">
        <v>17</v>
      </c>
      <c r="W42" s="775">
        <f t="shared" si="14"/>
        <v>100</v>
      </c>
      <c r="X42" s="1813"/>
      <c r="Y42" s="3273"/>
      <c r="Z42" s="1814" t="str">
        <f t="shared" si="15"/>
        <v>内部装修</v>
      </c>
      <c r="AA42" s="1811">
        <f t="shared" si="3"/>
        <v>1</v>
      </c>
      <c r="AB42" s="1811">
        <f t="shared" si="4"/>
        <v>1</v>
      </c>
      <c r="AC42" s="1811">
        <f t="shared" si="5"/>
        <v>1</v>
      </c>
    </row>
    <row r="43" spans="1:29" ht="15">
      <c r="A43" s="472"/>
      <c r="B43" s="422" t="s">
        <v>2576</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71"/>
      <c r="Q43" s="1810" t="str">
        <f t="shared" si="11"/>
        <v>内部装修维护情况</v>
      </c>
      <c r="R43" s="774" t="s">
        <v>17</v>
      </c>
      <c r="S43" s="775">
        <f t="shared" si="12"/>
        <v>100</v>
      </c>
      <c r="T43" s="774" t="s">
        <v>17</v>
      </c>
      <c r="U43" s="775">
        <f t="shared" si="13"/>
        <v>100</v>
      </c>
      <c r="V43" s="774" t="s">
        <v>17</v>
      </c>
      <c r="W43" s="775">
        <f t="shared" si="14"/>
        <v>100</v>
      </c>
      <c r="X43" s="1813"/>
      <c r="Y43" s="327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1"/>
      <c r="Q44" s="1795">
        <f t="shared" si="11"/>
        <v>111</v>
      </c>
      <c r="R44" s="770" t="s">
        <v>17</v>
      </c>
      <c r="S44" s="771">
        <f t="shared" si="12"/>
        <v>100</v>
      </c>
      <c r="T44" s="770" t="s">
        <v>17</v>
      </c>
      <c r="U44" s="771">
        <f t="shared" si="13"/>
        <v>100</v>
      </c>
      <c r="V44" s="770" t="s">
        <v>17</v>
      </c>
      <c r="W44" s="771">
        <f t="shared" si="14"/>
        <v>100</v>
      </c>
      <c r="X44" s="772"/>
      <c r="Y44" s="327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1"/>
      <c r="Q45" s="1810">
        <f t="shared" si="11"/>
        <v>111</v>
      </c>
      <c r="R45" s="774" t="s">
        <v>17</v>
      </c>
      <c r="S45" s="775">
        <f t="shared" si="12"/>
        <v>100</v>
      </c>
      <c r="T45" s="774" t="s">
        <v>17</v>
      </c>
      <c r="U45" s="775">
        <f t="shared" si="13"/>
        <v>100</v>
      </c>
      <c r="V45" s="774" t="s">
        <v>17</v>
      </c>
      <c r="W45" s="775">
        <f t="shared" si="14"/>
        <v>100</v>
      </c>
      <c r="X45" s="1813"/>
      <c r="Y45" s="327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2"/>
      <c r="Q46" s="1810">
        <f t="shared" si="11"/>
        <v>111</v>
      </c>
      <c r="R46" s="774" t="s">
        <v>17</v>
      </c>
      <c r="S46" s="775">
        <f t="shared" si="12"/>
        <v>100</v>
      </c>
      <c r="T46" s="774" t="s">
        <v>17</v>
      </c>
      <c r="U46" s="775">
        <f t="shared" si="13"/>
        <v>100</v>
      </c>
      <c r="V46" s="774" t="s">
        <v>17</v>
      </c>
      <c r="W46" s="775">
        <f t="shared" si="14"/>
        <v>100</v>
      </c>
      <c r="X46" s="1813"/>
      <c r="Y46" s="3274"/>
      <c r="Z46" s="1814">
        <f t="shared" si="15"/>
        <v>111</v>
      </c>
      <c r="AA46" s="1811">
        <f t="shared" si="3"/>
        <v>1</v>
      </c>
      <c r="AB46" s="1811">
        <f t="shared" si="4"/>
        <v>1</v>
      </c>
      <c r="AC46" s="1811">
        <f t="shared" si="5"/>
        <v>1</v>
      </c>
    </row>
    <row r="47" spans="1:29" ht="15">
      <c r="A47" s="479" t="s">
        <v>2577</v>
      </c>
      <c r="B47" s="480"/>
      <c r="C47" s="1407" t="s">
        <v>1</v>
      </c>
      <c r="D47" s="1408"/>
      <c r="E47" s="1409">
        <v>31000</v>
      </c>
      <c r="F47" s="1410"/>
      <c r="G47" s="1411">
        <v>33000</v>
      </c>
      <c r="H47" s="1412"/>
      <c r="I47" s="1409">
        <v>30000</v>
      </c>
      <c r="J47" s="1412"/>
      <c r="K47" s="783"/>
      <c r="L47" s="1143"/>
      <c r="M47" s="1144"/>
      <c r="N47" s="1131"/>
      <c r="O47" s="1144"/>
      <c r="P47" s="3266" t="str">
        <f>A47</f>
        <v>成交单价（元/平方米）</v>
      </c>
      <c r="Q47" s="3266"/>
      <c r="R47" s="3261">
        <f>E47</f>
        <v>31000</v>
      </c>
      <c r="S47" s="3261"/>
      <c r="T47" s="3261">
        <f>G47</f>
        <v>33000</v>
      </c>
      <c r="U47" s="3261"/>
      <c r="V47" s="3261">
        <f>I47</f>
        <v>30000</v>
      </c>
      <c r="W47" s="3261"/>
      <c r="X47" s="759"/>
      <c r="Y47" s="781"/>
      <c r="Z47" s="759"/>
      <c r="AA47" s="759"/>
      <c r="AB47" s="759"/>
      <c r="AC47" s="759"/>
    </row>
    <row r="48" spans="1:29" ht="15.75" thickBot="1">
      <c r="A48" s="486" t="s">
        <v>2669</v>
      </c>
      <c r="B48" s="487"/>
      <c r="C48" s="1413">
        <f>R49</f>
        <v>31333</v>
      </c>
      <c r="D48" s="1414"/>
      <c r="E48" s="1415">
        <f>R48</f>
        <v>31000</v>
      </c>
      <c r="F48" s="1415"/>
      <c r="G48" s="1413">
        <f>T48</f>
        <v>33000</v>
      </c>
      <c r="H48" s="1414"/>
      <c r="I48" s="1415">
        <f>V48</f>
        <v>30000</v>
      </c>
      <c r="J48" s="1414"/>
      <c r="K48" s="784"/>
      <c r="L48" s="1143"/>
      <c r="M48" s="1144">
        <v>8.5</v>
      </c>
      <c r="N48" s="1131"/>
      <c r="O48" s="1144"/>
      <c r="P48" s="3266" t="str">
        <f>A48</f>
        <v>比较价值（元/平方米）</v>
      </c>
      <c r="Q48" s="3266"/>
      <c r="R48" s="3267">
        <f>IF(F1="售价",ROUND(PRODUCT(R47,AA7:AA46),0),ROUND(PRODUCT(R47,AA7:AA46),1))</f>
        <v>31000</v>
      </c>
      <c r="S48" s="3267"/>
      <c r="T48" s="3267">
        <f>IF(F1="售价",ROUND(PRODUCT(T47,AB7:AB46),0),ROUND(PRODUCT(T47,AB7:AB46),1))</f>
        <v>33000</v>
      </c>
      <c r="U48" s="3267"/>
      <c r="V48" s="3267">
        <f>IF(F1="售价",ROUND(PRODUCT(V47,AC7:AC46),0),ROUND(PRODUCT(V47,AC7:AC46),1))</f>
        <v>30000</v>
      </c>
      <c r="W48" s="3267"/>
      <c r="X48" s="759"/>
      <c r="Y48" s="759"/>
      <c r="Z48" s="759"/>
      <c r="AA48" s="759"/>
      <c r="AB48" s="759"/>
      <c r="AC48" s="759"/>
    </row>
    <row r="49" spans="1:29" ht="15.75" thickBot="1">
      <c r="A49" s="492" t="s">
        <v>2670</v>
      </c>
      <c r="B49" s="493"/>
      <c r="C49" s="1417">
        <f>R49</f>
        <v>31333</v>
      </c>
      <c r="D49" s="1417"/>
      <c r="E49" s="1417"/>
      <c r="F49" s="1417"/>
      <c r="G49" s="1417"/>
      <c r="H49" s="1417"/>
      <c r="I49" s="1417"/>
      <c r="J49" s="1417"/>
      <c r="K49" s="785"/>
      <c r="L49" s="1143"/>
      <c r="M49" s="1144">
        <v>10</v>
      </c>
      <c r="N49" s="1131"/>
      <c r="O49" s="1144"/>
      <c r="P49" s="3263" t="str">
        <f>A49</f>
        <v>估价对象XX用房的比较价值（楼面单价，元/平方米）</v>
      </c>
      <c r="Q49" s="3264"/>
      <c r="R49" s="3265">
        <f>IF(F1="售价",ROUND(AVERAGE(R48:V48),0),ROUND(AVERAGE(R48:V48),1))</f>
        <v>31333</v>
      </c>
      <c r="S49" s="3265"/>
      <c r="T49" s="3265"/>
      <c r="U49" s="3265"/>
      <c r="V49" s="3265"/>
      <c r="W49" s="3265"/>
      <c r="X49" s="759"/>
      <c r="Y49" s="759"/>
      <c r="Z49" s="759"/>
      <c r="AA49" s="759"/>
      <c r="AB49" s="759"/>
      <c r="AC49" s="759"/>
    </row>
    <row r="50" spans="1:29">
      <c r="A50" s="1144"/>
      <c r="B50" s="1144"/>
      <c r="C50" s="1144"/>
      <c r="D50" s="1144"/>
      <c r="E50" s="1144"/>
      <c r="F50" s="1144"/>
      <c r="G50" s="1147"/>
      <c r="H50" s="1144"/>
      <c r="I50" s="1144"/>
      <c r="J50" s="1144"/>
      <c r="K50" s="1105"/>
      <c r="L50" s="1106"/>
      <c r="M50" s="1144">
        <v>10</v>
      </c>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6.4516129032258007E-2</v>
      </c>
      <c r="F53" s="500" t="str">
        <f>IF(OR(E53&gt;=0.2,E53&lt;=-0.2),"超过20%","")</f>
        <v/>
      </c>
      <c r="G53" s="499">
        <f>IF(G48&lt;I48,I48/G48-1,G48/I48-1)</f>
        <v>0.10000000000000009</v>
      </c>
      <c r="H53" s="500" t="str">
        <f>IF(OR(G53&gt;=0.2,G53&lt;=-0.2),"超过20%","")</f>
        <v/>
      </c>
      <c r="I53" s="499">
        <f>IF(I48&lt;E48,E48/I48-1,I48/E48-1)</f>
        <v>3.3333333333333437E-2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6.4516129032258007E-2</v>
      </c>
      <c r="F54" s="500" t="str">
        <f>IF(OR(E54&gt;=0.3,E54&lt;=-0.3),"超过30%","")</f>
        <v/>
      </c>
      <c r="G54" s="499">
        <f>IF(G47&lt;I47,I47/G47-1,G47/I47-1)</f>
        <v>0.10000000000000009</v>
      </c>
      <c r="H54" s="500" t="str">
        <f>IF(OR(G54&gt;=0.3,G54&lt;=-0.3),"超过30%","")</f>
        <v/>
      </c>
      <c r="I54" s="499">
        <f>IF(I47&lt;E47,E47/I47-1,I47/E47-1)</f>
        <v>3.3333333333333437E-2</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2020-3</v>
      </c>
      <c r="D58" s="1575">
        <f>EDATE(C58,-1)</f>
        <v>43862</v>
      </c>
      <c r="E58" s="1575">
        <f t="shared" ref="E58:N58" si="16">EDATE(D58,-1)</f>
        <v>43831</v>
      </c>
      <c r="F58" s="1575">
        <f t="shared" si="16"/>
        <v>43800</v>
      </c>
      <c r="G58" s="1575">
        <f t="shared" si="16"/>
        <v>43770</v>
      </c>
      <c r="H58" s="1575">
        <f t="shared" si="16"/>
        <v>43739</v>
      </c>
      <c r="I58" s="1575">
        <f t="shared" si="16"/>
        <v>43709</v>
      </c>
      <c r="J58" s="1575">
        <f t="shared" si="16"/>
        <v>43678</v>
      </c>
      <c r="K58" s="1575">
        <f t="shared" si="16"/>
        <v>43647</v>
      </c>
      <c r="L58" s="1575">
        <f t="shared" si="16"/>
        <v>43617</v>
      </c>
      <c r="M58" s="1575">
        <f t="shared" si="16"/>
        <v>43586</v>
      </c>
      <c r="N58" s="1575">
        <f t="shared" si="16"/>
        <v>43556</v>
      </c>
      <c r="O58" s="1575">
        <f>EDATE(N58,-1)</f>
        <v>43525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v>0</v>
      </c>
      <c r="D68" s="549">
        <v>1</v>
      </c>
      <c r="E68" s="549">
        <v>2</v>
      </c>
      <c r="F68" s="549">
        <v>3</v>
      </c>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t="str">
        <f>B29</f>
        <v>楼层</v>
      </c>
      <c r="C94" s="554">
        <v>1</v>
      </c>
      <c r="D94" s="554">
        <v>-1</v>
      </c>
      <c r="E94" s="554">
        <v>-2</v>
      </c>
      <c r="F94" s="554"/>
      <c r="G94" s="583"/>
      <c r="H94" s="583"/>
      <c r="I94" s="583"/>
      <c r="J94" s="583"/>
      <c r="K94" s="584"/>
      <c r="L94" s="585"/>
      <c r="M94" s="586"/>
      <c r="N94" s="1152"/>
      <c r="O94" s="1152"/>
      <c r="P94" s="2632"/>
      <c r="Q94" s="504"/>
    </row>
    <row r="95" spans="1:17" ht="15.75" thickBot="1">
      <c r="A95" s="534"/>
      <c r="B95" s="543"/>
      <c r="C95" s="560">
        <v>100</v>
      </c>
      <c r="D95" s="536">
        <v>60</v>
      </c>
      <c r="E95" s="536">
        <v>50</v>
      </c>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v>100</v>
      </c>
      <c r="E103" s="595">
        <v>500</v>
      </c>
      <c r="F103" s="595"/>
      <c r="G103" s="595"/>
      <c r="H103" s="595"/>
      <c r="I103" s="595"/>
      <c r="J103" s="596"/>
      <c r="K103" s="596"/>
      <c r="L103" s="597"/>
      <c r="M103" s="598"/>
      <c r="N103" s="1154"/>
      <c r="O103" s="1154"/>
      <c r="P103" s="2633"/>
      <c r="Q103" s="559"/>
    </row>
    <row r="104" spans="1:17" s="471" customFormat="1" ht="15.75" thickBot="1">
      <c r="A104" s="553"/>
      <c r="B104" s="543"/>
      <c r="C104" s="560">
        <v>100</v>
      </c>
      <c r="D104" s="536">
        <v>98</v>
      </c>
      <c r="E104" s="536">
        <v>96</v>
      </c>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8"/>
      <c r="D2" s="1365"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708.8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84" t="s">
        <v>2651</v>
      </c>
      <c r="Q4" s="3285"/>
      <c r="R4" s="3279" t="s">
        <v>2647</v>
      </c>
      <c r="S4" s="3280"/>
      <c r="T4" s="3279" t="s">
        <v>2648</v>
      </c>
      <c r="U4" s="3280"/>
      <c r="V4" s="3288" t="s">
        <v>2649</v>
      </c>
      <c r="W4" s="3288"/>
      <c r="X4" s="2672"/>
      <c r="Y4" s="3279" t="s">
        <v>2651</v>
      </c>
      <c r="Z4" s="3280"/>
      <c r="AA4" s="3278" t="s">
        <v>2647</v>
      </c>
      <c r="AB4" s="3278" t="s">
        <v>2648</v>
      </c>
      <c r="AC4" s="3281" t="s">
        <v>2649</v>
      </c>
    </row>
    <row r="5" spans="1:29" ht="15">
      <c r="A5" s="404"/>
      <c r="B5" s="405"/>
      <c r="C5" s="3242" t="s">
        <v>2542</v>
      </c>
      <c r="D5" s="3243"/>
      <c r="E5" s="3240" t="s">
        <v>2543</v>
      </c>
      <c r="F5" s="3241"/>
      <c r="G5" s="3242" t="s">
        <v>2544</v>
      </c>
      <c r="H5" s="3243"/>
      <c r="I5" s="3242" t="s">
        <v>2545</v>
      </c>
      <c r="J5" s="3243"/>
      <c r="K5" s="610"/>
      <c r="L5" s="1130"/>
      <c r="M5" s="1131"/>
      <c r="N5" s="1131"/>
      <c r="O5" s="1131"/>
      <c r="P5" s="3286"/>
      <c r="Q5" s="3256"/>
      <c r="R5" s="3238"/>
      <c r="S5" s="3239"/>
      <c r="T5" s="3238"/>
      <c r="U5" s="3239"/>
      <c r="V5" s="3261"/>
      <c r="W5" s="3261"/>
      <c r="X5" s="1813"/>
      <c r="Y5" s="3238"/>
      <c r="Z5" s="3239"/>
      <c r="AA5" s="3232"/>
      <c r="AB5" s="3232"/>
      <c r="AC5" s="3282"/>
    </row>
    <row r="6" spans="1:29" ht="15.75" thickBot="1">
      <c r="A6" s="406"/>
      <c r="B6" s="407"/>
      <c r="C6" s="3244" t="s">
        <v>2546</v>
      </c>
      <c r="D6" s="3245"/>
      <c r="E6" s="3246" t="s">
        <v>2546</v>
      </c>
      <c r="F6" s="3247"/>
      <c r="G6" s="3244" t="s">
        <v>2546</v>
      </c>
      <c r="H6" s="3245"/>
      <c r="I6" s="3244" t="s">
        <v>2546</v>
      </c>
      <c r="J6" s="3245"/>
      <c r="K6" s="610" t="s">
        <v>2547</v>
      </c>
      <c r="L6" s="1130"/>
      <c r="M6" s="1131"/>
      <c r="N6" s="1131"/>
      <c r="O6" s="1131"/>
      <c r="P6" s="3287"/>
      <c r="Q6" s="3258"/>
      <c r="R6" s="3238"/>
      <c r="S6" s="3239"/>
      <c r="T6" s="3259"/>
      <c r="U6" s="3260"/>
      <c r="V6" s="3261"/>
      <c r="W6" s="3261"/>
      <c r="X6" s="1813"/>
      <c r="Y6" s="3259"/>
      <c r="Z6" s="3260"/>
      <c r="AA6" s="3233"/>
      <c r="AB6" s="3233"/>
      <c r="AC6" s="3283"/>
    </row>
    <row r="7" spans="1:29" s="117" customFormat="1" ht="15.75" thickBot="1">
      <c r="A7" s="408" t="s">
        <v>2548</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9" t="s">
        <v>2549</v>
      </c>
      <c r="Q7" s="3262"/>
      <c r="R7" s="770" t="s">
        <v>17</v>
      </c>
      <c r="S7" s="771">
        <f t="shared" ref="S7:S15" si="0">F7</f>
        <v>0</v>
      </c>
      <c r="T7" s="770" t="s">
        <v>17</v>
      </c>
      <c r="U7" s="771">
        <f t="shared" ref="U7:U15" si="1">H7</f>
        <v>0</v>
      </c>
      <c r="V7" s="770" t="s">
        <v>17</v>
      </c>
      <c r="W7" s="771">
        <f t="shared" ref="W7:W15" si="2">J7</f>
        <v>0</v>
      </c>
      <c r="X7" s="772"/>
      <c r="Y7" s="3234" t="s">
        <v>2549</v>
      </c>
      <c r="Z7" s="3235"/>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9" t="s">
        <v>2552</v>
      </c>
      <c r="Q8" s="3235"/>
      <c r="R8" s="770" t="s">
        <v>17</v>
      </c>
      <c r="S8" s="771">
        <f t="shared" si="0"/>
        <v>0</v>
      </c>
      <c r="T8" s="770" t="s">
        <v>17</v>
      </c>
      <c r="U8" s="771">
        <f t="shared" si="1"/>
        <v>0</v>
      </c>
      <c r="V8" s="770" t="s">
        <v>17</v>
      </c>
      <c r="W8" s="771">
        <f t="shared" si="2"/>
        <v>0</v>
      </c>
      <c r="X8" s="772"/>
      <c r="Y8" s="3234" t="s">
        <v>2552</v>
      </c>
      <c r="Z8" s="3235"/>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8"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8"/>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8"/>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48"/>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48"/>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48"/>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5" t="s">
        <v>2560</v>
      </c>
      <c r="Q15" s="1810" t="str">
        <f t="shared" si="6"/>
        <v>办公集聚程度</v>
      </c>
      <c r="R15" s="774" t="s">
        <v>17</v>
      </c>
      <c r="S15" s="775">
        <f t="shared" si="0"/>
        <v>100</v>
      </c>
      <c r="T15" s="774" t="s">
        <v>17</v>
      </c>
      <c r="U15" s="775">
        <f t="shared" si="1"/>
        <v>100</v>
      </c>
      <c r="V15" s="774" t="s">
        <v>17</v>
      </c>
      <c r="W15" s="775">
        <f t="shared" si="2"/>
        <v>100</v>
      </c>
      <c r="X15" s="1813"/>
      <c r="Y15" s="3268" t="s">
        <v>2560</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76"/>
      <c r="Q16" s="1810"/>
      <c r="R16" s="774"/>
      <c r="S16" s="775"/>
      <c r="T16" s="774"/>
      <c r="U16" s="775"/>
      <c r="V16" s="774"/>
      <c r="W16" s="775"/>
      <c r="X16" s="1813"/>
      <c r="Y16" s="3269"/>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6"/>
      <c r="Q17" s="1810" t="str">
        <f>B17</f>
        <v>交通便捷度</v>
      </c>
      <c r="R17" s="774" t="s">
        <v>17</v>
      </c>
      <c r="S17" s="775">
        <f>F17</f>
        <v>100</v>
      </c>
      <c r="T17" s="774" t="s">
        <v>17</v>
      </c>
      <c r="U17" s="775">
        <f>H17</f>
        <v>100</v>
      </c>
      <c r="V17" s="774" t="s">
        <v>17</v>
      </c>
      <c r="W17" s="775">
        <f>J17</f>
        <v>100</v>
      </c>
      <c r="X17" s="1813"/>
      <c r="Y17" s="326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76"/>
      <c r="Q18" s="1810"/>
      <c r="R18" s="774"/>
      <c r="S18" s="775"/>
      <c r="T18" s="774"/>
      <c r="U18" s="775"/>
      <c r="V18" s="774"/>
      <c r="W18" s="775"/>
      <c r="X18" s="1813"/>
      <c r="Y18" s="3269"/>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6"/>
      <c r="Q19" s="1810" t="str">
        <f>B19</f>
        <v>公共配套设施</v>
      </c>
      <c r="R19" s="774" t="s">
        <v>17</v>
      </c>
      <c r="S19" s="775">
        <f>F19</f>
        <v>100</v>
      </c>
      <c r="T19" s="774" t="s">
        <v>17</v>
      </c>
      <c r="U19" s="775">
        <f>H19</f>
        <v>100</v>
      </c>
      <c r="V19" s="774" t="s">
        <v>17</v>
      </c>
      <c r="W19" s="775">
        <f>J19</f>
        <v>100</v>
      </c>
      <c r="X19" s="1813"/>
      <c r="Y19" s="326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76"/>
      <c r="Q20" s="1810"/>
      <c r="R20" s="774"/>
      <c r="S20" s="775"/>
      <c r="T20" s="774"/>
      <c r="U20" s="775"/>
      <c r="V20" s="774"/>
      <c r="W20" s="775"/>
      <c r="X20" s="1813"/>
      <c r="Y20" s="3269"/>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6"/>
      <c r="Q21" s="1810" t="str">
        <f>B21</f>
        <v>基础设施水平</v>
      </c>
      <c r="R21" s="774" t="s">
        <v>17</v>
      </c>
      <c r="S21" s="775">
        <f>F21</f>
        <v>100</v>
      </c>
      <c r="T21" s="774" t="s">
        <v>17</v>
      </c>
      <c r="U21" s="775">
        <f>H21</f>
        <v>100</v>
      </c>
      <c r="V21" s="774" t="s">
        <v>17</v>
      </c>
      <c r="W21" s="775">
        <f>J21</f>
        <v>100</v>
      </c>
      <c r="X21" s="1813"/>
      <c r="Y21" s="326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76"/>
      <c r="Q22" s="1810"/>
      <c r="R22" s="774"/>
      <c r="S22" s="775"/>
      <c r="T22" s="774"/>
      <c r="U22" s="775"/>
      <c r="V22" s="774"/>
      <c r="W22" s="775"/>
      <c r="X22" s="1813"/>
      <c r="Y22" s="3269"/>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6"/>
      <c r="Q23" s="1810" t="str">
        <f>B23</f>
        <v>环境质量</v>
      </c>
      <c r="R23" s="774" t="s">
        <v>17</v>
      </c>
      <c r="S23" s="775">
        <f>F23</f>
        <v>100</v>
      </c>
      <c r="T23" s="774" t="s">
        <v>17</v>
      </c>
      <c r="U23" s="775">
        <f>H23</f>
        <v>100</v>
      </c>
      <c r="V23" s="774" t="s">
        <v>17</v>
      </c>
      <c r="W23" s="775">
        <f>J23</f>
        <v>100</v>
      </c>
      <c r="X23" s="1813"/>
      <c r="Y23" s="326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76"/>
      <c r="Q24" s="1810"/>
      <c r="R24" s="774"/>
      <c r="S24" s="775"/>
      <c r="T24" s="774"/>
      <c r="U24" s="775"/>
      <c r="V24" s="774"/>
      <c r="W24" s="775"/>
      <c r="X24" s="1813"/>
      <c r="Y24" s="3269"/>
      <c r="Z24" s="1814"/>
      <c r="AA24" s="1811">
        <v>1</v>
      </c>
      <c r="AB24" s="1811">
        <v>1</v>
      </c>
      <c r="AC24" s="2676">
        <v>1</v>
      </c>
    </row>
    <row r="25" spans="1:29" ht="27">
      <c r="A25" s="404"/>
      <c r="B25" s="631" t="s">
        <v>2691</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76"/>
      <c r="Q25" s="1810" t="str">
        <f>B25</f>
        <v>毗邻道路的类型与等级</v>
      </c>
      <c r="R25" s="774" t="s">
        <v>17</v>
      </c>
      <c r="S25" s="775">
        <f>F25</f>
        <v>100</v>
      </c>
      <c r="T25" s="774" t="s">
        <v>17</v>
      </c>
      <c r="U25" s="775">
        <f>H25</f>
        <v>100</v>
      </c>
      <c r="V25" s="774" t="s">
        <v>17</v>
      </c>
      <c r="W25" s="775">
        <f>J25</f>
        <v>100</v>
      </c>
      <c r="X25" s="1813"/>
      <c r="Y25" s="326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76"/>
      <c r="Q26" s="1810"/>
      <c r="R26" s="774"/>
      <c r="S26" s="775"/>
      <c r="T26" s="774"/>
      <c r="U26" s="775"/>
      <c r="V26" s="774"/>
      <c r="W26" s="775"/>
      <c r="X26" s="1813"/>
      <c r="Y26" s="3269"/>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6"/>
      <c r="Q27" s="1810" t="str">
        <f t="shared" ref="Q27:Q47" si="11">B27</f>
        <v>楼层</v>
      </c>
      <c r="R27" s="774" t="s">
        <v>17</v>
      </c>
      <c r="S27" s="775">
        <f>F27</f>
        <v>100</v>
      </c>
      <c r="T27" s="774" t="s">
        <v>17</v>
      </c>
      <c r="U27" s="775">
        <f>H27</f>
        <v>100</v>
      </c>
      <c r="V27" s="774" t="s">
        <v>17</v>
      </c>
      <c r="W27" s="775">
        <f>J27</f>
        <v>100</v>
      </c>
      <c r="X27" s="1813"/>
      <c r="Y27" s="3269"/>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76"/>
      <c r="Q28" s="1795" t="str">
        <f t="shared" si="11"/>
        <v>朝向</v>
      </c>
      <c r="R28" s="770" t="s">
        <v>17</v>
      </c>
      <c r="S28" s="771">
        <f>F28</f>
        <v>100</v>
      </c>
      <c r="T28" s="770" t="s">
        <v>17</v>
      </c>
      <c r="U28" s="771">
        <f>H28</f>
        <v>100</v>
      </c>
      <c r="V28" s="770" t="s">
        <v>17</v>
      </c>
      <c r="W28" s="771">
        <f>J28</f>
        <v>100</v>
      </c>
      <c r="X28" s="772"/>
      <c r="Y28" s="326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76"/>
      <c r="Q29" s="1810">
        <f t="shared" si="11"/>
        <v>111</v>
      </c>
      <c r="R29" s="774" t="s">
        <v>17</v>
      </c>
      <c r="S29" s="775">
        <f t="shared" ref="S29:S47" si="12">F29</f>
        <v>100</v>
      </c>
      <c r="T29" s="774" t="s">
        <v>17</v>
      </c>
      <c r="U29" s="775">
        <f t="shared" ref="U29:U47" si="13">H29</f>
        <v>100</v>
      </c>
      <c r="V29" s="774" t="s">
        <v>17</v>
      </c>
      <c r="W29" s="775">
        <f t="shared" ref="W29:W47" si="14">J29</f>
        <v>100</v>
      </c>
      <c r="X29" s="1813"/>
      <c r="Y29" s="326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76"/>
      <c r="Q30" s="1810">
        <f t="shared" si="11"/>
        <v>111</v>
      </c>
      <c r="R30" s="774" t="s">
        <v>17</v>
      </c>
      <c r="S30" s="775">
        <f t="shared" si="12"/>
        <v>100</v>
      </c>
      <c r="T30" s="774" t="s">
        <v>17</v>
      </c>
      <c r="U30" s="775">
        <f t="shared" si="13"/>
        <v>100</v>
      </c>
      <c r="V30" s="774" t="s">
        <v>17</v>
      </c>
      <c r="W30" s="775">
        <f t="shared" si="14"/>
        <v>100</v>
      </c>
      <c r="X30" s="1813"/>
      <c r="Y30" s="326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76"/>
      <c r="Q31" s="1810">
        <f t="shared" si="11"/>
        <v>111</v>
      </c>
      <c r="R31" s="774" t="s">
        <v>17</v>
      </c>
      <c r="S31" s="775">
        <f t="shared" si="12"/>
        <v>100</v>
      </c>
      <c r="T31" s="774" t="s">
        <v>17</v>
      </c>
      <c r="U31" s="775">
        <f t="shared" si="13"/>
        <v>100</v>
      </c>
      <c r="V31" s="774" t="s">
        <v>17</v>
      </c>
      <c r="W31" s="775">
        <f t="shared" si="14"/>
        <v>100</v>
      </c>
      <c r="X31" s="1813"/>
      <c r="Y31" s="3269"/>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76"/>
      <c r="Q32" s="1810">
        <f t="shared" si="11"/>
        <v>111</v>
      </c>
      <c r="R32" s="774" t="s">
        <v>17</v>
      </c>
      <c r="S32" s="775">
        <f t="shared" si="12"/>
        <v>100</v>
      </c>
      <c r="T32" s="774" t="s">
        <v>17</v>
      </c>
      <c r="U32" s="775">
        <f t="shared" si="13"/>
        <v>100</v>
      </c>
      <c r="V32" s="774" t="s">
        <v>17</v>
      </c>
      <c r="W32" s="775">
        <f t="shared" si="14"/>
        <v>100</v>
      </c>
      <c r="X32" s="1813"/>
      <c r="Y32" s="3269"/>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70" t="s">
        <v>2565</v>
      </c>
      <c r="Q33" s="1810" t="str">
        <f t="shared" si="11"/>
        <v>建筑类型</v>
      </c>
      <c r="R33" s="774" t="s">
        <v>17</v>
      </c>
      <c r="S33" s="775">
        <f t="shared" si="12"/>
        <v>100</v>
      </c>
      <c r="T33" s="774" t="s">
        <v>17</v>
      </c>
      <c r="U33" s="775">
        <f t="shared" si="13"/>
        <v>100</v>
      </c>
      <c r="V33" s="774" t="s">
        <v>17</v>
      </c>
      <c r="W33" s="775">
        <f t="shared" si="14"/>
        <v>100</v>
      </c>
      <c r="X33" s="1813"/>
      <c r="Y33" s="3273"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1"/>
      <c r="Q34" s="776" t="str">
        <f t="shared" si="11"/>
        <v>项目建筑规模</v>
      </c>
      <c r="R34" s="777" t="s">
        <v>17</v>
      </c>
      <c r="S34" s="778" t="e">
        <f t="shared" si="12"/>
        <v>#N/A</v>
      </c>
      <c r="T34" s="777" t="s">
        <v>17</v>
      </c>
      <c r="U34" s="778" t="e">
        <f t="shared" si="13"/>
        <v>#N/A</v>
      </c>
      <c r="V34" s="777" t="s">
        <v>17</v>
      </c>
      <c r="W34" s="778" t="e">
        <f t="shared" si="14"/>
        <v>#N/A</v>
      </c>
      <c r="X34" s="779"/>
      <c r="Y34" s="3273"/>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1"/>
      <c r="Q35" s="1810" t="str">
        <f t="shared" si="11"/>
        <v>建筑结构</v>
      </c>
      <c r="R35" s="774" t="s">
        <v>17</v>
      </c>
      <c r="S35" s="775">
        <f t="shared" si="12"/>
        <v>100</v>
      </c>
      <c r="T35" s="774" t="s">
        <v>17</v>
      </c>
      <c r="U35" s="775">
        <f t="shared" si="13"/>
        <v>100</v>
      </c>
      <c r="V35" s="774" t="s">
        <v>17</v>
      </c>
      <c r="W35" s="775">
        <f t="shared" si="14"/>
        <v>100</v>
      </c>
      <c r="X35" s="1813"/>
      <c r="Y35" s="3273"/>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1"/>
      <c r="Q36" s="1810" t="str">
        <f t="shared" si="11"/>
        <v>公共部分装修</v>
      </c>
      <c r="R36" s="774" t="s">
        <v>17</v>
      </c>
      <c r="S36" s="775">
        <f t="shared" si="12"/>
        <v>100</v>
      </c>
      <c r="T36" s="774" t="s">
        <v>17</v>
      </c>
      <c r="U36" s="775">
        <f t="shared" si="13"/>
        <v>100</v>
      </c>
      <c r="V36" s="774" t="s">
        <v>17</v>
      </c>
      <c r="W36" s="775">
        <f t="shared" si="14"/>
        <v>100</v>
      </c>
      <c r="X36" s="1813"/>
      <c r="Y36" s="3273"/>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1"/>
      <c r="Q37" s="1810" t="str">
        <f t="shared" si="11"/>
        <v>成新度</v>
      </c>
      <c r="R37" s="774" t="s">
        <v>17</v>
      </c>
      <c r="S37" s="775" t="e">
        <f t="shared" si="12"/>
        <v>#N/A</v>
      </c>
      <c r="T37" s="774" t="s">
        <v>17</v>
      </c>
      <c r="U37" s="775" t="e">
        <f t="shared" si="13"/>
        <v>#N/A</v>
      </c>
      <c r="V37" s="774" t="s">
        <v>17</v>
      </c>
      <c r="W37" s="775" t="e">
        <f t="shared" si="14"/>
        <v>#N/A</v>
      </c>
      <c r="X37" s="1813"/>
      <c r="Y37" s="3273"/>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1"/>
      <c r="Q38" s="1795" t="str">
        <f t="shared" si="11"/>
        <v>写字楼等级</v>
      </c>
      <c r="R38" s="770" t="s">
        <v>17</v>
      </c>
      <c r="S38" s="771">
        <f t="shared" si="12"/>
        <v>100</v>
      </c>
      <c r="T38" s="770" t="s">
        <v>17</v>
      </c>
      <c r="U38" s="771">
        <f t="shared" si="13"/>
        <v>100</v>
      </c>
      <c r="V38" s="770" t="s">
        <v>17</v>
      </c>
      <c r="W38" s="771">
        <f t="shared" si="14"/>
        <v>100</v>
      </c>
      <c r="X38" s="772"/>
      <c r="Y38" s="3273"/>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1" t="s">
        <v>2565</v>
      </c>
      <c r="Q39" s="1810" t="str">
        <f t="shared" si="11"/>
        <v>物业管理</v>
      </c>
      <c r="R39" s="774" t="s">
        <v>17</v>
      </c>
      <c r="S39" s="775">
        <f t="shared" si="12"/>
        <v>100</v>
      </c>
      <c r="T39" s="774" t="s">
        <v>17</v>
      </c>
      <c r="U39" s="775">
        <f t="shared" si="13"/>
        <v>100</v>
      </c>
      <c r="V39" s="774" t="s">
        <v>17</v>
      </c>
      <c r="W39" s="775">
        <f t="shared" si="14"/>
        <v>100</v>
      </c>
      <c r="X39" s="1813"/>
      <c r="Y39" s="3273"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1"/>
      <c r="Q40" s="1810" t="str">
        <f t="shared" si="11"/>
        <v>市政基础设施</v>
      </c>
      <c r="R40" s="774" t="s">
        <v>17</v>
      </c>
      <c r="S40" s="775">
        <f t="shared" si="12"/>
        <v>100</v>
      </c>
      <c r="T40" s="774" t="s">
        <v>17</v>
      </c>
      <c r="U40" s="775">
        <f t="shared" si="13"/>
        <v>100</v>
      </c>
      <c r="V40" s="774" t="s">
        <v>17</v>
      </c>
      <c r="W40" s="775">
        <f t="shared" si="14"/>
        <v>100</v>
      </c>
      <c r="X40" s="1813"/>
      <c r="Y40" s="3273"/>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1"/>
      <c r="Q41" s="1810" t="str">
        <f t="shared" si="11"/>
        <v>层高</v>
      </c>
      <c r="R41" s="774" t="s">
        <v>17</v>
      </c>
      <c r="S41" s="775">
        <f t="shared" si="12"/>
        <v>100</v>
      </c>
      <c r="T41" s="774" t="s">
        <v>17</v>
      </c>
      <c r="U41" s="775">
        <f t="shared" si="13"/>
        <v>100</v>
      </c>
      <c r="V41" s="774" t="s">
        <v>17</v>
      </c>
      <c r="W41" s="775">
        <f t="shared" si="14"/>
        <v>100</v>
      </c>
      <c r="X41" s="1813"/>
      <c r="Y41" s="3273"/>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1"/>
      <c r="Q42" s="776" t="str">
        <f t="shared" si="11"/>
        <v>单套建筑面积</v>
      </c>
      <c r="R42" s="777" t="s">
        <v>17</v>
      </c>
      <c r="S42" s="778">
        <f t="shared" si="12"/>
        <v>100</v>
      </c>
      <c r="T42" s="777" t="s">
        <v>17</v>
      </c>
      <c r="U42" s="778">
        <f t="shared" si="13"/>
        <v>100</v>
      </c>
      <c r="V42" s="777" t="s">
        <v>17</v>
      </c>
      <c r="W42" s="778">
        <f t="shared" si="14"/>
        <v>100</v>
      </c>
      <c r="X42" s="779"/>
      <c r="Y42" s="3273"/>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1"/>
      <c r="Q43" s="1810" t="str">
        <f t="shared" si="11"/>
        <v>内部装修</v>
      </c>
      <c r="R43" s="774" t="s">
        <v>17</v>
      </c>
      <c r="S43" s="775">
        <f t="shared" si="12"/>
        <v>100</v>
      </c>
      <c r="T43" s="774" t="s">
        <v>17</v>
      </c>
      <c r="U43" s="775">
        <f t="shared" si="13"/>
        <v>100</v>
      </c>
      <c r="V43" s="774" t="s">
        <v>17</v>
      </c>
      <c r="W43" s="775">
        <f t="shared" si="14"/>
        <v>100</v>
      </c>
      <c r="X43" s="1813"/>
      <c r="Y43" s="3273"/>
      <c r="Z43" s="1814" t="str">
        <f t="shared" si="15"/>
        <v>内部装修</v>
      </c>
      <c r="AA43" s="1811">
        <f t="shared" si="3"/>
        <v>1</v>
      </c>
      <c r="AB43" s="1811">
        <f t="shared" si="4"/>
        <v>1</v>
      </c>
      <c r="AC43" s="2676">
        <f t="shared" si="5"/>
        <v>1</v>
      </c>
    </row>
    <row r="44" spans="1:29" ht="15">
      <c r="A44" s="472"/>
      <c r="B44" s="422" t="s">
        <v>2576</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71"/>
      <c r="Q44" s="1810" t="str">
        <f t="shared" si="11"/>
        <v>内部装修维护情况</v>
      </c>
      <c r="R44" s="774" t="s">
        <v>17</v>
      </c>
      <c r="S44" s="775">
        <f t="shared" si="12"/>
        <v>100</v>
      </c>
      <c r="T44" s="774" t="s">
        <v>17</v>
      </c>
      <c r="U44" s="775">
        <f t="shared" si="13"/>
        <v>100</v>
      </c>
      <c r="V44" s="774" t="s">
        <v>17</v>
      </c>
      <c r="W44" s="775">
        <f t="shared" si="14"/>
        <v>100</v>
      </c>
      <c r="X44" s="1813"/>
      <c r="Y44" s="327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1"/>
      <c r="Q45" s="1795">
        <f t="shared" si="11"/>
        <v>111</v>
      </c>
      <c r="R45" s="770" t="s">
        <v>17</v>
      </c>
      <c r="S45" s="771">
        <f t="shared" si="12"/>
        <v>100</v>
      </c>
      <c r="T45" s="770" t="s">
        <v>17</v>
      </c>
      <c r="U45" s="771">
        <f t="shared" si="13"/>
        <v>100</v>
      </c>
      <c r="V45" s="770" t="s">
        <v>17</v>
      </c>
      <c r="W45" s="771">
        <f t="shared" si="14"/>
        <v>100</v>
      </c>
      <c r="X45" s="772"/>
      <c r="Y45" s="327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1"/>
      <c r="Q46" s="1810">
        <f t="shared" si="11"/>
        <v>111</v>
      </c>
      <c r="R46" s="774" t="s">
        <v>17</v>
      </c>
      <c r="S46" s="775">
        <f t="shared" si="12"/>
        <v>100</v>
      </c>
      <c r="T46" s="774" t="s">
        <v>17</v>
      </c>
      <c r="U46" s="775">
        <f t="shared" si="13"/>
        <v>100</v>
      </c>
      <c r="V46" s="774" t="s">
        <v>17</v>
      </c>
      <c r="W46" s="775">
        <f t="shared" si="14"/>
        <v>100</v>
      </c>
      <c r="X46" s="1813"/>
      <c r="Y46" s="327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2"/>
      <c r="Q47" s="1810">
        <f t="shared" si="11"/>
        <v>111</v>
      </c>
      <c r="R47" s="774" t="s">
        <v>17</v>
      </c>
      <c r="S47" s="775">
        <f t="shared" si="12"/>
        <v>100</v>
      </c>
      <c r="T47" s="774" t="s">
        <v>17</v>
      </c>
      <c r="U47" s="775">
        <f t="shared" si="13"/>
        <v>100</v>
      </c>
      <c r="V47" s="774" t="s">
        <v>17</v>
      </c>
      <c r="W47" s="775">
        <f t="shared" si="14"/>
        <v>100</v>
      </c>
      <c r="X47" s="1813"/>
      <c r="Y47" s="3274"/>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248" t="str">
        <f>A48</f>
        <v>成交单价（元/平方米）</v>
      </c>
      <c r="Q48" s="3266"/>
      <c r="R48" s="3267">
        <f>E48</f>
        <v>0</v>
      </c>
      <c r="S48" s="3267"/>
      <c r="T48" s="3267">
        <f>G48</f>
        <v>0</v>
      </c>
      <c r="U48" s="3267"/>
      <c r="V48" s="3267">
        <f>I48</f>
        <v>0</v>
      </c>
      <c r="W48" s="3267"/>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248" t="str">
        <f>A49</f>
        <v>比较价值（元/平方米）</v>
      </c>
      <c r="Q49" s="3266"/>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90" t="str">
        <f>A50</f>
        <v>估价对象XX用房的比较价值（楼面单价，元/平方米）</v>
      </c>
      <c r="Q50" s="3291"/>
      <c r="R50" s="3292" t="e">
        <f>IF(F1="售价",ROUND(AVERAGE(R49:V49),0),ROUND(AVERAGE(R49:V49),1))</f>
        <v>#DIV/0!</v>
      </c>
      <c r="S50" s="3292"/>
      <c r="T50" s="3292"/>
      <c r="U50" s="3292"/>
      <c r="V50" s="3292"/>
      <c r="W50" s="3292"/>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2020-3</v>
      </c>
      <c r="D59" s="1575">
        <f>EDATE(C59,-1)</f>
        <v>43862</v>
      </c>
      <c r="E59" s="1575">
        <f>EDATE(D59,-1)</f>
        <v>43831</v>
      </c>
      <c r="F59" s="1575">
        <f t="shared" ref="F59:O59" si="16">EDATE(E59,-1)</f>
        <v>43800</v>
      </c>
      <c r="G59" s="1575">
        <f t="shared" si="16"/>
        <v>43770</v>
      </c>
      <c r="H59" s="1575">
        <f t="shared" si="16"/>
        <v>43739</v>
      </c>
      <c r="I59" s="1575">
        <f t="shared" si="16"/>
        <v>43709</v>
      </c>
      <c r="J59" s="1575">
        <f t="shared" si="16"/>
        <v>43678</v>
      </c>
      <c r="K59" s="1575">
        <f t="shared" si="16"/>
        <v>43647</v>
      </c>
      <c r="L59" s="1575">
        <f t="shared" si="16"/>
        <v>43617</v>
      </c>
      <c r="M59" s="1575">
        <f t="shared" si="16"/>
        <v>43586</v>
      </c>
      <c r="N59" s="1575">
        <f t="shared" si="16"/>
        <v>43556</v>
      </c>
      <c r="O59" s="1575">
        <f t="shared" si="16"/>
        <v>43525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估价对象为北京市出让国有建设用地使用权及在建建筑物房地产，为所有。根据《国有土地使用证》[]，估价对象（分摊）出让国有建设用地使用权面积为0平方米，建筑面积为708.8平方米。</v>
      </c>
    </row>
    <row r="8" spans="1:1" ht="57.75">
      <c r="A8" s="1950" t="s">
        <v>1608</v>
      </c>
    </row>
    <row r="9" spans="1:1" ht="18.75">
      <c r="A9" s="1949" t="s">
        <v>1609</v>
      </c>
    </row>
    <row r="10" spans="1:1" ht="54">
      <c r="A10" s="1947"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708.8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2020年3月24日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"本次评估采用的主估价方法为"&amp;'结果表（1）'!K4&amp;"和"&amp;'结果表（1）'!L4&amp;"。"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8"/>
      <c r="D2" s="1124" t="e">
        <f ca="1">SUMIF(INDIRECT("'"&amp;F2&amp;"'"&amp;"!A:A"),"承租人权益价值",INDIRECT("'"&amp;F2&amp;"'"&amp;"!c:c"))</f>
        <v>#REF!</v>
      </c>
      <c r="E2" s="2589" t="s">
        <v>2328</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708.8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32" t="s">
        <v>2648</v>
      </c>
      <c r="AC4" s="3231" t="s">
        <v>2649</v>
      </c>
    </row>
    <row r="5" spans="1:29" ht="15">
      <c r="A5" s="404"/>
      <c r="B5" s="405"/>
      <c r="C5" s="3242" t="s">
        <v>2542</v>
      </c>
      <c r="D5" s="3243"/>
      <c r="E5" s="3240" t="s">
        <v>2543</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32"/>
      <c r="AC5" s="3232"/>
    </row>
    <row r="6" spans="1:29" ht="15.75" thickBot="1">
      <c r="A6" s="406"/>
      <c r="B6" s="407"/>
      <c r="C6" s="3244" t="s">
        <v>2546</v>
      </c>
      <c r="D6" s="3245"/>
      <c r="E6" s="3246" t="s">
        <v>2546</v>
      </c>
      <c r="F6" s="3247"/>
      <c r="G6" s="3244" t="s">
        <v>2546</v>
      </c>
      <c r="H6" s="3245"/>
      <c r="I6" s="3244" t="s">
        <v>2546</v>
      </c>
      <c r="J6" s="3245"/>
      <c r="K6" s="610" t="s">
        <v>2547</v>
      </c>
      <c r="L6" s="1130"/>
      <c r="M6" s="1131"/>
      <c r="N6" s="1131"/>
      <c r="O6" s="1131"/>
      <c r="P6" s="3257"/>
      <c r="Q6" s="3258"/>
      <c r="R6" s="3238"/>
      <c r="S6" s="3239"/>
      <c r="T6" s="3259"/>
      <c r="U6" s="3260"/>
      <c r="V6" s="3261"/>
      <c r="W6" s="3261"/>
      <c r="X6" s="1813"/>
      <c r="Y6" s="3259"/>
      <c r="Z6" s="3260"/>
      <c r="AA6" s="3233"/>
      <c r="AB6" s="3233"/>
      <c r="AC6" s="3233"/>
    </row>
    <row r="7" spans="1:29" s="117" customFormat="1" ht="15.75" thickBot="1">
      <c r="A7" s="408" t="s">
        <v>2548</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4" t="s">
        <v>2549</v>
      </c>
      <c r="Q7" s="3262"/>
      <c r="R7" s="770" t="s">
        <v>17</v>
      </c>
      <c r="S7" s="771">
        <f t="shared" ref="S7:S15" si="0">F7</f>
        <v>0</v>
      </c>
      <c r="T7" s="770" t="s">
        <v>17</v>
      </c>
      <c r="U7" s="771">
        <f t="shared" ref="U7:U15" si="1">H7</f>
        <v>0</v>
      </c>
      <c r="V7" s="770" t="s">
        <v>17</v>
      </c>
      <c r="W7" s="771">
        <f t="shared" ref="W7:W15" si="2">J7</f>
        <v>0</v>
      </c>
      <c r="X7" s="772"/>
      <c r="Y7" s="3234" t="s">
        <v>2549</v>
      </c>
      <c r="Z7" s="3235"/>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4" t="s">
        <v>2552</v>
      </c>
      <c r="Q8" s="3235"/>
      <c r="R8" s="770" t="s">
        <v>17</v>
      </c>
      <c r="S8" s="771">
        <f t="shared" si="0"/>
        <v>0</v>
      </c>
      <c r="T8" s="770" t="s">
        <v>17</v>
      </c>
      <c r="U8" s="771">
        <f t="shared" si="1"/>
        <v>0</v>
      </c>
      <c r="V8" s="770" t="s">
        <v>17</v>
      </c>
      <c r="W8" s="771">
        <f t="shared" si="2"/>
        <v>0</v>
      </c>
      <c r="X8" s="772"/>
      <c r="Y8" s="3234" t="s">
        <v>2552</v>
      </c>
      <c r="Z8" s="3235"/>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6"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6"/>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6"/>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66"/>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66"/>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66"/>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68" t="s">
        <v>2560</v>
      </c>
      <c r="Q15" s="1810" t="str">
        <f t="shared" si="6"/>
        <v>产业集聚程度</v>
      </c>
      <c r="R15" s="774" t="s">
        <v>17</v>
      </c>
      <c r="S15" s="775">
        <f t="shared" si="0"/>
        <v>100</v>
      </c>
      <c r="T15" s="774" t="s">
        <v>17</v>
      </c>
      <c r="U15" s="775">
        <f t="shared" si="1"/>
        <v>100</v>
      </c>
      <c r="V15" s="774" t="s">
        <v>17</v>
      </c>
      <c r="W15" s="775">
        <f t="shared" si="2"/>
        <v>100</v>
      </c>
      <c r="X15" s="1813"/>
      <c r="Y15" s="3268"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69"/>
      <c r="Q16" s="1810"/>
      <c r="R16" s="774"/>
      <c r="S16" s="775"/>
      <c r="T16" s="774"/>
      <c r="U16" s="775"/>
      <c r="V16" s="774"/>
      <c r="W16" s="775"/>
      <c r="X16" s="1813"/>
      <c r="Y16" s="3269"/>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69"/>
      <c r="Q17" s="1810" t="str">
        <f>B17</f>
        <v>交通便捷度</v>
      </c>
      <c r="R17" s="774" t="s">
        <v>17</v>
      </c>
      <c r="S17" s="775">
        <f>F17</f>
        <v>100</v>
      </c>
      <c r="T17" s="774" t="s">
        <v>17</v>
      </c>
      <c r="U17" s="775">
        <f>H17</f>
        <v>100</v>
      </c>
      <c r="V17" s="774" t="s">
        <v>17</v>
      </c>
      <c r="W17" s="775">
        <f>J17</f>
        <v>100</v>
      </c>
      <c r="X17" s="1813"/>
      <c r="Y17" s="326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69"/>
      <c r="Q18" s="1810"/>
      <c r="R18" s="774"/>
      <c r="S18" s="775"/>
      <c r="T18" s="774"/>
      <c r="U18" s="775"/>
      <c r="V18" s="774"/>
      <c r="W18" s="775"/>
      <c r="X18" s="1813"/>
      <c r="Y18" s="3269"/>
      <c r="Z18" s="1814"/>
      <c r="AA18" s="1811">
        <v>1</v>
      </c>
      <c r="AB18" s="1811">
        <v>1</v>
      </c>
      <c r="AC18" s="1811">
        <v>1</v>
      </c>
    </row>
    <row r="19" spans="1:29" ht="42.75">
      <c r="A19" s="428"/>
      <c r="B19" s="451" t="s">
        <v>2688</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69"/>
      <c r="Q19" s="1810" t="str">
        <f>B19</f>
        <v>公共配套设施</v>
      </c>
      <c r="R19" s="774" t="s">
        <v>17</v>
      </c>
      <c r="S19" s="775">
        <f>F19</f>
        <v>100</v>
      </c>
      <c r="T19" s="774" t="s">
        <v>17</v>
      </c>
      <c r="U19" s="775">
        <f>H19</f>
        <v>100</v>
      </c>
      <c r="V19" s="774" t="s">
        <v>17</v>
      </c>
      <c r="W19" s="775">
        <f>J19</f>
        <v>100</v>
      </c>
      <c r="X19" s="1813"/>
      <c r="Y19" s="326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69"/>
      <c r="Q20" s="1810"/>
      <c r="R20" s="774"/>
      <c r="S20" s="775"/>
      <c r="T20" s="774"/>
      <c r="U20" s="775"/>
      <c r="V20" s="774"/>
      <c r="W20" s="775"/>
      <c r="X20" s="1813"/>
      <c r="Y20" s="3269"/>
      <c r="Z20" s="1814"/>
      <c r="AA20" s="1811">
        <v>1</v>
      </c>
      <c r="AB20" s="1811">
        <v>1</v>
      </c>
      <c r="AC20" s="1811">
        <v>1</v>
      </c>
    </row>
    <row r="21" spans="1:29" ht="28.5">
      <c r="A21" s="428"/>
      <c r="B21" s="1384" t="s">
        <v>2689</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69"/>
      <c r="Q21" s="1810" t="str">
        <f>B21</f>
        <v>基础设施水平</v>
      </c>
      <c r="R21" s="774" t="s">
        <v>17</v>
      </c>
      <c r="S21" s="775">
        <f>F21</f>
        <v>100</v>
      </c>
      <c r="T21" s="774" t="s">
        <v>17</v>
      </c>
      <c r="U21" s="775">
        <f>H21</f>
        <v>100</v>
      </c>
      <c r="V21" s="774" t="s">
        <v>17</v>
      </c>
      <c r="W21" s="775">
        <f>J21</f>
        <v>100</v>
      </c>
      <c r="X21" s="1813"/>
      <c r="Y21" s="326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69"/>
      <c r="Q22" s="1810"/>
      <c r="R22" s="774"/>
      <c r="S22" s="775"/>
      <c r="T22" s="774"/>
      <c r="U22" s="775"/>
      <c r="V22" s="774"/>
      <c r="W22" s="775"/>
      <c r="X22" s="1813"/>
      <c r="Y22" s="3269"/>
      <c r="Z22" s="1814"/>
      <c r="AA22" s="1811">
        <v>1</v>
      </c>
      <c r="AB22" s="1811">
        <v>1</v>
      </c>
      <c r="AC22" s="1811">
        <v>1</v>
      </c>
    </row>
    <row r="23" spans="1:29" ht="71.25">
      <c r="A23" s="428"/>
      <c r="B23" s="451" t="s">
        <v>2690</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69"/>
      <c r="Q23" s="1810" t="str">
        <f>B23</f>
        <v>环境质量</v>
      </c>
      <c r="R23" s="774" t="s">
        <v>17</v>
      </c>
      <c r="S23" s="775">
        <f>F23</f>
        <v>100</v>
      </c>
      <c r="T23" s="774" t="s">
        <v>17</v>
      </c>
      <c r="U23" s="775">
        <f>H23</f>
        <v>100</v>
      </c>
      <c r="V23" s="774" t="s">
        <v>17</v>
      </c>
      <c r="W23" s="775">
        <f>J23</f>
        <v>100</v>
      </c>
      <c r="X23" s="1813"/>
      <c r="Y23" s="326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69"/>
      <c r="Q24" s="1810"/>
      <c r="R24" s="774"/>
      <c r="S24" s="775"/>
      <c r="T24" s="774"/>
      <c r="U24" s="775"/>
      <c r="V24" s="774"/>
      <c r="W24" s="775"/>
      <c r="X24" s="1813"/>
      <c r="Y24" s="326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69"/>
      <c r="Q25" s="1810">
        <f>B25</f>
        <v>111</v>
      </c>
      <c r="R25" s="774" t="s">
        <v>17</v>
      </c>
      <c r="S25" s="775">
        <f>F25</f>
        <v>100</v>
      </c>
      <c r="T25" s="774" t="s">
        <v>17</v>
      </c>
      <c r="U25" s="775">
        <f>H25</f>
        <v>100</v>
      </c>
      <c r="V25" s="774" t="s">
        <v>17</v>
      </c>
      <c r="W25" s="775">
        <f>J25</f>
        <v>100</v>
      </c>
      <c r="X25" s="1813"/>
      <c r="Y25" s="326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69"/>
      <c r="Q26" s="1810">
        <f t="shared" ref="Q26:Q40" si="11">B26</f>
        <v>111</v>
      </c>
      <c r="R26" s="774" t="s">
        <v>17</v>
      </c>
      <c r="S26" s="775">
        <f>F26</f>
        <v>100</v>
      </c>
      <c r="T26" s="774" t="s">
        <v>17</v>
      </c>
      <c r="U26" s="775">
        <f>H26</f>
        <v>100</v>
      </c>
      <c r="V26" s="774" t="s">
        <v>17</v>
      </c>
      <c r="W26" s="775">
        <f>J26</f>
        <v>100</v>
      </c>
      <c r="X26" s="1813"/>
      <c r="Y26" s="326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69"/>
      <c r="Q27" s="1795">
        <f t="shared" si="11"/>
        <v>111</v>
      </c>
      <c r="R27" s="770" t="s">
        <v>17</v>
      </c>
      <c r="S27" s="771">
        <f>F27</f>
        <v>100</v>
      </c>
      <c r="T27" s="770" t="s">
        <v>17</v>
      </c>
      <c r="U27" s="771">
        <f>H27</f>
        <v>100</v>
      </c>
      <c r="V27" s="770" t="s">
        <v>17</v>
      </c>
      <c r="W27" s="771">
        <f>J27</f>
        <v>100</v>
      </c>
      <c r="X27" s="772"/>
      <c r="Y27" s="326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69"/>
      <c r="Q28" s="1810">
        <f t="shared" si="11"/>
        <v>111</v>
      </c>
      <c r="R28" s="774" t="s">
        <v>17</v>
      </c>
      <c r="S28" s="775">
        <f t="shared" ref="S28:S40" si="12">F28</f>
        <v>100</v>
      </c>
      <c r="T28" s="774" t="s">
        <v>17</v>
      </c>
      <c r="U28" s="775">
        <f t="shared" ref="U28:U40" si="13">H28</f>
        <v>100</v>
      </c>
      <c r="V28" s="774" t="s">
        <v>17</v>
      </c>
      <c r="W28" s="775">
        <f t="shared" ref="W28:W40" si="14">J28</f>
        <v>100</v>
      </c>
      <c r="X28" s="1813"/>
      <c r="Y28" s="3269"/>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93" t="s">
        <v>2565</v>
      </c>
      <c r="Q29" s="1810" t="str">
        <f t="shared" si="11"/>
        <v>建筑类型</v>
      </c>
      <c r="R29" s="774" t="s">
        <v>17</v>
      </c>
      <c r="S29" s="775">
        <f t="shared" si="12"/>
        <v>100</v>
      </c>
      <c r="T29" s="774" t="s">
        <v>17</v>
      </c>
      <c r="U29" s="775">
        <f t="shared" si="13"/>
        <v>100</v>
      </c>
      <c r="V29" s="774" t="s">
        <v>17</v>
      </c>
      <c r="W29" s="775">
        <f t="shared" si="14"/>
        <v>100</v>
      </c>
      <c r="X29" s="1813"/>
      <c r="Y29" s="3273"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3"/>
      <c r="Q30" s="776" t="str">
        <f t="shared" si="11"/>
        <v>项目建筑规模</v>
      </c>
      <c r="R30" s="777" t="s">
        <v>17</v>
      </c>
      <c r="S30" s="778" t="e">
        <f t="shared" si="12"/>
        <v>#N/A</v>
      </c>
      <c r="T30" s="777" t="s">
        <v>17</v>
      </c>
      <c r="U30" s="778" t="e">
        <f t="shared" si="13"/>
        <v>#N/A</v>
      </c>
      <c r="V30" s="777" t="s">
        <v>17</v>
      </c>
      <c r="W30" s="778" t="e">
        <f t="shared" si="14"/>
        <v>#N/A</v>
      </c>
      <c r="X30" s="779"/>
      <c r="Y30" s="3273"/>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3"/>
      <c r="Q31" s="1810" t="str">
        <f t="shared" si="11"/>
        <v>建筑结构</v>
      </c>
      <c r="R31" s="774" t="s">
        <v>17</v>
      </c>
      <c r="S31" s="775">
        <f t="shared" si="12"/>
        <v>100</v>
      </c>
      <c r="T31" s="774" t="s">
        <v>17</v>
      </c>
      <c r="U31" s="775">
        <f t="shared" si="13"/>
        <v>100</v>
      </c>
      <c r="V31" s="774" t="s">
        <v>17</v>
      </c>
      <c r="W31" s="775">
        <f t="shared" si="14"/>
        <v>100</v>
      </c>
      <c r="X31" s="1813"/>
      <c r="Y31" s="3273"/>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3"/>
      <c r="Q32" s="1810" t="str">
        <f t="shared" si="11"/>
        <v>公共部分装修</v>
      </c>
      <c r="R32" s="774" t="s">
        <v>17</v>
      </c>
      <c r="S32" s="775">
        <f t="shared" si="12"/>
        <v>100</v>
      </c>
      <c r="T32" s="774" t="s">
        <v>17</v>
      </c>
      <c r="U32" s="775">
        <f t="shared" si="13"/>
        <v>100</v>
      </c>
      <c r="V32" s="774" t="s">
        <v>17</v>
      </c>
      <c r="W32" s="775">
        <f t="shared" si="14"/>
        <v>100</v>
      </c>
      <c r="X32" s="1813"/>
      <c r="Y32" s="3273"/>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3"/>
      <c r="Q33" s="1810" t="str">
        <f t="shared" si="11"/>
        <v>成新度</v>
      </c>
      <c r="R33" s="774" t="s">
        <v>17</v>
      </c>
      <c r="S33" s="775" t="e">
        <f t="shared" si="12"/>
        <v>#N/A</v>
      </c>
      <c r="T33" s="774" t="s">
        <v>17</v>
      </c>
      <c r="U33" s="775" t="e">
        <f t="shared" si="13"/>
        <v>#N/A</v>
      </c>
      <c r="V33" s="774" t="s">
        <v>17</v>
      </c>
      <c r="W33" s="775" t="e">
        <f t="shared" si="14"/>
        <v>#N/A</v>
      </c>
      <c r="X33" s="1813"/>
      <c r="Y33" s="3273"/>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3"/>
      <c r="Q34" s="1795" t="str">
        <f t="shared" si="11"/>
        <v>物业管理</v>
      </c>
      <c r="R34" s="770" t="s">
        <v>17</v>
      </c>
      <c r="S34" s="771">
        <f t="shared" si="12"/>
        <v>100</v>
      </c>
      <c r="T34" s="770" t="s">
        <v>17</v>
      </c>
      <c r="U34" s="771">
        <f t="shared" si="13"/>
        <v>100</v>
      </c>
      <c r="V34" s="770" t="s">
        <v>17</v>
      </c>
      <c r="W34" s="771">
        <f t="shared" si="14"/>
        <v>100</v>
      </c>
      <c r="X34" s="772"/>
      <c r="Y34" s="3273"/>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3" t="s">
        <v>2565</v>
      </c>
      <c r="Q35" s="1810" t="str">
        <f t="shared" si="11"/>
        <v>市政基础设施</v>
      </c>
      <c r="R35" s="774" t="s">
        <v>17</v>
      </c>
      <c r="S35" s="775">
        <f t="shared" si="12"/>
        <v>100</v>
      </c>
      <c r="T35" s="774" t="s">
        <v>17</v>
      </c>
      <c r="U35" s="775">
        <f t="shared" si="13"/>
        <v>100</v>
      </c>
      <c r="V35" s="774" t="s">
        <v>17</v>
      </c>
      <c r="W35" s="775">
        <f t="shared" si="14"/>
        <v>100</v>
      </c>
      <c r="X35" s="1813"/>
      <c r="Y35" s="3273"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3"/>
      <c r="Q36" s="1810" t="str">
        <f t="shared" si="11"/>
        <v>内部装修</v>
      </c>
      <c r="R36" s="774" t="s">
        <v>17</v>
      </c>
      <c r="S36" s="775">
        <f t="shared" si="12"/>
        <v>100</v>
      </c>
      <c r="T36" s="774" t="s">
        <v>17</v>
      </c>
      <c r="U36" s="775">
        <f t="shared" si="13"/>
        <v>100</v>
      </c>
      <c r="V36" s="774" t="s">
        <v>17</v>
      </c>
      <c r="W36" s="775">
        <f t="shared" si="14"/>
        <v>100</v>
      </c>
      <c r="X36" s="1813"/>
      <c r="Y36" s="3273"/>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3"/>
      <c r="Q37" s="1810" t="str">
        <f t="shared" si="11"/>
        <v>内部装修状况</v>
      </c>
      <c r="R37" s="774" t="s">
        <v>17</v>
      </c>
      <c r="S37" s="775">
        <f t="shared" si="12"/>
        <v>100</v>
      </c>
      <c r="T37" s="774" t="s">
        <v>17</v>
      </c>
      <c r="U37" s="775">
        <f t="shared" si="13"/>
        <v>100</v>
      </c>
      <c r="V37" s="774" t="s">
        <v>17</v>
      </c>
      <c r="W37" s="775">
        <f t="shared" si="14"/>
        <v>100</v>
      </c>
      <c r="X37" s="1813"/>
      <c r="Y37" s="327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3"/>
      <c r="Q38" s="776">
        <f t="shared" si="11"/>
        <v>111</v>
      </c>
      <c r="R38" s="777" t="s">
        <v>17</v>
      </c>
      <c r="S38" s="778">
        <f t="shared" si="12"/>
        <v>100</v>
      </c>
      <c r="T38" s="777" t="s">
        <v>17</v>
      </c>
      <c r="U38" s="778">
        <f t="shared" si="13"/>
        <v>100</v>
      </c>
      <c r="V38" s="777" t="s">
        <v>17</v>
      </c>
      <c r="W38" s="778">
        <f t="shared" si="14"/>
        <v>100</v>
      </c>
      <c r="X38" s="779"/>
      <c r="Y38" s="327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3"/>
      <c r="Q39" s="1810">
        <f t="shared" si="11"/>
        <v>111</v>
      </c>
      <c r="R39" s="774" t="s">
        <v>17</v>
      </c>
      <c r="S39" s="775">
        <f t="shared" si="12"/>
        <v>100</v>
      </c>
      <c r="T39" s="774" t="s">
        <v>17</v>
      </c>
      <c r="U39" s="775">
        <f t="shared" si="13"/>
        <v>100</v>
      </c>
      <c r="V39" s="774" t="s">
        <v>17</v>
      </c>
      <c r="W39" s="775">
        <f t="shared" si="14"/>
        <v>100</v>
      </c>
      <c r="X39" s="1813"/>
      <c r="Y39" s="327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4"/>
      <c r="Q40" s="1810">
        <f t="shared" si="11"/>
        <v>111</v>
      </c>
      <c r="R40" s="774" t="s">
        <v>17</v>
      </c>
      <c r="S40" s="775">
        <f t="shared" si="12"/>
        <v>100</v>
      </c>
      <c r="T40" s="774" t="s">
        <v>17</v>
      </c>
      <c r="U40" s="775">
        <f t="shared" si="13"/>
        <v>100</v>
      </c>
      <c r="V40" s="774" t="s">
        <v>17</v>
      </c>
      <c r="W40" s="775">
        <f t="shared" si="14"/>
        <v>100</v>
      </c>
      <c r="X40" s="1813"/>
      <c r="Y40" s="3274"/>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66" t="str">
        <f>A41</f>
        <v>成交单价（元/平方米）</v>
      </c>
      <c r="Q41" s="3266"/>
      <c r="R41" s="3267">
        <f>E41</f>
        <v>0</v>
      </c>
      <c r="S41" s="3267"/>
      <c r="T41" s="3267">
        <f>G41</f>
        <v>0</v>
      </c>
      <c r="U41" s="3267"/>
      <c r="V41" s="3267">
        <f>I41</f>
        <v>0</v>
      </c>
      <c r="W41" s="3267"/>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66" t="str">
        <f>A42</f>
        <v>比较价值（元/平方米）</v>
      </c>
      <c r="Q42" s="3266"/>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63" t="str">
        <f>A43</f>
        <v>估价对象XX用房的比较价值（楼面单价，元/平方米）</v>
      </c>
      <c r="Q43" s="3264"/>
      <c r="R43" s="3265" t="e">
        <f>IF(F1="售价",ROUND(AVERAGE(R42:V42),0),ROUND(AVERAGE(R42:V42),1))</f>
        <v>#DIV/0!</v>
      </c>
      <c r="S43" s="3265"/>
      <c r="T43" s="3265"/>
      <c r="U43" s="3265"/>
      <c r="V43" s="3265"/>
      <c r="W43" s="326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2020-3</v>
      </c>
      <c r="D52" s="1575">
        <f>EDATE(C52,-1)</f>
        <v>43862</v>
      </c>
      <c r="E52" s="1575">
        <f t="shared" ref="E52:O52" si="16">EDATE(D52,-1)</f>
        <v>43831</v>
      </c>
      <c r="F52" s="1575">
        <f t="shared" si="16"/>
        <v>43800</v>
      </c>
      <c r="G52" s="1575">
        <f t="shared" si="16"/>
        <v>43770</v>
      </c>
      <c r="H52" s="1575">
        <f t="shared" si="16"/>
        <v>43739</v>
      </c>
      <c r="I52" s="1575">
        <f t="shared" si="16"/>
        <v>43709</v>
      </c>
      <c r="J52" s="1575">
        <f t="shared" si="16"/>
        <v>43678</v>
      </c>
      <c r="K52" s="1575">
        <f t="shared" si="16"/>
        <v>43647</v>
      </c>
      <c r="L52" s="1575">
        <f t="shared" si="16"/>
        <v>43617</v>
      </c>
      <c r="M52" s="1575">
        <f t="shared" si="16"/>
        <v>43586</v>
      </c>
      <c r="N52" s="1575">
        <f t="shared" si="16"/>
        <v>43556</v>
      </c>
      <c r="O52" s="1575">
        <f t="shared" si="16"/>
        <v>43525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6"/>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32" t="s">
        <v>2648</v>
      </c>
      <c r="AC4" s="3231" t="s">
        <v>2649</v>
      </c>
    </row>
    <row r="5" spans="1:29" ht="15">
      <c r="A5" s="404"/>
      <c r="B5" s="405"/>
      <c r="C5" s="3242" t="s">
        <v>2542</v>
      </c>
      <c r="D5" s="3243"/>
      <c r="E5" s="3240" t="s">
        <v>2543</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32"/>
      <c r="AC5" s="3232"/>
    </row>
    <row r="6" spans="1:29" ht="15.75" thickBot="1">
      <c r="A6" s="406"/>
      <c r="B6" s="407"/>
      <c r="C6" s="3244" t="s">
        <v>2546</v>
      </c>
      <c r="D6" s="3245"/>
      <c r="E6" s="3246" t="s">
        <v>2546</v>
      </c>
      <c r="F6" s="3247"/>
      <c r="G6" s="3244" t="s">
        <v>2546</v>
      </c>
      <c r="H6" s="3245"/>
      <c r="I6" s="3244" t="s">
        <v>2546</v>
      </c>
      <c r="J6" s="3245"/>
      <c r="K6" s="610" t="s">
        <v>2547</v>
      </c>
      <c r="L6" s="1130"/>
      <c r="M6" s="1131"/>
      <c r="N6" s="1131"/>
      <c r="O6" s="1131"/>
      <c r="P6" s="3257"/>
      <c r="Q6" s="3258"/>
      <c r="R6" s="3238"/>
      <c r="S6" s="3239"/>
      <c r="T6" s="3259"/>
      <c r="U6" s="3260"/>
      <c r="V6" s="3261"/>
      <c r="W6" s="3261"/>
      <c r="X6" s="1813"/>
      <c r="Y6" s="3259"/>
      <c r="Z6" s="3260"/>
      <c r="AA6" s="3233"/>
      <c r="AB6" s="3233"/>
      <c r="AC6" s="3233"/>
    </row>
    <row r="7" spans="1:29" s="117" customFormat="1" ht="15.75" thickBot="1">
      <c r="A7" s="408" t="s">
        <v>2548</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4" t="s">
        <v>2549</v>
      </c>
      <c r="Q7" s="3262"/>
      <c r="R7" s="770" t="s">
        <v>17</v>
      </c>
      <c r="S7" s="771">
        <f t="shared" ref="S7:S14" si="0">F7</f>
        <v>0</v>
      </c>
      <c r="T7" s="770" t="s">
        <v>17</v>
      </c>
      <c r="U7" s="771">
        <f t="shared" ref="U7:U14" si="1">H7</f>
        <v>0</v>
      </c>
      <c r="V7" s="770" t="s">
        <v>17</v>
      </c>
      <c r="W7" s="771">
        <f t="shared" ref="W7:W14" si="2">J7</f>
        <v>0</v>
      </c>
      <c r="X7" s="772"/>
      <c r="Y7" s="3234" t="s">
        <v>2549</v>
      </c>
      <c r="Z7" s="3235"/>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4" t="s">
        <v>2552</v>
      </c>
      <c r="Q8" s="3235"/>
      <c r="R8" s="770" t="s">
        <v>17</v>
      </c>
      <c r="S8" s="771">
        <f t="shared" si="0"/>
        <v>0</v>
      </c>
      <c r="T8" s="770" t="s">
        <v>17</v>
      </c>
      <c r="U8" s="771">
        <f t="shared" si="1"/>
        <v>0</v>
      </c>
      <c r="V8" s="770" t="s">
        <v>17</v>
      </c>
      <c r="W8" s="771">
        <f t="shared" si="2"/>
        <v>0</v>
      </c>
      <c r="X8" s="772"/>
      <c r="Y8" s="3234" t="s">
        <v>2552</v>
      </c>
      <c r="Z8" s="3235"/>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6" t="s">
        <v>2555</v>
      </c>
      <c r="Q9" s="1795" t="str">
        <f t="shared" ref="Q9:Q14" si="6">B9</f>
        <v>用途</v>
      </c>
      <c r="R9" s="770" t="s">
        <v>17</v>
      </c>
      <c r="S9" s="771">
        <f t="shared" si="0"/>
        <v>100</v>
      </c>
      <c r="T9" s="770" t="s">
        <v>17</v>
      </c>
      <c r="U9" s="771">
        <f t="shared" si="1"/>
        <v>100</v>
      </c>
      <c r="V9" s="770" t="s">
        <v>17</v>
      </c>
      <c r="W9" s="771">
        <f t="shared" si="2"/>
        <v>100</v>
      </c>
      <c r="X9" s="772"/>
      <c r="Y9" s="3081"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6"/>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6"/>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6"/>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6"/>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68" t="s">
        <v>2560</v>
      </c>
      <c r="Q14" s="1810" t="str">
        <f t="shared" si="6"/>
        <v>交通便捷度</v>
      </c>
      <c r="R14" s="774" t="s">
        <v>17</v>
      </c>
      <c r="S14" s="775">
        <f t="shared" si="0"/>
        <v>100</v>
      </c>
      <c r="T14" s="774" t="s">
        <v>17</v>
      </c>
      <c r="U14" s="775">
        <f t="shared" si="1"/>
        <v>100</v>
      </c>
      <c r="V14" s="774" t="s">
        <v>17</v>
      </c>
      <c r="W14" s="775">
        <f t="shared" si="2"/>
        <v>100</v>
      </c>
      <c r="X14" s="1813"/>
      <c r="Y14" s="3268"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69"/>
      <c r="Q15" s="1810"/>
      <c r="R15" s="774"/>
      <c r="S15" s="775"/>
      <c r="T15" s="774"/>
      <c r="U15" s="775"/>
      <c r="V15" s="774"/>
      <c r="W15" s="775"/>
      <c r="X15" s="1813"/>
      <c r="Y15" s="3269"/>
      <c r="Z15" s="1814"/>
      <c r="AA15" s="1811">
        <v>1</v>
      </c>
      <c r="AB15" s="1811">
        <v>1</v>
      </c>
      <c r="AC15" s="1811">
        <v>1</v>
      </c>
    </row>
    <row r="16" spans="1:29" ht="42.75">
      <c r="A16" s="404"/>
      <c r="B16" s="631" t="s">
        <v>2688</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69"/>
      <c r="Q16" s="1810" t="str">
        <f>B16</f>
        <v>公共配套设施</v>
      </c>
      <c r="R16" s="774" t="s">
        <v>17</v>
      </c>
      <c r="S16" s="775">
        <f>F16</f>
        <v>100</v>
      </c>
      <c r="T16" s="774" t="s">
        <v>17</v>
      </c>
      <c r="U16" s="775">
        <f>H16</f>
        <v>100</v>
      </c>
      <c r="V16" s="774" t="s">
        <v>17</v>
      </c>
      <c r="W16" s="775">
        <f>J16</f>
        <v>100</v>
      </c>
      <c r="X16" s="1813"/>
      <c r="Y16" s="326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69"/>
      <c r="Q17" s="1810"/>
      <c r="R17" s="774"/>
      <c r="S17" s="775"/>
      <c r="T17" s="774"/>
      <c r="U17" s="775"/>
      <c r="V17" s="774"/>
      <c r="W17" s="775"/>
      <c r="X17" s="1813"/>
      <c r="Y17" s="3269"/>
      <c r="Z17" s="1814"/>
      <c r="AA17" s="1811">
        <v>1</v>
      </c>
      <c r="AB17" s="1811">
        <v>1</v>
      </c>
      <c r="AC17" s="1811">
        <v>1</v>
      </c>
    </row>
    <row r="18" spans="1:29" ht="28.5">
      <c r="A18" s="404"/>
      <c r="B18" s="633" t="s">
        <v>2689</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69"/>
      <c r="Q18" s="1810" t="str">
        <f>B18</f>
        <v>基础设施水平</v>
      </c>
      <c r="R18" s="774" t="s">
        <v>17</v>
      </c>
      <c r="S18" s="775">
        <f>F18</f>
        <v>100</v>
      </c>
      <c r="T18" s="774" t="s">
        <v>17</v>
      </c>
      <c r="U18" s="775">
        <f>H18</f>
        <v>100</v>
      </c>
      <c r="V18" s="774" t="s">
        <v>17</v>
      </c>
      <c r="W18" s="775">
        <f>J18</f>
        <v>100</v>
      </c>
      <c r="X18" s="1813"/>
      <c r="Y18" s="326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69"/>
      <c r="Q19" s="1810"/>
      <c r="R19" s="774"/>
      <c r="S19" s="775"/>
      <c r="T19" s="774"/>
      <c r="U19" s="775"/>
      <c r="V19" s="774"/>
      <c r="W19" s="775"/>
      <c r="X19" s="1813"/>
      <c r="Y19" s="3269"/>
      <c r="Z19" s="1814"/>
      <c r="AA19" s="1811">
        <v>1</v>
      </c>
      <c r="AB19" s="1811">
        <v>1</v>
      </c>
      <c r="AC19" s="1811">
        <v>1</v>
      </c>
    </row>
    <row r="20" spans="1:29" ht="57">
      <c r="A20" s="404"/>
      <c r="B20" s="631" t="s">
        <v>2710</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69"/>
      <c r="Q20" s="1810" t="str">
        <f>B20</f>
        <v>自然及人文环境</v>
      </c>
      <c r="R20" s="774" t="s">
        <v>17</v>
      </c>
      <c r="S20" s="775">
        <f>F20</f>
        <v>100</v>
      </c>
      <c r="T20" s="774" t="s">
        <v>17</v>
      </c>
      <c r="U20" s="775">
        <f>H20</f>
        <v>100</v>
      </c>
      <c r="V20" s="774" t="s">
        <v>17</v>
      </c>
      <c r="W20" s="775">
        <f>J20</f>
        <v>100</v>
      </c>
      <c r="X20" s="1813"/>
      <c r="Y20" s="326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69"/>
      <c r="Q21" s="1810"/>
      <c r="R21" s="774"/>
      <c r="S21" s="775"/>
      <c r="T21" s="774"/>
      <c r="U21" s="775"/>
      <c r="V21" s="774"/>
      <c r="W21" s="775"/>
      <c r="X21" s="1813"/>
      <c r="Y21" s="3269"/>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69"/>
      <c r="Q22" s="1810" t="str">
        <f>B22</f>
        <v>楼层</v>
      </c>
      <c r="R22" s="774" t="s">
        <v>17</v>
      </c>
      <c r="S22" s="775">
        <f>F22</f>
        <v>100</v>
      </c>
      <c r="T22" s="774" t="s">
        <v>17</v>
      </c>
      <c r="U22" s="775">
        <f>H22</f>
        <v>100</v>
      </c>
      <c r="V22" s="774" t="s">
        <v>17</v>
      </c>
      <c r="W22" s="775">
        <f>J22</f>
        <v>100</v>
      </c>
      <c r="X22" s="1813"/>
      <c r="Y22" s="326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69"/>
      <c r="Q23" s="1810">
        <f>B23</f>
        <v>111</v>
      </c>
      <c r="R23" s="774" t="s">
        <v>17</v>
      </c>
      <c r="S23" s="775">
        <f>F23</f>
        <v>100</v>
      </c>
      <c r="T23" s="774" t="s">
        <v>17</v>
      </c>
      <c r="U23" s="775">
        <f>H23</f>
        <v>100</v>
      </c>
      <c r="V23" s="774" t="s">
        <v>17</v>
      </c>
      <c r="W23" s="775">
        <f>J23</f>
        <v>100</v>
      </c>
      <c r="X23" s="1813"/>
      <c r="Y23" s="326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69"/>
      <c r="Q24" s="1810">
        <f t="shared" ref="Q24:Q36" si="11">B24</f>
        <v>111</v>
      </c>
      <c r="R24" s="774" t="s">
        <v>17</v>
      </c>
      <c r="S24" s="775">
        <f>F24</f>
        <v>100</v>
      </c>
      <c r="T24" s="774" t="s">
        <v>17</v>
      </c>
      <c r="U24" s="775">
        <f>H24</f>
        <v>100</v>
      </c>
      <c r="V24" s="774" t="s">
        <v>17</v>
      </c>
      <c r="W24" s="775">
        <f>J24</f>
        <v>100</v>
      </c>
      <c r="X24" s="1813"/>
      <c r="Y24" s="326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69"/>
      <c r="Q25" s="1795">
        <f t="shared" si="11"/>
        <v>111</v>
      </c>
      <c r="R25" s="770" t="s">
        <v>17</v>
      </c>
      <c r="S25" s="771">
        <f>F25</f>
        <v>100</v>
      </c>
      <c r="T25" s="770" t="s">
        <v>17</v>
      </c>
      <c r="U25" s="771">
        <f>H25</f>
        <v>100</v>
      </c>
      <c r="V25" s="770" t="s">
        <v>17</v>
      </c>
      <c r="W25" s="771">
        <f>J25</f>
        <v>100</v>
      </c>
      <c r="X25" s="772"/>
      <c r="Y25" s="3269"/>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3"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73"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3"/>
      <c r="Q27" s="776" t="str">
        <f t="shared" si="11"/>
        <v>项目停车位配比</v>
      </c>
      <c r="R27" s="777" t="s">
        <v>17</v>
      </c>
      <c r="S27" s="778">
        <f t="shared" si="12"/>
        <v>100</v>
      </c>
      <c r="T27" s="777" t="s">
        <v>17</v>
      </c>
      <c r="U27" s="778">
        <f t="shared" si="13"/>
        <v>100</v>
      </c>
      <c r="V27" s="777" t="s">
        <v>17</v>
      </c>
      <c r="W27" s="778">
        <f t="shared" si="14"/>
        <v>100</v>
      </c>
      <c r="X27" s="779"/>
      <c r="Y27" s="3273"/>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3"/>
      <c r="Q28" s="1810" t="str">
        <f t="shared" si="11"/>
        <v>公共部分装修</v>
      </c>
      <c r="R28" s="774" t="s">
        <v>17</v>
      </c>
      <c r="S28" s="775">
        <f t="shared" si="12"/>
        <v>100</v>
      </c>
      <c r="T28" s="774" t="s">
        <v>17</v>
      </c>
      <c r="U28" s="775">
        <f t="shared" si="13"/>
        <v>100</v>
      </c>
      <c r="V28" s="774" t="s">
        <v>17</v>
      </c>
      <c r="W28" s="775">
        <f t="shared" si="14"/>
        <v>100</v>
      </c>
      <c r="X28" s="1813"/>
      <c r="Y28" s="3273"/>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3"/>
      <c r="Q29" s="1810" t="str">
        <f t="shared" si="11"/>
        <v>成新率</v>
      </c>
      <c r="R29" s="774" t="s">
        <v>17</v>
      </c>
      <c r="S29" s="775" t="e">
        <f t="shared" si="12"/>
        <v>#N/A</v>
      </c>
      <c r="T29" s="774" t="s">
        <v>17</v>
      </c>
      <c r="U29" s="775" t="e">
        <f t="shared" si="13"/>
        <v>#N/A</v>
      </c>
      <c r="V29" s="774" t="s">
        <v>17</v>
      </c>
      <c r="W29" s="775" t="e">
        <f t="shared" si="14"/>
        <v>#N/A</v>
      </c>
      <c r="X29" s="1813"/>
      <c r="Y29" s="3273"/>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3"/>
      <c r="Q30" s="1810" t="str">
        <f t="shared" si="11"/>
        <v>物业等级</v>
      </c>
      <c r="R30" s="774" t="s">
        <v>17</v>
      </c>
      <c r="S30" s="775">
        <f t="shared" si="12"/>
        <v>100</v>
      </c>
      <c r="T30" s="774" t="s">
        <v>17</v>
      </c>
      <c r="U30" s="775">
        <f t="shared" si="13"/>
        <v>100</v>
      </c>
      <c r="V30" s="774" t="s">
        <v>17</v>
      </c>
      <c r="W30" s="775">
        <f t="shared" si="14"/>
        <v>100</v>
      </c>
      <c r="X30" s="1813"/>
      <c r="Y30" s="3273"/>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3"/>
      <c r="Q31" s="1795" t="str">
        <f t="shared" si="11"/>
        <v>停车位面积</v>
      </c>
      <c r="R31" s="770" t="s">
        <v>17</v>
      </c>
      <c r="S31" s="771" t="e">
        <f t="shared" si="12"/>
        <v>#N/A</v>
      </c>
      <c r="T31" s="770" t="s">
        <v>17</v>
      </c>
      <c r="U31" s="771" t="e">
        <f t="shared" si="13"/>
        <v>#N/A</v>
      </c>
      <c r="V31" s="770" t="s">
        <v>17</v>
      </c>
      <c r="W31" s="771" t="e">
        <f t="shared" si="14"/>
        <v>#N/A</v>
      </c>
      <c r="X31" s="772"/>
      <c r="Y31" s="3273"/>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3" t="s">
        <v>2565</v>
      </c>
      <c r="Q32" s="1810" t="str">
        <f t="shared" si="11"/>
        <v>车位类型</v>
      </c>
      <c r="R32" s="774" t="s">
        <v>17</v>
      </c>
      <c r="S32" s="775">
        <f t="shared" si="12"/>
        <v>100</v>
      </c>
      <c r="T32" s="774" t="s">
        <v>17</v>
      </c>
      <c r="U32" s="775">
        <f t="shared" si="13"/>
        <v>100</v>
      </c>
      <c r="V32" s="774" t="s">
        <v>17</v>
      </c>
      <c r="W32" s="775">
        <f t="shared" si="14"/>
        <v>100</v>
      </c>
      <c r="X32" s="1813"/>
      <c r="Y32" s="3273"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3"/>
      <c r="Q33" s="1810" t="str">
        <f t="shared" si="11"/>
        <v>是否直接入户</v>
      </c>
      <c r="R33" s="774" t="s">
        <v>17</v>
      </c>
      <c r="S33" s="775">
        <f t="shared" si="12"/>
        <v>100</v>
      </c>
      <c r="T33" s="774" t="s">
        <v>17</v>
      </c>
      <c r="U33" s="775">
        <f t="shared" si="13"/>
        <v>100</v>
      </c>
      <c r="V33" s="774" t="s">
        <v>17</v>
      </c>
      <c r="W33" s="775">
        <f t="shared" si="14"/>
        <v>100</v>
      </c>
      <c r="X33" s="1813"/>
      <c r="Y33" s="327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3"/>
      <c r="Q34" s="1810">
        <f t="shared" si="11"/>
        <v>111</v>
      </c>
      <c r="R34" s="774" t="s">
        <v>17</v>
      </c>
      <c r="S34" s="775">
        <f t="shared" si="12"/>
        <v>100</v>
      </c>
      <c r="T34" s="774" t="s">
        <v>17</v>
      </c>
      <c r="U34" s="775">
        <f t="shared" si="13"/>
        <v>100</v>
      </c>
      <c r="V34" s="774" t="s">
        <v>17</v>
      </c>
      <c r="W34" s="775">
        <f t="shared" si="14"/>
        <v>100</v>
      </c>
      <c r="X34" s="1813"/>
      <c r="Y34" s="327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3"/>
      <c r="Q35" s="776">
        <f t="shared" si="11"/>
        <v>111</v>
      </c>
      <c r="R35" s="777" t="s">
        <v>17</v>
      </c>
      <c r="S35" s="778">
        <f t="shared" si="12"/>
        <v>100</v>
      </c>
      <c r="T35" s="777" t="s">
        <v>17</v>
      </c>
      <c r="U35" s="778">
        <f t="shared" si="13"/>
        <v>100</v>
      </c>
      <c r="V35" s="777" t="s">
        <v>17</v>
      </c>
      <c r="W35" s="778">
        <f t="shared" si="14"/>
        <v>100</v>
      </c>
      <c r="X35" s="779"/>
      <c r="Y35" s="327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3"/>
      <c r="Q36" s="1810">
        <f t="shared" si="11"/>
        <v>111</v>
      </c>
      <c r="R36" s="774" t="s">
        <v>17</v>
      </c>
      <c r="S36" s="775">
        <f t="shared" si="12"/>
        <v>100</v>
      </c>
      <c r="T36" s="774" t="s">
        <v>17</v>
      </c>
      <c r="U36" s="775">
        <f t="shared" si="13"/>
        <v>100</v>
      </c>
      <c r="V36" s="774" t="s">
        <v>17</v>
      </c>
      <c r="W36" s="775">
        <f t="shared" si="14"/>
        <v>100</v>
      </c>
      <c r="X36" s="1813"/>
      <c r="Y36" s="3273"/>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266" t="str">
        <f>A37</f>
        <v>成交单价</v>
      </c>
      <c r="Q37" s="3266"/>
      <c r="R37" s="3267">
        <f>E37</f>
        <v>0</v>
      </c>
      <c r="S37" s="3267"/>
      <c r="T37" s="3267">
        <f>G37</f>
        <v>0</v>
      </c>
      <c r="U37" s="3267"/>
      <c r="V37" s="3267">
        <f>I37</f>
        <v>0</v>
      </c>
      <c r="W37" s="3267"/>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66" t="str">
        <f>A38</f>
        <v>比较价值（元/平方米）</v>
      </c>
      <c r="Q38" s="3266"/>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63" t="str">
        <f>A39</f>
        <v>估价对象XX用房的比较价值（楼面单价，元/平方米）</v>
      </c>
      <c r="Q39" s="3264"/>
      <c r="R39" s="3265" t="e">
        <f>IF(F1="售价",ROUND(AVERAGE(R38:V38),0),ROUND(AVERAGE(R38:V38),1))</f>
        <v>#DIV/0!</v>
      </c>
      <c r="S39" s="3265"/>
      <c r="T39" s="3265"/>
      <c r="U39" s="3265"/>
      <c r="V39" s="3265"/>
      <c r="W39" s="326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2020-3</v>
      </c>
      <c r="D48" s="1575">
        <f>EDATE(C48,-1)</f>
        <v>43862</v>
      </c>
      <c r="E48" s="1575">
        <f t="shared" ref="E48:O48" si="16">EDATE(D48,-1)</f>
        <v>43831</v>
      </c>
      <c r="F48" s="1575">
        <f t="shared" si="16"/>
        <v>43800</v>
      </c>
      <c r="G48" s="1575">
        <f t="shared" si="16"/>
        <v>43770</v>
      </c>
      <c r="H48" s="1575">
        <f t="shared" si="16"/>
        <v>43739</v>
      </c>
      <c r="I48" s="1575">
        <f t="shared" si="16"/>
        <v>43709</v>
      </c>
      <c r="J48" s="1575">
        <f t="shared" si="16"/>
        <v>43678</v>
      </c>
      <c r="K48" s="1575">
        <f t="shared" si="16"/>
        <v>43647</v>
      </c>
      <c r="L48" s="1575">
        <f t="shared" si="16"/>
        <v>43617</v>
      </c>
      <c r="M48" s="1575">
        <f t="shared" si="16"/>
        <v>43586</v>
      </c>
      <c r="N48" s="1575">
        <f t="shared" si="16"/>
        <v>43556</v>
      </c>
      <c r="O48" s="1575">
        <f t="shared" si="16"/>
        <v>43525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6"/>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8"/>
      <c r="D2" s="1124" t="e">
        <f ca="1">SUMIF(INDIRECT("'"&amp;F2&amp;"'"&amp;"!A:A"),"承租人权益价值",INDIRECT("'"&amp;F2&amp;"'"&amp;"!c:c"))</f>
        <v>#REF!</v>
      </c>
      <c r="E2" s="2589" t="s">
        <v>2328</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32" t="s">
        <v>2648</v>
      </c>
      <c r="AC4" s="3231" t="s">
        <v>2649</v>
      </c>
    </row>
    <row r="5" spans="1:29" ht="15">
      <c r="A5" s="404"/>
      <c r="B5" s="405"/>
      <c r="C5" s="3242" t="s">
        <v>2542</v>
      </c>
      <c r="D5" s="3243"/>
      <c r="E5" s="3240" t="s">
        <v>2543</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32"/>
      <c r="AC5" s="3232"/>
    </row>
    <row r="6" spans="1:29" ht="15.75" thickBot="1">
      <c r="A6" s="406"/>
      <c r="B6" s="407"/>
      <c r="C6" s="3244" t="s">
        <v>2546</v>
      </c>
      <c r="D6" s="3245"/>
      <c r="E6" s="3246" t="s">
        <v>2546</v>
      </c>
      <c r="F6" s="3247"/>
      <c r="G6" s="3244" t="s">
        <v>2546</v>
      </c>
      <c r="H6" s="3245"/>
      <c r="I6" s="3244" t="s">
        <v>2546</v>
      </c>
      <c r="J6" s="3245"/>
      <c r="K6" s="610" t="s">
        <v>2547</v>
      </c>
      <c r="L6" s="1130"/>
      <c r="M6" s="1131"/>
      <c r="N6" s="1131"/>
      <c r="O6" s="1131"/>
      <c r="P6" s="3257"/>
      <c r="Q6" s="3258"/>
      <c r="R6" s="3238"/>
      <c r="S6" s="3239"/>
      <c r="T6" s="3259"/>
      <c r="U6" s="3260"/>
      <c r="V6" s="3261"/>
      <c r="W6" s="3261"/>
      <c r="X6" s="1813"/>
      <c r="Y6" s="3259"/>
      <c r="Z6" s="3260"/>
      <c r="AA6" s="3233"/>
      <c r="AB6" s="3233"/>
      <c r="AC6" s="3233"/>
    </row>
    <row r="7" spans="1:29" s="117" customFormat="1" ht="15.75" thickBot="1">
      <c r="A7" s="408" t="s">
        <v>2548</v>
      </c>
      <c r="B7" s="409"/>
      <c r="C7" s="410">
        <f>'数据-取费表'!B2</f>
        <v>43914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4" t="s">
        <v>2549</v>
      </c>
      <c r="Q7" s="3262"/>
      <c r="R7" s="770" t="s">
        <v>17</v>
      </c>
      <c r="S7" s="771">
        <f t="shared" ref="S7:S14" si="0">F7</f>
        <v>0</v>
      </c>
      <c r="T7" s="770" t="s">
        <v>17</v>
      </c>
      <c r="U7" s="771">
        <f t="shared" ref="U7:U14" si="1">H7</f>
        <v>0</v>
      </c>
      <c r="V7" s="770" t="s">
        <v>17</v>
      </c>
      <c r="W7" s="771">
        <f t="shared" ref="W7:W14" si="2">J7</f>
        <v>0</v>
      </c>
      <c r="X7" s="772"/>
      <c r="Y7" s="3234" t="s">
        <v>2549</v>
      </c>
      <c r="Z7" s="3235"/>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4" t="s">
        <v>2552</v>
      </c>
      <c r="Q8" s="3235"/>
      <c r="R8" s="770" t="s">
        <v>17</v>
      </c>
      <c r="S8" s="771">
        <f t="shared" si="0"/>
        <v>0</v>
      </c>
      <c r="T8" s="770" t="s">
        <v>17</v>
      </c>
      <c r="U8" s="771">
        <f t="shared" si="1"/>
        <v>0</v>
      </c>
      <c r="V8" s="770" t="s">
        <v>17</v>
      </c>
      <c r="W8" s="771">
        <f t="shared" si="2"/>
        <v>0</v>
      </c>
      <c r="X8" s="772"/>
      <c r="Y8" s="3234" t="s">
        <v>2552</v>
      </c>
      <c r="Z8" s="3235"/>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6" t="s">
        <v>2555</v>
      </c>
      <c r="Q9" s="1795" t="str">
        <f t="shared" ref="Q9:Q14" si="6">B9</f>
        <v>用途</v>
      </c>
      <c r="R9" s="770" t="s">
        <v>17</v>
      </c>
      <c r="S9" s="771">
        <f t="shared" si="0"/>
        <v>100</v>
      </c>
      <c r="T9" s="770" t="s">
        <v>17</v>
      </c>
      <c r="U9" s="771">
        <f t="shared" si="1"/>
        <v>100</v>
      </c>
      <c r="V9" s="770" t="s">
        <v>17</v>
      </c>
      <c r="W9" s="771">
        <f t="shared" si="2"/>
        <v>100</v>
      </c>
      <c r="X9" s="772"/>
      <c r="Y9" s="3081"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6"/>
      <c r="Q10" s="1795" t="str">
        <f t="shared" si="6"/>
        <v>土地使用年限（年）</v>
      </c>
      <c r="R10" s="770" t="s">
        <v>17</v>
      </c>
      <c r="S10" s="771">
        <f t="shared" si="0"/>
        <v>100</v>
      </c>
      <c r="T10" s="770" t="s">
        <v>17</v>
      </c>
      <c r="U10" s="771">
        <f t="shared" si="1"/>
        <v>100</v>
      </c>
      <c r="V10" s="770" t="s">
        <v>17</v>
      </c>
      <c r="W10" s="771">
        <f t="shared" si="2"/>
        <v>100</v>
      </c>
      <c r="X10" s="772"/>
      <c r="Y10" s="308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6"/>
      <c r="Q11" s="1795">
        <f t="shared" si="6"/>
        <v>111</v>
      </c>
      <c r="R11" s="770" t="s">
        <v>17</v>
      </c>
      <c r="S11" s="771">
        <f t="shared" si="0"/>
        <v>100</v>
      </c>
      <c r="T11" s="770" t="s">
        <v>17</v>
      </c>
      <c r="U11" s="771">
        <f t="shared" si="1"/>
        <v>100</v>
      </c>
      <c r="V11" s="770" t="s">
        <v>17</v>
      </c>
      <c r="W11" s="771">
        <f t="shared" si="2"/>
        <v>100</v>
      </c>
      <c r="X11" s="772"/>
      <c r="Y11" s="308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6"/>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66"/>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68" t="s">
        <v>2560</v>
      </c>
      <c r="Q14" s="1810" t="str">
        <f t="shared" si="6"/>
        <v>交通便捷度</v>
      </c>
      <c r="R14" s="774" t="s">
        <v>17</v>
      </c>
      <c r="S14" s="775">
        <f t="shared" si="0"/>
        <v>100</v>
      </c>
      <c r="T14" s="774" t="s">
        <v>17</v>
      </c>
      <c r="U14" s="775">
        <f t="shared" si="1"/>
        <v>100</v>
      </c>
      <c r="V14" s="774" t="s">
        <v>17</v>
      </c>
      <c r="W14" s="775">
        <f t="shared" si="2"/>
        <v>100</v>
      </c>
      <c r="X14" s="1813"/>
      <c r="Y14" s="3268"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69"/>
      <c r="Q15" s="1810"/>
      <c r="R15" s="774"/>
      <c r="S15" s="775"/>
      <c r="T15" s="774"/>
      <c r="U15" s="775"/>
      <c r="V15" s="774"/>
      <c r="W15" s="775"/>
      <c r="X15" s="1813"/>
      <c r="Y15" s="3269"/>
      <c r="Z15" s="1814"/>
      <c r="AA15" s="1811">
        <v>1</v>
      </c>
      <c r="AB15" s="1811">
        <v>1</v>
      </c>
      <c r="AC15" s="1811">
        <v>1</v>
      </c>
    </row>
    <row r="16" spans="1:29" ht="42.75">
      <c r="A16" s="428"/>
      <c r="B16" s="451" t="s">
        <v>2688</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69"/>
      <c r="Q16" s="1810" t="str">
        <f>B16</f>
        <v>公共配套设施</v>
      </c>
      <c r="R16" s="774" t="s">
        <v>17</v>
      </c>
      <c r="S16" s="775">
        <f>F16</f>
        <v>100</v>
      </c>
      <c r="T16" s="774" t="s">
        <v>17</v>
      </c>
      <c r="U16" s="775">
        <f>H16</f>
        <v>100</v>
      </c>
      <c r="V16" s="774" t="s">
        <v>17</v>
      </c>
      <c r="W16" s="775">
        <f>J16</f>
        <v>100</v>
      </c>
      <c r="X16" s="1813"/>
      <c r="Y16" s="326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69"/>
      <c r="Q17" s="1810"/>
      <c r="R17" s="774"/>
      <c r="S17" s="775"/>
      <c r="T17" s="774"/>
      <c r="U17" s="775"/>
      <c r="V17" s="774"/>
      <c r="W17" s="775"/>
      <c r="X17" s="1813"/>
      <c r="Y17" s="3269"/>
      <c r="Z17" s="1814"/>
      <c r="AA17" s="1811">
        <v>1</v>
      </c>
      <c r="AB17" s="1811">
        <v>1</v>
      </c>
      <c r="AC17" s="1811">
        <v>1</v>
      </c>
    </row>
    <row r="18" spans="1:29" ht="28.5">
      <c r="A18" s="428"/>
      <c r="B18" s="1384" t="s">
        <v>2689</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69"/>
      <c r="Q18" s="1810" t="str">
        <f>B18</f>
        <v>基础设施水平</v>
      </c>
      <c r="R18" s="774" t="s">
        <v>17</v>
      </c>
      <c r="S18" s="775">
        <f>F18</f>
        <v>100</v>
      </c>
      <c r="T18" s="774" t="s">
        <v>17</v>
      </c>
      <c r="U18" s="775">
        <f>H18</f>
        <v>100</v>
      </c>
      <c r="V18" s="774" t="s">
        <v>17</v>
      </c>
      <c r="W18" s="775">
        <f>J18</f>
        <v>100</v>
      </c>
      <c r="X18" s="1813"/>
      <c r="Y18" s="326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69"/>
      <c r="Q19" s="1810"/>
      <c r="R19" s="774"/>
      <c r="S19" s="775"/>
      <c r="T19" s="774"/>
      <c r="U19" s="775"/>
      <c r="V19" s="774"/>
      <c r="W19" s="775"/>
      <c r="X19" s="1813"/>
      <c r="Y19" s="3269"/>
      <c r="Z19" s="1814"/>
      <c r="AA19" s="1811">
        <v>1</v>
      </c>
      <c r="AB19" s="1811">
        <v>1</v>
      </c>
      <c r="AC19" s="1811">
        <v>1</v>
      </c>
    </row>
    <row r="20" spans="1:29" ht="57">
      <c r="A20" s="428"/>
      <c r="B20" s="451" t="s">
        <v>2710</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69"/>
      <c r="Q20" s="1810" t="str">
        <f>B20</f>
        <v>自然及人文环境</v>
      </c>
      <c r="R20" s="774" t="s">
        <v>17</v>
      </c>
      <c r="S20" s="775">
        <f>F20</f>
        <v>100</v>
      </c>
      <c r="T20" s="774" t="s">
        <v>17</v>
      </c>
      <c r="U20" s="775">
        <f>H20</f>
        <v>100</v>
      </c>
      <c r="V20" s="774" t="s">
        <v>17</v>
      </c>
      <c r="W20" s="775">
        <f>J20</f>
        <v>100</v>
      </c>
      <c r="X20" s="1813"/>
      <c r="Y20" s="326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69"/>
      <c r="Q21" s="1810"/>
      <c r="R21" s="774"/>
      <c r="S21" s="775"/>
      <c r="T21" s="774"/>
      <c r="U21" s="775"/>
      <c r="V21" s="774"/>
      <c r="W21" s="775"/>
      <c r="X21" s="1813"/>
      <c r="Y21" s="3269"/>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69"/>
      <c r="Q22" s="1810" t="str">
        <f>B22</f>
        <v>楼层</v>
      </c>
      <c r="R22" s="774" t="s">
        <v>17</v>
      </c>
      <c r="S22" s="775">
        <f>F22</f>
        <v>100</v>
      </c>
      <c r="T22" s="774" t="s">
        <v>17</v>
      </c>
      <c r="U22" s="775">
        <f>H22</f>
        <v>100</v>
      </c>
      <c r="V22" s="774" t="s">
        <v>17</v>
      </c>
      <c r="W22" s="775">
        <f>J22</f>
        <v>100</v>
      </c>
      <c r="X22" s="1813"/>
      <c r="Y22" s="326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69"/>
      <c r="Q23" s="1810">
        <f>B23</f>
        <v>111</v>
      </c>
      <c r="R23" s="774" t="s">
        <v>17</v>
      </c>
      <c r="S23" s="775">
        <f>F23</f>
        <v>100</v>
      </c>
      <c r="T23" s="774" t="s">
        <v>17</v>
      </c>
      <c r="U23" s="775">
        <f>H23</f>
        <v>100</v>
      </c>
      <c r="V23" s="774" t="s">
        <v>17</v>
      </c>
      <c r="W23" s="775">
        <f>J23</f>
        <v>100</v>
      </c>
      <c r="X23" s="1813"/>
      <c r="Y23" s="326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69"/>
      <c r="Q24" s="1810">
        <f t="shared" ref="Q24:Q34" si="11">B24</f>
        <v>111</v>
      </c>
      <c r="R24" s="774" t="s">
        <v>17</v>
      </c>
      <c r="S24" s="775">
        <f>F24</f>
        <v>100</v>
      </c>
      <c r="T24" s="774" t="s">
        <v>17</v>
      </c>
      <c r="U24" s="775">
        <f>H24</f>
        <v>100</v>
      </c>
      <c r="V24" s="774" t="s">
        <v>17</v>
      </c>
      <c r="W24" s="775">
        <f>J24</f>
        <v>100</v>
      </c>
      <c r="X24" s="1813"/>
      <c r="Y24" s="3269"/>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69"/>
      <c r="Q25" s="1795">
        <f t="shared" si="11"/>
        <v>111</v>
      </c>
      <c r="R25" s="770" t="s">
        <v>17</v>
      </c>
      <c r="S25" s="771">
        <f>F25</f>
        <v>100</v>
      </c>
      <c r="T25" s="770" t="s">
        <v>17</v>
      </c>
      <c r="U25" s="771">
        <f>H25</f>
        <v>100</v>
      </c>
      <c r="V25" s="770" t="s">
        <v>17</v>
      </c>
      <c r="W25" s="771">
        <f>J25</f>
        <v>100</v>
      </c>
      <c r="X25" s="772"/>
      <c r="Y25" s="3269"/>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93"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73"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3"/>
      <c r="Q27" s="776" t="str">
        <f t="shared" si="11"/>
        <v>成新率</v>
      </c>
      <c r="R27" s="777" t="s">
        <v>17</v>
      </c>
      <c r="S27" s="778" t="e">
        <f t="shared" si="12"/>
        <v>#N/A</v>
      </c>
      <c r="T27" s="777" t="s">
        <v>17</v>
      </c>
      <c r="U27" s="778" t="e">
        <f t="shared" si="13"/>
        <v>#N/A</v>
      </c>
      <c r="V27" s="777" t="s">
        <v>17</v>
      </c>
      <c r="W27" s="778" t="e">
        <f t="shared" si="14"/>
        <v>#N/A</v>
      </c>
      <c r="X27" s="779"/>
      <c r="Y27" s="3273"/>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3"/>
      <c r="Q28" s="1810" t="str">
        <f t="shared" si="11"/>
        <v>物业等级</v>
      </c>
      <c r="R28" s="774" t="s">
        <v>17</v>
      </c>
      <c r="S28" s="775">
        <f t="shared" si="12"/>
        <v>100</v>
      </c>
      <c r="T28" s="774" t="s">
        <v>17</v>
      </c>
      <c r="U28" s="775">
        <f t="shared" si="13"/>
        <v>100</v>
      </c>
      <c r="V28" s="774" t="s">
        <v>17</v>
      </c>
      <c r="W28" s="775">
        <f t="shared" si="14"/>
        <v>100</v>
      </c>
      <c r="X28" s="1813"/>
      <c r="Y28" s="3273"/>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3"/>
      <c r="Q29" s="1810" t="str">
        <f t="shared" si="11"/>
        <v>有无电梯</v>
      </c>
      <c r="R29" s="774" t="s">
        <v>17</v>
      </c>
      <c r="S29" s="775">
        <f t="shared" si="12"/>
        <v>100</v>
      </c>
      <c r="T29" s="774" t="s">
        <v>17</v>
      </c>
      <c r="U29" s="775">
        <f t="shared" si="13"/>
        <v>100</v>
      </c>
      <c r="V29" s="774" t="s">
        <v>17</v>
      </c>
      <c r="W29" s="775">
        <f t="shared" si="14"/>
        <v>100</v>
      </c>
      <c r="X29" s="1813"/>
      <c r="Y29" s="3273"/>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3"/>
      <c r="Q30" s="1810" t="str">
        <f t="shared" si="11"/>
        <v>建筑面积</v>
      </c>
      <c r="R30" s="774" t="s">
        <v>17</v>
      </c>
      <c r="S30" s="775" t="e">
        <f t="shared" si="12"/>
        <v>#N/A</v>
      </c>
      <c r="T30" s="774" t="s">
        <v>17</v>
      </c>
      <c r="U30" s="775" t="e">
        <f t="shared" si="13"/>
        <v>#N/A</v>
      </c>
      <c r="V30" s="774" t="s">
        <v>17</v>
      </c>
      <c r="W30" s="775" t="e">
        <f t="shared" si="14"/>
        <v>#N/A</v>
      </c>
      <c r="X30" s="1813"/>
      <c r="Y30" s="3273"/>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3"/>
      <c r="Q31" s="1795" t="str">
        <f t="shared" si="11"/>
        <v>是否封闭</v>
      </c>
      <c r="R31" s="770" t="s">
        <v>17</v>
      </c>
      <c r="S31" s="771">
        <f t="shared" si="12"/>
        <v>100</v>
      </c>
      <c r="T31" s="770" t="s">
        <v>17</v>
      </c>
      <c r="U31" s="771">
        <f t="shared" si="13"/>
        <v>100</v>
      </c>
      <c r="V31" s="770" t="s">
        <v>17</v>
      </c>
      <c r="W31" s="771">
        <f t="shared" si="14"/>
        <v>100</v>
      </c>
      <c r="X31" s="772"/>
      <c r="Y31" s="327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3" t="s">
        <v>2565</v>
      </c>
      <c r="Q32" s="1810">
        <f t="shared" si="11"/>
        <v>111</v>
      </c>
      <c r="R32" s="774" t="s">
        <v>17</v>
      </c>
      <c r="S32" s="775">
        <f t="shared" si="12"/>
        <v>100</v>
      </c>
      <c r="T32" s="774" t="s">
        <v>17</v>
      </c>
      <c r="U32" s="775">
        <f t="shared" si="13"/>
        <v>100</v>
      </c>
      <c r="V32" s="774" t="s">
        <v>17</v>
      </c>
      <c r="W32" s="775">
        <f t="shared" si="14"/>
        <v>100</v>
      </c>
      <c r="X32" s="1813"/>
      <c r="Y32" s="3273" t="s">
        <v>2565</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3"/>
      <c r="Q33" s="1810">
        <f t="shared" si="11"/>
        <v>111</v>
      </c>
      <c r="R33" s="774" t="s">
        <v>17</v>
      </c>
      <c r="S33" s="775">
        <f t="shared" si="12"/>
        <v>100</v>
      </c>
      <c r="T33" s="774" t="s">
        <v>17</v>
      </c>
      <c r="U33" s="775">
        <f t="shared" si="13"/>
        <v>100</v>
      </c>
      <c r="V33" s="774" t="s">
        <v>17</v>
      </c>
      <c r="W33" s="775">
        <f t="shared" si="14"/>
        <v>100</v>
      </c>
      <c r="X33" s="1813"/>
      <c r="Y33" s="327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73"/>
      <c r="Q34" s="1810">
        <f t="shared" si="11"/>
        <v>111</v>
      </c>
      <c r="R34" s="774" t="s">
        <v>17</v>
      </c>
      <c r="S34" s="775">
        <f t="shared" si="12"/>
        <v>100</v>
      </c>
      <c r="T34" s="774" t="s">
        <v>17</v>
      </c>
      <c r="U34" s="775">
        <f t="shared" si="13"/>
        <v>100</v>
      </c>
      <c r="V34" s="774" t="s">
        <v>17</v>
      </c>
      <c r="W34" s="775">
        <f t="shared" si="14"/>
        <v>100</v>
      </c>
      <c r="X34" s="1813"/>
      <c r="Y34" s="3273"/>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66" t="str">
        <f>A35</f>
        <v>成交单价（元/平方米）</v>
      </c>
      <c r="Q35" s="3266"/>
      <c r="R35" s="3267">
        <f>E35</f>
        <v>0</v>
      </c>
      <c r="S35" s="3267"/>
      <c r="T35" s="3267">
        <f>G35</f>
        <v>0</v>
      </c>
      <c r="U35" s="3267"/>
      <c r="V35" s="3267">
        <f>I35</f>
        <v>0</v>
      </c>
      <c r="W35" s="3267"/>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66" t="str">
        <f>A36</f>
        <v>比较价值（元/平方米）</v>
      </c>
      <c r="Q36" s="3266"/>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63" t="str">
        <f>A37</f>
        <v>估价对象XX用房的比较价值（楼面单价，元/平方米）</v>
      </c>
      <c r="Q37" s="3264"/>
      <c r="R37" s="3265" t="e">
        <f>IF(F1="售价",ROUND(AVERAGE(R36:V36),0),ROUND(AVERAGE(R36:V36),1))</f>
        <v>#DIV/0!</v>
      </c>
      <c r="S37" s="3265"/>
      <c r="T37" s="3265"/>
      <c r="U37" s="3265"/>
      <c r="V37" s="3265"/>
      <c r="W37" s="326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2020-3</v>
      </c>
      <c r="D46" s="1575">
        <f>EDATE(C46,-1)</f>
        <v>43862</v>
      </c>
      <c r="E46" s="1575">
        <f t="shared" ref="E46:O46" si="16">EDATE(D46,-1)</f>
        <v>43831</v>
      </c>
      <c r="F46" s="1575">
        <f t="shared" si="16"/>
        <v>43800</v>
      </c>
      <c r="G46" s="1575">
        <f t="shared" si="16"/>
        <v>43770</v>
      </c>
      <c r="H46" s="1575">
        <f t="shared" si="16"/>
        <v>43739</v>
      </c>
      <c r="I46" s="1575">
        <f t="shared" si="16"/>
        <v>43709</v>
      </c>
      <c r="J46" s="1575">
        <f t="shared" si="16"/>
        <v>43678</v>
      </c>
      <c r="K46" s="1575">
        <f t="shared" si="16"/>
        <v>43647</v>
      </c>
      <c r="L46" s="1575">
        <f t="shared" si="16"/>
        <v>43617</v>
      </c>
      <c r="M46" s="1575">
        <f t="shared" si="16"/>
        <v>43586</v>
      </c>
      <c r="N46" s="1575">
        <f t="shared" si="16"/>
        <v>43556</v>
      </c>
      <c r="O46" s="1575">
        <f t="shared" si="16"/>
        <v>43525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32" t="s">
        <v>2648</v>
      </c>
      <c r="AC4" s="3231" t="s">
        <v>2649</v>
      </c>
    </row>
    <row r="5" spans="1:30" ht="15">
      <c r="A5" s="404"/>
      <c r="B5" s="405"/>
      <c r="C5" s="3242" t="s">
        <v>2542</v>
      </c>
      <c r="D5" s="3243"/>
      <c r="E5" s="3240" t="s">
        <v>2543</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32"/>
      <c r="AC5" s="3232"/>
    </row>
    <row r="6" spans="1:30" ht="15.75" thickBot="1">
      <c r="A6" s="406"/>
      <c r="B6" s="407"/>
      <c r="C6" s="3244" t="s">
        <v>2546</v>
      </c>
      <c r="D6" s="3245"/>
      <c r="E6" s="3246" t="s">
        <v>2546</v>
      </c>
      <c r="F6" s="3247"/>
      <c r="G6" s="3244" t="s">
        <v>2546</v>
      </c>
      <c r="H6" s="3245"/>
      <c r="I6" s="3244" t="s">
        <v>2546</v>
      </c>
      <c r="J6" s="3245"/>
      <c r="K6" s="610" t="s">
        <v>2547</v>
      </c>
      <c r="L6" s="1130"/>
      <c r="M6" s="1131"/>
      <c r="N6" s="1131"/>
      <c r="O6" s="1131"/>
      <c r="P6" s="3257"/>
      <c r="Q6" s="3258"/>
      <c r="R6" s="3238"/>
      <c r="S6" s="3239"/>
      <c r="T6" s="3259"/>
      <c r="U6" s="3260"/>
      <c r="V6" s="3261"/>
      <c r="W6" s="3261"/>
      <c r="X6" s="1813"/>
      <c r="Y6" s="3259"/>
      <c r="Z6" s="3260"/>
      <c r="AA6" s="3233"/>
      <c r="AB6" s="3233"/>
      <c r="AC6" s="3233"/>
    </row>
    <row r="7" spans="1:30" s="117" customFormat="1" ht="15.75" thickBot="1">
      <c r="A7" s="408" t="s">
        <v>2548</v>
      </c>
      <c r="B7" s="409"/>
      <c r="C7" s="410">
        <f>'数据-取费表'!B2</f>
        <v>43914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4" t="s">
        <v>2549</v>
      </c>
      <c r="Q7" s="3262"/>
      <c r="R7" s="770" t="s">
        <v>17</v>
      </c>
      <c r="S7" s="771">
        <f t="shared" ref="S7:S15" si="0">F7</f>
        <v>0</v>
      </c>
      <c r="T7" s="770" t="s">
        <v>17</v>
      </c>
      <c r="U7" s="771">
        <f t="shared" ref="U7:U15" si="1">H7</f>
        <v>0</v>
      </c>
      <c r="V7" s="770" t="s">
        <v>17</v>
      </c>
      <c r="W7" s="771">
        <f t="shared" ref="W7:W15" si="2">J7</f>
        <v>0</v>
      </c>
      <c r="X7" s="772"/>
      <c r="Y7" s="3234" t="s">
        <v>2549</v>
      </c>
      <c r="Z7" s="3235"/>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4" t="s">
        <v>2552</v>
      </c>
      <c r="Q8" s="3235"/>
      <c r="R8" s="770" t="s">
        <v>17</v>
      </c>
      <c r="S8" s="771">
        <f t="shared" si="0"/>
        <v>0</v>
      </c>
      <c r="T8" s="770" t="s">
        <v>17</v>
      </c>
      <c r="U8" s="771">
        <f t="shared" si="1"/>
        <v>0</v>
      </c>
      <c r="V8" s="770" t="s">
        <v>17</v>
      </c>
      <c r="W8" s="771">
        <f t="shared" si="2"/>
        <v>0</v>
      </c>
      <c r="X8" s="772"/>
      <c r="Y8" s="3234" t="s">
        <v>2552</v>
      </c>
      <c r="Z8" s="3235"/>
      <c r="AA8" s="773" t="e">
        <f t="shared" ref="AA8:AA45" si="3">D8/F8</f>
        <v>#DIV/0!</v>
      </c>
      <c r="AB8" s="773" t="e">
        <f t="shared" ref="AB8:AB45" si="4">D8/H8</f>
        <v>#DIV/0!</v>
      </c>
      <c r="AC8" s="773" t="e">
        <f t="shared" ref="AC8:AC45" si="5">D8/J8</f>
        <v>#DIV/0!</v>
      </c>
    </row>
    <row r="9" spans="1:30" s="117" customFormat="1">
      <c r="A9" s="415" t="s">
        <v>2553</v>
      </c>
      <c r="B9" s="71" t="s">
        <v>2554</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66"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66"/>
      <c r="Q10" s="1795" t="str">
        <f t="shared" si="6"/>
        <v>土地使用年限（年）</v>
      </c>
      <c r="R10" s="770" t="s">
        <v>17</v>
      </c>
      <c r="S10" s="771">
        <f t="shared" si="0"/>
        <v>109</v>
      </c>
      <c r="T10" s="770" t="s">
        <v>17</v>
      </c>
      <c r="U10" s="771">
        <f t="shared" si="1"/>
        <v>109</v>
      </c>
      <c r="V10" s="770" t="s">
        <v>17</v>
      </c>
      <c r="W10" s="771">
        <f t="shared" si="2"/>
        <v>109</v>
      </c>
      <c r="X10" s="772"/>
      <c r="Y10" s="3081"/>
      <c r="Z10" s="55" t="str">
        <f t="shared" si="7"/>
        <v>土地使用年限（年）</v>
      </c>
      <c r="AA10" s="773">
        <f t="shared" si="3"/>
        <v>0.91743119266055051</v>
      </c>
      <c r="AB10" s="773">
        <f t="shared" si="4"/>
        <v>0.91743119266055051</v>
      </c>
      <c r="AC10" s="773">
        <f t="shared" si="5"/>
        <v>0.91743119266055051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6"/>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30" s="117" customFormat="1" ht="15">
      <c r="A12" s="431"/>
      <c r="B12" s="2602"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6"/>
      <c r="Q12" s="1795" t="str">
        <f t="shared" si="6"/>
        <v>配建</v>
      </c>
      <c r="R12" s="770" t="s">
        <v>17</v>
      </c>
      <c r="S12" s="771">
        <f t="shared" si="0"/>
        <v>100</v>
      </c>
      <c r="T12" s="770" t="s">
        <v>17</v>
      </c>
      <c r="U12" s="771">
        <f t="shared" si="1"/>
        <v>100</v>
      </c>
      <c r="V12" s="770" t="s">
        <v>17</v>
      </c>
      <c r="W12" s="771">
        <f t="shared" si="2"/>
        <v>100</v>
      </c>
      <c r="X12" s="772"/>
      <c r="Y12" s="308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6"/>
      <c r="Q13" s="1795">
        <f t="shared" si="6"/>
        <v>111</v>
      </c>
      <c r="R13" s="770" t="s">
        <v>17</v>
      </c>
      <c r="S13" s="771">
        <f t="shared" si="0"/>
        <v>100</v>
      </c>
      <c r="T13" s="770" t="s">
        <v>17</v>
      </c>
      <c r="U13" s="771">
        <f t="shared" si="1"/>
        <v>100</v>
      </c>
      <c r="V13" s="770" t="s">
        <v>17</v>
      </c>
      <c r="W13" s="771">
        <f t="shared" si="2"/>
        <v>100</v>
      </c>
      <c r="X13" s="772"/>
      <c r="Y13" s="308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6"/>
      <c r="Q14" s="1795">
        <f t="shared" si="6"/>
        <v>111</v>
      </c>
      <c r="R14" s="770" t="s">
        <v>17</v>
      </c>
      <c r="S14" s="771">
        <f t="shared" si="0"/>
        <v>100</v>
      </c>
      <c r="T14" s="770" t="s">
        <v>17</v>
      </c>
      <c r="U14" s="771">
        <f t="shared" si="1"/>
        <v>100</v>
      </c>
      <c r="V14" s="770" t="s">
        <v>17</v>
      </c>
      <c r="W14" s="771">
        <f t="shared" si="2"/>
        <v>100</v>
      </c>
      <c r="X14" s="772"/>
      <c r="Y14" s="3081"/>
      <c r="Z14" s="55">
        <f t="shared" si="7"/>
        <v>111</v>
      </c>
      <c r="AA14" s="773">
        <f>D14/F14</f>
        <v>1</v>
      </c>
      <c r="AB14" s="773">
        <f>D14/H14</f>
        <v>1</v>
      </c>
      <c r="AC14" s="773">
        <f>D14/J14</f>
        <v>1</v>
      </c>
    </row>
    <row r="15" spans="1:30" ht="99.75">
      <c r="A15" s="440" t="s">
        <v>2559</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68" t="s">
        <v>2560</v>
      </c>
      <c r="Q15" s="1810" t="str">
        <f t="shared" si="6"/>
        <v>居住社区成熟度</v>
      </c>
      <c r="R15" s="774" t="s">
        <v>17</v>
      </c>
      <c r="S15" s="775">
        <f t="shared" si="0"/>
        <v>100</v>
      </c>
      <c r="T15" s="774" t="s">
        <v>17</v>
      </c>
      <c r="U15" s="775">
        <f t="shared" si="1"/>
        <v>100</v>
      </c>
      <c r="V15" s="774" t="s">
        <v>17</v>
      </c>
      <c r="W15" s="775">
        <f t="shared" si="2"/>
        <v>100</v>
      </c>
      <c r="X15" s="1813"/>
      <c r="Y15" s="3268" t="s">
        <v>2560</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69"/>
      <c r="Q16" s="1810"/>
      <c r="R16" s="774"/>
      <c r="S16" s="775"/>
      <c r="T16" s="774"/>
      <c r="U16" s="775"/>
      <c r="V16" s="774"/>
      <c r="W16" s="775"/>
      <c r="X16" s="1813"/>
      <c r="Y16" s="3269"/>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69"/>
      <c r="Q17" s="1810" t="str">
        <f>B17</f>
        <v>商业繁华度</v>
      </c>
      <c r="R17" s="774" t="s">
        <v>17</v>
      </c>
      <c r="S17" s="775">
        <f>F17</f>
        <v>100</v>
      </c>
      <c r="T17" s="774" t="s">
        <v>17</v>
      </c>
      <c r="U17" s="775">
        <f>H17</f>
        <v>100</v>
      </c>
      <c r="V17" s="774" t="s">
        <v>17</v>
      </c>
      <c r="W17" s="775">
        <f>J17</f>
        <v>100</v>
      </c>
      <c r="X17" s="1813"/>
      <c r="Y17" s="326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69"/>
      <c r="Q18" s="1810"/>
      <c r="R18" s="774"/>
      <c r="S18" s="775"/>
      <c r="T18" s="774"/>
      <c r="U18" s="775"/>
      <c r="V18" s="774"/>
      <c r="W18" s="775"/>
      <c r="X18" s="1813"/>
      <c r="Y18" s="3269"/>
      <c r="Z18" s="1814"/>
      <c r="AA18" s="1811">
        <v>1</v>
      </c>
      <c r="AB18" s="1811">
        <v>1</v>
      </c>
      <c r="AC18" s="1811">
        <v>1</v>
      </c>
    </row>
    <row r="19" spans="1:29" ht="71.25">
      <c r="A19" s="428"/>
      <c r="B19" s="451" t="s">
        <v>2687</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69"/>
      <c r="Q19" s="1810" t="str">
        <f>B19</f>
        <v>办公集聚程度</v>
      </c>
      <c r="R19" s="774" t="s">
        <v>17</v>
      </c>
      <c r="S19" s="775">
        <f>F19</f>
        <v>100</v>
      </c>
      <c r="T19" s="774" t="s">
        <v>17</v>
      </c>
      <c r="U19" s="775">
        <f>H19</f>
        <v>100</v>
      </c>
      <c r="V19" s="774" t="s">
        <v>17</v>
      </c>
      <c r="W19" s="775">
        <f>J19</f>
        <v>100</v>
      </c>
      <c r="X19" s="1813"/>
      <c r="Y19" s="326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69"/>
      <c r="Q20" s="1810"/>
      <c r="R20" s="774"/>
      <c r="S20" s="775"/>
      <c r="T20" s="774"/>
      <c r="U20" s="775"/>
      <c r="V20" s="774"/>
      <c r="W20" s="775"/>
      <c r="X20" s="1813"/>
      <c r="Y20" s="3269"/>
      <c r="Z20" s="1814"/>
      <c r="AA20" s="1811">
        <v>1</v>
      </c>
      <c r="AB20" s="1811">
        <v>1</v>
      </c>
      <c r="AC20" s="1811">
        <v>1</v>
      </c>
    </row>
    <row r="21" spans="1:29" ht="85.5">
      <c r="A21" s="428"/>
      <c r="B21" s="451" t="s">
        <v>2709</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69"/>
      <c r="Q21" s="1810" t="str">
        <f>B21</f>
        <v>交通便捷度</v>
      </c>
      <c r="R21" s="774" t="s">
        <v>17</v>
      </c>
      <c r="S21" s="775">
        <f>F21</f>
        <v>100</v>
      </c>
      <c r="T21" s="774" t="s">
        <v>17</v>
      </c>
      <c r="U21" s="775">
        <f>H21</f>
        <v>100</v>
      </c>
      <c r="V21" s="774" t="s">
        <v>17</v>
      </c>
      <c r="W21" s="775">
        <f>J21</f>
        <v>100</v>
      </c>
      <c r="X21" s="1813"/>
      <c r="Y21" s="326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69"/>
      <c r="Q22" s="1810"/>
      <c r="R22" s="774"/>
      <c r="S22" s="775"/>
      <c r="T22" s="774"/>
      <c r="U22" s="775"/>
      <c r="V22" s="774"/>
      <c r="W22" s="775"/>
      <c r="X22" s="1813"/>
      <c r="Y22" s="3269"/>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69"/>
      <c r="Q23" s="1810" t="str">
        <f t="shared" ref="Q23:Q37" si="8">B23</f>
        <v>区域土地利用方向</v>
      </c>
      <c r="R23" s="774" t="s">
        <v>17</v>
      </c>
      <c r="S23" s="775">
        <f>F23</f>
        <v>100</v>
      </c>
      <c r="T23" s="774" t="s">
        <v>17</v>
      </c>
      <c r="U23" s="775">
        <f>H23</f>
        <v>100</v>
      </c>
      <c r="V23" s="774" t="s">
        <v>17</v>
      </c>
      <c r="W23" s="775">
        <f>J23</f>
        <v>100</v>
      </c>
      <c r="X23" s="1813"/>
      <c r="Y23" s="326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69"/>
      <c r="Q24" s="1810"/>
      <c r="R24" s="774"/>
      <c r="S24" s="775"/>
      <c r="T24" s="774"/>
      <c r="U24" s="775"/>
      <c r="V24" s="774"/>
      <c r="W24" s="775"/>
      <c r="X24" s="1813"/>
      <c r="Y24" s="3269"/>
      <c r="Z24" s="1814"/>
      <c r="AA24" s="1811"/>
      <c r="AB24" s="1811"/>
      <c r="AC24" s="1811"/>
    </row>
    <row r="25" spans="1:29" ht="57">
      <c r="A25" s="404"/>
      <c r="B25" s="1384" t="s">
        <v>2749</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69"/>
      <c r="Q25" s="1810" t="str">
        <f t="shared" si="8"/>
        <v>自然及人文环境状况</v>
      </c>
      <c r="R25" s="774" t="s">
        <v>17</v>
      </c>
      <c r="S25" s="775">
        <f>F25</f>
        <v>100</v>
      </c>
      <c r="T25" s="774" t="s">
        <v>17</v>
      </c>
      <c r="U25" s="775">
        <f>H25</f>
        <v>100</v>
      </c>
      <c r="V25" s="774" t="s">
        <v>17</v>
      </c>
      <c r="W25" s="775">
        <f>J25</f>
        <v>100</v>
      </c>
      <c r="X25" s="1813"/>
      <c r="Y25" s="326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69"/>
      <c r="Q26" s="1810"/>
      <c r="R26" s="774"/>
      <c r="S26" s="775"/>
      <c r="T26" s="774"/>
      <c r="U26" s="775"/>
      <c r="V26" s="774"/>
      <c r="W26" s="775"/>
      <c r="X26" s="1813"/>
      <c r="Y26" s="3269"/>
      <c r="Z26" s="1814"/>
      <c r="AA26" s="1811">
        <v>1</v>
      </c>
      <c r="AB26" s="1811">
        <v>1</v>
      </c>
      <c r="AC26" s="1811">
        <v>1</v>
      </c>
    </row>
    <row r="27" spans="1:29" s="117" customFormat="1" ht="42.75">
      <c r="A27" s="649"/>
      <c r="B27" s="1384" t="s">
        <v>2654</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69"/>
      <c r="Q27" s="1795" t="str">
        <f t="shared" si="8"/>
        <v>公共配套设施</v>
      </c>
      <c r="R27" s="770" t="s">
        <v>17</v>
      </c>
      <c r="S27" s="771">
        <f>F27</f>
        <v>100</v>
      </c>
      <c r="T27" s="770" t="s">
        <v>17</v>
      </c>
      <c r="U27" s="771">
        <f>H27</f>
        <v>100</v>
      </c>
      <c r="V27" s="770" t="s">
        <v>17</v>
      </c>
      <c r="W27" s="771">
        <f>J27</f>
        <v>100</v>
      </c>
      <c r="X27" s="772"/>
      <c r="Y27" s="326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69"/>
      <c r="Q28" s="1795"/>
      <c r="R28" s="770"/>
      <c r="S28" s="771"/>
      <c r="T28" s="770"/>
      <c r="U28" s="771"/>
      <c r="V28" s="770"/>
      <c r="W28" s="771"/>
      <c r="X28" s="772"/>
      <c r="Y28" s="3269"/>
      <c r="Z28" s="55"/>
      <c r="AA28" s="1811">
        <v>1</v>
      </c>
      <c r="AB28" s="1811">
        <v>1</v>
      </c>
      <c r="AC28" s="1811">
        <v>1</v>
      </c>
    </row>
    <row r="29" spans="1:29" s="117" customFormat="1" ht="28.5">
      <c r="A29" s="649"/>
      <c r="B29" s="1384" t="s">
        <v>2655</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69"/>
      <c r="Q29" s="1795" t="str">
        <f t="shared" ref="Q29" si="9">B29</f>
        <v>基础设施水平</v>
      </c>
      <c r="R29" s="770" t="s">
        <v>17</v>
      </c>
      <c r="S29" s="771">
        <f>F29</f>
        <v>100</v>
      </c>
      <c r="T29" s="770" t="s">
        <v>17</v>
      </c>
      <c r="U29" s="771">
        <f>H29</f>
        <v>100</v>
      </c>
      <c r="V29" s="770" t="s">
        <v>17</v>
      </c>
      <c r="W29" s="771">
        <f>J29</f>
        <v>100</v>
      </c>
      <c r="X29" s="772"/>
      <c r="Y29" s="326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69"/>
      <c r="Q30" s="1795"/>
      <c r="R30" s="770"/>
      <c r="S30" s="771"/>
      <c r="T30" s="770"/>
      <c r="U30" s="771"/>
      <c r="V30" s="770"/>
      <c r="W30" s="771"/>
      <c r="X30" s="772"/>
      <c r="Y30" s="3269"/>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6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69"/>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69"/>
      <c r="Q32" s="1810" t="str">
        <f t="shared" si="8"/>
        <v>毗邻道路的类型与等级</v>
      </c>
      <c r="R32" s="774" t="s">
        <v>17</v>
      </c>
      <c r="S32" s="775">
        <f t="shared" si="10"/>
        <v>100</v>
      </c>
      <c r="T32" s="774" t="s">
        <v>17</v>
      </c>
      <c r="U32" s="775">
        <f t="shared" si="11"/>
        <v>100</v>
      </c>
      <c r="V32" s="774" t="s">
        <v>17</v>
      </c>
      <c r="W32" s="775">
        <f t="shared" si="12"/>
        <v>100</v>
      </c>
      <c r="X32" s="1813"/>
      <c r="Y32" s="326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69"/>
      <c r="Q33" s="1810"/>
      <c r="R33" s="774"/>
      <c r="S33" s="775"/>
      <c r="T33" s="774"/>
      <c r="U33" s="775"/>
      <c r="V33" s="774"/>
      <c r="W33" s="775"/>
      <c r="X33" s="1813"/>
      <c r="Y33" s="3269"/>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69"/>
      <c r="Q34" s="1810" t="str">
        <f t="shared" si="8"/>
        <v>土地级别</v>
      </c>
      <c r="R34" s="774" t="s">
        <v>17</v>
      </c>
      <c r="S34" s="775">
        <f t="shared" si="10"/>
        <v>100</v>
      </c>
      <c r="T34" s="774" t="s">
        <v>17</v>
      </c>
      <c r="U34" s="775">
        <f t="shared" si="11"/>
        <v>100</v>
      </c>
      <c r="V34" s="774" t="s">
        <v>17</v>
      </c>
      <c r="W34" s="775">
        <f t="shared" si="12"/>
        <v>100</v>
      </c>
      <c r="X34" s="1813"/>
      <c r="Y34" s="326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69"/>
      <c r="Q35" s="1810">
        <f t="shared" si="8"/>
        <v>111</v>
      </c>
      <c r="R35" s="774" t="s">
        <v>17</v>
      </c>
      <c r="S35" s="775">
        <f t="shared" si="10"/>
        <v>100</v>
      </c>
      <c r="T35" s="774" t="s">
        <v>17</v>
      </c>
      <c r="U35" s="775">
        <f t="shared" si="11"/>
        <v>100</v>
      </c>
      <c r="V35" s="774" t="s">
        <v>17</v>
      </c>
      <c r="W35" s="775">
        <f t="shared" si="12"/>
        <v>100</v>
      </c>
      <c r="X35" s="1813"/>
      <c r="Y35" s="326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3" t="s">
        <v>2565</v>
      </c>
      <c r="Q36" s="1810">
        <f t="shared" si="8"/>
        <v>111</v>
      </c>
      <c r="R36" s="774" t="s">
        <v>17</v>
      </c>
      <c r="S36" s="775">
        <f t="shared" si="10"/>
        <v>100</v>
      </c>
      <c r="T36" s="774" t="s">
        <v>17</v>
      </c>
      <c r="U36" s="775">
        <f t="shared" si="11"/>
        <v>100</v>
      </c>
      <c r="V36" s="774" t="s">
        <v>17</v>
      </c>
      <c r="W36" s="775">
        <f t="shared" si="12"/>
        <v>100</v>
      </c>
      <c r="X36" s="1813"/>
      <c r="Y36" s="3273"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3"/>
      <c r="Q37" s="1810">
        <f t="shared" si="8"/>
        <v>111</v>
      </c>
      <c r="R37" s="777" t="s">
        <v>17</v>
      </c>
      <c r="S37" s="778">
        <f t="shared" si="10"/>
        <v>100</v>
      </c>
      <c r="T37" s="777" t="s">
        <v>17</v>
      </c>
      <c r="U37" s="778">
        <f t="shared" si="11"/>
        <v>100</v>
      </c>
      <c r="V37" s="777" t="s">
        <v>17</v>
      </c>
      <c r="W37" s="778">
        <f t="shared" si="12"/>
        <v>100</v>
      </c>
      <c r="X37" s="779"/>
      <c r="Y37" s="3273"/>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3"/>
      <c r="Q38" s="1810" t="str">
        <f>B38</f>
        <v>宗地面积</v>
      </c>
      <c r="R38" s="774" t="s">
        <v>17</v>
      </c>
      <c r="S38" s="775" t="e">
        <f t="shared" si="10"/>
        <v>#N/A</v>
      </c>
      <c r="T38" s="774" t="s">
        <v>17</v>
      </c>
      <c r="U38" s="775" t="e">
        <f t="shared" si="11"/>
        <v>#N/A</v>
      </c>
      <c r="V38" s="774" t="s">
        <v>17</v>
      </c>
      <c r="W38" s="775" t="e">
        <f t="shared" si="12"/>
        <v>#N/A</v>
      </c>
      <c r="X38" s="1813"/>
      <c r="Y38" s="3273"/>
      <c r="Z38" s="1814" t="str">
        <f t="shared" si="13"/>
        <v>宗地面积</v>
      </c>
      <c r="AA38" s="1811" t="e">
        <f t="shared" si="3"/>
        <v>#N/A</v>
      </c>
      <c r="AB38" s="1811" t="e">
        <f t="shared" si="4"/>
        <v>#N/A</v>
      </c>
      <c r="AC38" s="1811" t="e">
        <f t="shared" si="5"/>
        <v>#N/A</v>
      </c>
    </row>
    <row r="39" spans="1:29" ht="15">
      <c r="A39" s="472"/>
      <c r="B39" s="422" t="s">
        <v>2752</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73"/>
      <c r="Q39" s="1810" t="str">
        <f t="shared" ref="Q39:Q45" si="14">B39</f>
        <v>宗地形状</v>
      </c>
      <c r="R39" s="774" t="s">
        <v>17</v>
      </c>
      <c r="S39" s="775">
        <f t="shared" si="10"/>
        <v>100</v>
      </c>
      <c r="T39" s="774" t="s">
        <v>17</v>
      </c>
      <c r="U39" s="775">
        <f t="shared" si="11"/>
        <v>100</v>
      </c>
      <c r="V39" s="774" t="s">
        <v>17</v>
      </c>
      <c r="W39" s="775">
        <f t="shared" si="12"/>
        <v>100</v>
      </c>
      <c r="X39" s="1813"/>
      <c r="Y39" s="3273"/>
      <c r="Z39" s="1814" t="str">
        <f t="shared" si="13"/>
        <v>宗地形状</v>
      </c>
      <c r="AA39" s="1811">
        <f t="shared" si="3"/>
        <v>1</v>
      </c>
      <c r="AB39" s="1811">
        <f t="shared" si="4"/>
        <v>1</v>
      </c>
      <c r="AC39" s="1811">
        <f t="shared" si="5"/>
        <v>1</v>
      </c>
    </row>
    <row r="40" spans="1:29" ht="15">
      <c r="A40" s="472"/>
      <c r="B40" s="422" t="s">
        <v>2753</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73"/>
      <c r="Q40" s="1810" t="str">
        <f t="shared" si="14"/>
        <v>临街宽度及深度</v>
      </c>
      <c r="R40" s="774" t="s">
        <v>17</v>
      </c>
      <c r="S40" s="775">
        <f t="shared" si="10"/>
        <v>100</v>
      </c>
      <c r="T40" s="774" t="s">
        <v>17</v>
      </c>
      <c r="U40" s="775">
        <f t="shared" si="11"/>
        <v>100</v>
      </c>
      <c r="V40" s="774" t="s">
        <v>17</v>
      </c>
      <c r="W40" s="775">
        <f t="shared" si="12"/>
        <v>100</v>
      </c>
      <c r="X40" s="1813"/>
      <c r="Y40" s="3273"/>
      <c r="Z40" s="1814" t="str">
        <f t="shared" si="13"/>
        <v>临街宽度及深度</v>
      </c>
      <c r="AA40" s="1811">
        <f t="shared" si="3"/>
        <v>1</v>
      </c>
      <c r="AB40" s="1811">
        <f t="shared" si="4"/>
        <v>1</v>
      </c>
      <c r="AC40" s="1811">
        <f t="shared" si="5"/>
        <v>1</v>
      </c>
    </row>
    <row r="41" spans="1:29" s="117" customFormat="1" ht="15">
      <c r="A41" s="473"/>
      <c r="B41" s="422" t="s">
        <v>2754</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73"/>
      <c r="Q41" s="1810" t="str">
        <f t="shared" si="14"/>
        <v>宗地开发程度</v>
      </c>
      <c r="R41" s="770" t="s">
        <v>17</v>
      </c>
      <c r="S41" s="771">
        <f t="shared" si="10"/>
        <v>100</v>
      </c>
      <c r="T41" s="770" t="s">
        <v>17</v>
      </c>
      <c r="U41" s="771">
        <f t="shared" si="11"/>
        <v>100</v>
      </c>
      <c r="V41" s="770" t="s">
        <v>17</v>
      </c>
      <c r="W41" s="771">
        <f t="shared" si="12"/>
        <v>100</v>
      </c>
      <c r="X41" s="772"/>
      <c r="Y41" s="3273"/>
      <c r="Z41" s="55" t="str">
        <f t="shared" si="13"/>
        <v>宗地开发程度</v>
      </c>
      <c r="AA41" s="773">
        <f t="shared" si="3"/>
        <v>1</v>
      </c>
      <c r="AB41" s="773">
        <f t="shared" si="4"/>
        <v>1</v>
      </c>
      <c r="AC41" s="773">
        <f t="shared" si="5"/>
        <v>1</v>
      </c>
    </row>
    <row r="42" spans="1:29" ht="15">
      <c r="A42" s="472"/>
      <c r="B42" s="422" t="s">
        <v>2755</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73" t="s">
        <v>2565</v>
      </c>
      <c r="Q42" s="1810" t="str">
        <f t="shared" si="14"/>
        <v>工程地质条件</v>
      </c>
      <c r="R42" s="774" t="s">
        <v>17</v>
      </c>
      <c r="S42" s="775">
        <f t="shared" si="10"/>
        <v>100</v>
      </c>
      <c r="T42" s="774" t="s">
        <v>17</v>
      </c>
      <c r="U42" s="775">
        <f t="shared" si="11"/>
        <v>100</v>
      </c>
      <c r="V42" s="774" t="s">
        <v>17</v>
      </c>
      <c r="W42" s="775">
        <f t="shared" si="12"/>
        <v>100</v>
      </c>
      <c r="X42" s="1813"/>
      <c r="Y42" s="3273"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3"/>
      <c r="Q43" s="1810">
        <f t="shared" si="14"/>
        <v>111</v>
      </c>
      <c r="R43" s="774" t="s">
        <v>17</v>
      </c>
      <c r="S43" s="775">
        <f t="shared" si="10"/>
        <v>100</v>
      </c>
      <c r="T43" s="774" t="s">
        <v>17</v>
      </c>
      <c r="U43" s="775">
        <f t="shared" si="11"/>
        <v>100</v>
      </c>
      <c r="V43" s="774" t="s">
        <v>17</v>
      </c>
      <c r="W43" s="775">
        <f t="shared" si="12"/>
        <v>100</v>
      </c>
      <c r="X43" s="1813"/>
      <c r="Y43" s="327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3"/>
      <c r="Q44" s="1810">
        <f t="shared" si="14"/>
        <v>111</v>
      </c>
      <c r="R44" s="774" t="s">
        <v>17</v>
      </c>
      <c r="S44" s="775">
        <f t="shared" si="10"/>
        <v>100</v>
      </c>
      <c r="T44" s="774" t="s">
        <v>17</v>
      </c>
      <c r="U44" s="775">
        <f t="shared" si="11"/>
        <v>100</v>
      </c>
      <c r="V44" s="774" t="s">
        <v>17</v>
      </c>
      <c r="W44" s="775">
        <f t="shared" si="12"/>
        <v>100</v>
      </c>
      <c r="X44" s="1813"/>
      <c r="Y44" s="327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3"/>
      <c r="Q45" s="1810">
        <f t="shared" si="14"/>
        <v>111</v>
      </c>
      <c r="R45" s="777" t="s">
        <v>17</v>
      </c>
      <c r="S45" s="778">
        <f t="shared" si="10"/>
        <v>100</v>
      </c>
      <c r="T45" s="777" t="s">
        <v>17</v>
      </c>
      <c r="U45" s="778">
        <f t="shared" si="11"/>
        <v>100</v>
      </c>
      <c r="V45" s="777" t="s">
        <v>17</v>
      </c>
      <c r="W45" s="778">
        <f t="shared" si="12"/>
        <v>100</v>
      </c>
      <c r="X45" s="779"/>
      <c r="Y45" s="3273"/>
      <c r="Z45" s="780">
        <f t="shared" si="13"/>
        <v>111</v>
      </c>
      <c r="AA45" s="1811">
        <f t="shared" si="3"/>
        <v>1</v>
      </c>
      <c r="AB45" s="1811">
        <f t="shared" si="4"/>
        <v>1</v>
      </c>
      <c r="AC45" s="1811">
        <f t="shared" si="5"/>
        <v>1</v>
      </c>
    </row>
    <row r="46" spans="1:29" ht="15">
      <c r="A46" s="479" t="s">
        <v>2720</v>
      </c>
      <c r="B46" s="2706" t="s">
        <v>2756</v>
      </c>
      <c r="C46" s="682" t="s">
        <v>1</v>
      </c>
      <c r="D46" s="481"/>
      <c r="E46" s="482"/>
      <c r="F46" s="483"/>
      <c r="G46" s="484"/>
      <c r="H46" s="485"/>
      <c r="I46" s="482"/>
      <c r="J46" s="485"/>
      <c r="K46" s="783"/>
      <c r="L46" s="1143"/>
      <c r="M46" s="1144"/>
      <c r="N46" s="1131"/>
      <c r="O46" s="1144"/>
      <c r="P46" s="3266" t="str">
        <f>A46</f>
        <v>成交单价</v>
      </c>
      <c r="Q46" s="3266"/>
      <c r="R46" s="3261">
        <f>E46</f>
        <v>0</v>
      </c>
      <c r="S46" s="3261"/>
      <c r="T46" s="3261">
        <f>G46</f>
        <v>0</v>
      </c>
      <c r="U46" s="3261"/>
      <c r="V46" s="3261">
        <f>I46</f>
        <v>0</v>
      </c>
      <c r="W46" s="3261"/>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66" t="str">
        <f>A47</f>
        <v>比较价值（元/平方米）</v>
      </c>
      <c r="Q47" s="3266"/>
      <c r="R47" s="3294" t="e">
        <f>ROUND(PRODUCT(R46,AA7:AA45),0)</f>
        <v>#DIV/0!</v>
      </c>
      <c r="S47" s="3294"/>
      <c r="T47" s="3294" t="e">
        <f>ROUND(PRODUCT(T46,AB7:AB45),0)</f>
        <v>#DIV/0!</v>
      </c>
      <c r="U47" s="3294"/>
      <c r="V47" s="3294" t="e">
        <f>ROUND(PRODUCT(V46,AC7:AC45),0)</f>
        <v>#DIV/0!</v>
      </c>
      <c r="W47" s="329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63" t="str">
        <f>A48</f>
        <v>估价对象XX用房的比较价值（楼面单价，元/平方米）</v>
      </c>
      <c r="Q48" s="3264"/>
      <c r="R48" s="3295" t="e">
        <f>ROUND(AVERAGE(R47:V47),0)</f>
        <v>#DIV/0!</v>
      </c>
      <c r="S48" s="3295"/>
      <c r="T48" s="3295"/>
      <c r="U48" s="3295"/>
      <c r="V48" s="3295"/>
      <c r="W48" s="329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249" t="s">
        <v>2764</v>
      </c>
      <c r="H55" s="3296"/>
      <c r="I55" s="144" t="s">
        <v>2765</v>
      </c>
      <c r="J55" s="2709">
        <f>项目基本情况!F35</f>
        <v>0</v>
      </c>
      <c r="K55" s="2710" t="s">
        <v>2766</v>
      </c>
      <c r="L55" s="1106"/>
      <c r="M55" s="1144"/>
      <c r="N55" s="1144"/>
      <c r="O55" s="1144"/>
    </row>
    <row r="56" spans="1:15" s="692" customFormat="1">
      <c r="A56" s="688" t="s">
        <v>2767</v>
      </c>
      <c r="B56" s="689" t="e">
        <f>C48</f>
        <v>#DIV/0!</v>
      </c>
      <c r="C56" s="690">
        <v>1</v>
      </c>
      <c r="D56" s="1163">
        <v>1</v>
      </c>
      <c r="E56" s="690">
        <f>'数据-汇总表'!E8+'数据-汇总表'!E9</f>
        <v>708.8</v>
      </c>
      <c r="F56" s="1103" t="e">
        <f t="shared" ref="F56:F65" si="15">ROUND(B56*E56/10000,0)</f>
        <v>#DIV/0!</v>
      </c>
      <c r="G56" s="3248"/>
      <c r="H56" s="3266"/>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9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9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9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9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1"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1025</v>
      </c>
      <c r="E66" s="696">
        <f>IF(B46="楼面地价",SUM(E56:E65),'数据-汇总表'!D3)</f>
        <v>708.8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2783</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249" t="s">
        <v>2646</v>
      </c>
      <c r="D4" s="3250"/>
      <c r="E4" s="3251" t="s">
        <v>2647</v>
      </c>
      <c r="F4" s="3252"/>
      <c r="G4" s="3249" t="s">
        <v>2648</v>
      </c>
      <c r="H4" s="3250"/>
      <c r="I4" s="3249" t="s">
        <v>2649</v>
      </c>
      <c r="J4" s="3250"/>
      <c r="K4" s="610" t="s">
        <v>2650</v>
      </c>
      <c r="L4" s="1130"/>
      <c r="M4" s="1131"/>
      <c r="N4" s="1131"/>
      <c r="O4" s="1131"/>
      <c r="P4" s="3253" t="s">
        <v>2651</v>
      </c>
      <c r="Q4" s="3254"/>
      <c r="R4" s="3236" t="s">
        <v>2647</v>
      </c>
      <c r="S4" s="3237"/>
      <c r="T4" s="3236" t="s">
        <v>2648</v>
      </c>
      <c r="U4" s="3237"/>
      <c r="V4" s="3261" t="s">
        <v>2649</v>
      </c>
      <c r="W4" s="3261"/>
      <c r="X4" s="1813"/>
      <c r="Y4" s="3236" t="s">
        <v>2651</v>
      </c>
      <c r="Z4" s="3237"/>
      <c r="AA4" s="3231" t="s">
        <v>2647</v>
      </c>
      <c r="AB4" s="3232" t="s">
        <v>2648</v>
      </c>
      <c r="AC4" s="3231" t="s">
        <v>2649</v>
      </c>
    </row>
    <row r="5" spans="1:29" ht="15">
      <c r="A5" s="404"/>
      <c r="B5" s="405"/>
      <c r="C5" s="3242" t="s">
        <v>2542</v>
      </c>
      <c r="D5" s="3243"/>
      <c r="E5" s="3240" t="s">
        <v>2543</v>
      </c>
      <c r="F5" s="3241"/>
      <c r="G5" s="3242" t="s">
        <v>2544</v>
      </c>
      <c r="H5" s="3243"/>
      <c r="I5" s="3242" t="s">
        <v>2545</v>
      </c>
      <c r="J5" s="3243"/>
      <c r="K5" s="610"/>
      <c r="L5" s="1130"/>
      <c r="M5" s="1131"/>
      <c r="N5" s="1131"/>
      <c r="O5" s="1131"/>
      <c r="P5" s="3255"/>
      <c r="Q5" s="3256"/>
      <c r="R5" s="3238"/>
      <c r="S5" s="3239"/>
      <c r="T5" s="3238"/>
      <c r="U5" s="3239"/>
      <c r="V5" s="3261"/>
      <c r="W5" s="3261"/>
      <c r="X5" s="1813"/>
      <c r="Y5" s="3238"/>
      <c r="Z5" s="3239"/>
      <c r="AA5" s="3232"/>
      <c r="AB5" s="3232"/>
      <c r="AC5" s="3232"/>
    </row>
    <row r="6" spans="1:29" ht="15.75" thickBot="1">
      <c r="A6" s="406"/>
      <c r="B6" s="407"/>
      <c r="C6" s="3298" t="s">
        <v>2797</v>
      </c>
      <c r="D6" s="3299"/>
      <c r="E6" s="3300" t="s">
        <v>2797</v>
      </c>
      <c r="F6" s="3301"/>
      <c r="G6" s="3298" t="s">
        <v>2797</v>
      </c>
      <c r="H6" s="3299"/>
      <c r="I6" s="3298" t="s">
        <v>2797</v>
      </c>
      <c r="J6" s="3299"/>
      <c r="K6" s="610" t="s">
        <v>2547</v>
      </c>
      <c r="L6" s="1130"/>
      <c r="M6" s="1131"/>
      <c r="N6" s="1131"/>
      <c r="O6" s="1131"/>
      <c r="P6" s="3257"/>
      <c r="Q6" s="3258"/>
      <c r="R6" s="3238"/>
      <c r="S6" s="3239"/>
      <c r="T6" s="3259"/>
      <c r="U6" s="3260"/>
      <c r="V6" s="3261"/>
      <c r="W6" s="3261"/>
      <c r="X6" s="1813"/>
      <c r="Y6" s="3259"/>
      <c r="Z6" s="3260"/>
      <c r="AA6" s="3233"/>
      <c r="AB6" s="3233"/>
      <c r="AC6" s="3233"/>
    </row>
    <row r="7" spans="1:29" s="117" customFormat="1" ht="15.75" thickBot="1">
      <c r="A7" s="408" t="s">
        <v>2548</v>
      </c>
      <c r="B7" s="409"/>
      <c r="C7" s="410">
        <f>'数据-取费表'!B2</f>
        <v>43914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4" t="s">
        <v>2549</v>
      </c>
      <c r="Q7" s="3262"/>
      <c r="R7" s="770" t="s">
        <v>17</v>
      </c>
      <c r="S7" s="771">
        <f t="shared" ref="S7:S15" si="0">F7</f>
        <v>0</v>
      </c>
      <c r="T7" s="770" t="s">
        <v>17</v>
      </c>
      <c r="U7" s="771">
        <f t="shared" ref="U7:U15" si="1">H7</f>
        <v>0</v>
      </c>
      <c r="V7" s="770" t="s">
        <v>17</v>
      </c>
      <c r="W7" s="771">
        <f t="shared" ref="W7:W15" si="2">J7</f>
        <v>0</v>
      </c>
      <c r="X7" s="772"/>
      <c r="Y7" s="3234" t="s">
        <v>2549</v>
      </c>
      <c r="Z7" s="3235"/>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4" t="s">
        <v>2552</v>
      </c>
      <c r="Q8" s="3235"/>
      <c r="R8" s="770" t="s">
        <v>17</v>
      </c>
      <c r="S8" s="771">
        <f t="shared" si="0"/>
        <v>0</v>
      </c>
      <c r="T8" s="770" t="s">
        <v>17</v>
      </c>
      <c r="U8" s="771">
        <f t="shared" si="1"/>
        <v>0</v>
      </c>
      <c r="V8" s="770" t="s">
        <v>17</v>
      </c>
      <c r="W8" s="771">
        <f t="shared" si="2"/>
        <v>0</v>
      </c>
      <c r="X8" s="772"/>
      <c r="Y8" s="3234" t="s">
        <v>2552</v>
      </c>
      <c r="Z8" s="3235"/>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66" t="s">
        <v>2555</v>
      </c>
      <c r="Q9" s="1795" t="str">
        <f t="shared" ref="Q9:Q15" si="6">B9</f>
        <v>用途</v>
      </c>
      <c r="R9" s="770" t="s">
        <v>17</v>
      </c>
      <c r="S9" s="771">
        <f t="shared" si="0"/>
        <v>100</v>
      </c>
      <c r="T9" s="770" t="s">
        <v>17</v>
      </c>
      <c r="U9" s="771">
        <f t="shared" si="1"/>
        <v>100</v>
      </c>
      <c r="V9" s="770" t="s">
        <v>17</v>
      </c>
      <c r="W9" s="771">
        <f t="shared" si="2"/>
        <v>100</v>
      </c>
      <c r="X9" s="772"/>
      <c r="Y9" s="3081"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66"/>
      <c r="Q10" s="1795" t="str">
        <f t="shared" si="6"/>
        <v>土地使用年限（年）</v>
      </c>
      <c r="R10" s="770" t="s">
        <v>17</v>
      </c>
      <c r="S10" s="771">
        <f t="shared" si="0"/>
        <v>109</v>
      </c>
      <c r="T10" s="770" t="s">
        <v>17</v>
      </c>
      <c r="U10" s="771">
        <f t="shared" si="1"/>
        <v>109</v>
      </c>
      <c r="V10" s="770" t="s">
        <v>17</v>
      </c>
      <c r="W10" s="771">
        <f t="shared" si="2"/>
        <v>109</v>
      </c>
      <c r="X10" s="772"/>
      <c r="Y10" s="3081"/>
      <c r="Z10" s="55" t="str">
        <f t="shared" si="7"/>
        <v>土地使用年限（年）</v>
      </c>
      <c r="AA10" s="773">
        <f t="shared" si="3"/>
        <v>0.91743119266055051</v>
      </c>
      <c r="AB10" s="773">
        <f t="shared" si="4"/>
        <v>0.91743119266055051</v>
      </c>
      <c r="AC10" s="773">
        <f t="shared" si="5"/>
        <v>0.91743119266055051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6"/>
      <c r="Q11" s="1795" t="str">
        <f t="shared" si="6"/>
        <v>容积率</v>
      </c>
      <c r="R11" s="770" t="s">
        <v>17</v>
      </c>
      <c r="S11" s="771" t="e">
        <f t="shared" si="0"/>
        <v>#N/A</v>
      </c>
      <c r="T11" s="770" t="s">
        <v>17</v>
      </c>
      <c r="U11" s="771" t="e">
        <f t="shared" si="1"/>
        <v>#N/A</v>
      </c>
      <c r="V11" s="770" t="s">
        <v>17</v>
      </c>
      <c r="W11" s="771" t="e">
        <f t="shared" si="2"/>
        <v>#N/A</v>
      </c>
      <c r="X11" s="772"/>
      <c r="Y11" s="308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6"/>
      <c r="Q12" s="1795">
        <f t="shared" si="6"/>
        <v>111</v>
      </c>
      <c r="R12" s="770" t="s">
        <v>17</v>
      </c>
      <c r="S12" s="771">
        <f t="shared" si="0"/>
        <v>100</v>
      </c>
      <c r="T12" s="770" t="s">
        <v>17</v>
      </c>
      <c r="U12" s="771">
        <f t="shared" si="1"/>
        <v>100</v>
      </c>
      <c r="V12" s="770" t="s">
        <v>17</v>
      </c>
      <c r="W12" s="771">
        <f t="shared" si="2"/>
        <v>100</v>
      </c>
      <c r="X12" s="772"/>
      <c r="Y12" s="308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6"/>
      <c r="Q13" s="1795">
        <f t="shared" si="6"/>
        <v>111</v>
      </c>
      <c r="R13" s="770" t="s">
        <v>17</v>
      </c>
      <c r="S13" s="771">
        <f t="shared" si="0"/>
        <v>100</v>
      </c>
      <c r="T13" s="770" t="s">
        <v>17</v>
      </c>
      <c r="U13" s="771">
        <f t="shared" si="1"/>
        <v>100</v>
      </c>
      <c r="V13" s="770" t="s">
        <v>17</v>
      </c>
      <c r="W13" s="771">
        <f t="shared" si="2"/>
        <v>100</v>
      </c>
      <c r="X13" s="772"/>
      <c r="Y13" s="308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6"/>
      <c r="Q14" s="1795">
        <f t="shared" si="6"/>
        <v>111</v>
      </c>
      <c r="R14" s="770" t="s">
        <v>17</v>
      </c>
      <c r="S14" s="771">
        <f t="shared" si="0"/>
        <v>100</v>
      </c>
      <c r="T14" s="770" t="s">
        <v>17</v>
      </c>
      <c r="U14" s="771">
        <f t="shared" si="1"/>
        <v>100</v>
      </c>
      <c r="V14" s="770" t="s">
        <v>17</v>
      </c>
      <c r="W14" s="771">
        <f t="shared" si="2"/>
        <v>100</v>
      </c>
      <c r="X14" s="772"/>
      <c r="Y14" s="3081"/>
      <c r="Z14" s="55">
        <f t="shared" si="7"/>
        <v>111</v>
      </c>
      <c r="AA14" s="773">
        <f t="shared" si="3"/>
        <v>1</v>
      </c>
      <c r="AB14" s="773">
        <f t="shared" si="4"/>
        <v>1</v>
      </c>
      <c r="AC14" s="773">
        <f t="shared" si="5"/>
        <v>1</v>
      </c>
    </row>
    <row r="15" spans="1:29" ht="57">
      <c r="A15" s="440" t="s">
        <v>2559</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68" t="s">
        <v>2560</v>
      </c>
      <c r="Q15" s="1810" t="str">
        <f t="shared" si="6"/>
        <v>产业集聚程度</v>
      </c>
      <c r="R15" s="774" t="s">
        <v>17</v>
      </c>
      <c r="S15" s="775">
        <f t="shared" si="0"/>
        <v>100</v>
      </c>
      <c r="T15" s="774" t="s">
        <v>17</v>
      </c>
      <c r="U15" s="775">
        <f t="shared" si="1"/>
        <v>100</v>
      </c>
      <c r="V15" s="774" t="s">
        <v>17</v>
      </c>
      <c r="W15" s="775">
        <f t="shared" si="2"/>
        <v>100</v>
      </c>
      <c r="X15" s="1813"/>
      <c r="Y15" s="3268" t="s">
        <v>2560</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69"/>
      <c r="Q16" s="1810"/>
      <c r="R16" s="774"/>
      <c r="S16" s="775"/>
      <c r="T16" s="774"/>
      <c r="U16" s="775"/>
      <c r="V16" s="774"/>
      <c r="W16" s="775"/>
      <c r="X16" s="1813"/>
      <c r="Y16" s="3269"/>
      <c r="Z16" s="1814"/>
      <c r="AA16" s="1811">
        <v>1</v>
      </c>
      <c r="AB16" s="1811">
        <v>1</v>
      </c>
      <c r="AC16" s="1811">
        <v>1</v>
      </c>
    </row>
    <row r="17" spans="1:29" ht="85.5">
      <c r="A17" s="428"/>
      <c r="B17" s="631" t="s">
        <v>2709</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69"/>
      <c r="Q17" s="1810" t="str">
        <f>B17</f>
        <v>交通便捷度</v>
      </c>
      <c r="R17" s="774" t="s">
        <v>17</v>
      </c>
      <c r="S17" s="775">
        <f>F17</f>
        <v>100</v>
      </c>
      <c r="T17" s="774" t="s">
        <v>17</v>
      </c>
      <c r="U17" s="775">
        <f>H17</f>
        <v>100</v>
      </c>
      <c r="V17" s="774" t="s">
        <v>17</v>
      </c>
      <c r="W17" s="775">
        <f>J17</f>
        <v>100</v>
      </c>
      <c r="X17" s="1813"/>
      <c r="Y17" s="326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69"/>
      <c r="Q18" s="1810"/>
      <c r="R18" s="774"/>
      <c r="S18" s="775"/>
      <c r="T18" s="774"/>
      <c r="U18" s="775"/>
      <c r="V18" s="774"/>
      <c r="W18" s="775"/>
      <c r="X18" s="1813"/>
      <c r="Y18" s="3269"/>
      <c r="Z18" s="1814"/>
      <c r="AA18" s="1811">
        <v>1</v>
      </c>
      <c r="AB18" s="1811">
        <v>1</v>
      </c>
      <c r="AC18" s="1811">
        <v>1</v>
      </c>
    </row>
    <row r="19" spans="1:29" ht="15">
      <c r="A19" s="428"/>
      <c r="B19" s="631" t="s">
        <v>2748</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69"/>
      <c r="Q19" s="1810" t="str">
        <f t="shared" ref="Q19:Q33" si="8">B19</f>
        <v>区域土地利用方向</v>
      </c>
      <c r="R19" s="774" t="s">
        <v>17</v>
      </c>
      <c r="S19" s="775">
        <f>F19</f>
        <v>100</v>
      </c>
      <c r="T19" s="774" t="s">
        <v>17</v>
      </c>
      <c r="U19" s="775">
        <f>H19</f>
        <v>100</v>
      </c>
      <c r="V19" s="774" t="s">
        <v>17</v>
      </c>
      <c r="W19" s="775">
        <f>J19</f>
        <v>100</v>
      </c>
      <c r="X19" s="1813"/>
      <c r="Y19" s="326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69"/>
      <c r="Q20" s="1810"/>
      <c r="R20" s="774"/>
      <c r="S20" s="775"/>
      <c r="T20" s="774"/>
      <c r="U20" s="775"/>
      <c r="V20" s="774"/>
      <c r="W20" s="775"/>
      <c r="X20" s="1813"/>
      <c r="Y20" s="3269"/>
      <c r="Z20" s="1814"/>
      <c r="AA20" s="1811"/>
      <c r="AB20" s="1811"/>
      <c r="AC20" s="1811"/>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69"/>
      <c r="Q21" s="1810" t="str">
        <f t="shared" si="8"/>
        <v>环境状况</v>
      </c>
      <c r="R21" s="774" t="s">
        <v>17</v>
      </c>
      <c r="S21" s="775">
        <f>F21</f>
        <v>100</v>
      </c>
      <c r="T21" s="774" t="s">
        <v>17</v>
      </c>
      <c r="U21" s="775">
        <f>H21</f>
        <v>100</v>
      </c>
      <c r="V21" s="774" t="s">
        <v>17</v>
      </c>
      <c r="W21" s="775">
        <f>J21</f>
        <v>100</v>
      </c>
      <c r="X21" s="1813"/>
      <c r="Y21" s="326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69"/>
      <c r="Q22" s="1810"/>
      <c r="R22" s="774"/>
      <c r="S22" s="775"/>
      <c r="T22" s="774"/>
      <c r="U22" s="775"/>
      <c r="V22" s="774"/>
      <c r="W22" s="775"/>
      <c r="X22" s="1813"/>
      <c r="Y22" s="3269"/>
      <c r="Z22" s="1814"/>
      <c r="AA22" s="1811">
        <v>1</v>
      </c>
      <c r="AB22" s="1811">
        <v>1</v>
      </c>
      <c r="AC22" s="1811">
        <v>1</v>
      </c>
    </row>
    <row r="23" spans="1:29" s="117" customFormat="1" ht="42.75">
      <c r="A23" s="649"/>
      <c r="B23" s="633" t="s">
        <v>2654</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69"/>
      <c r="Q23" s="1795" t="str">
        <f t="shared" si="8"/>
        <v>公共配套设施</v>
      </c>
      <c r="R23" s="770" t="s">
        <v>17</v>
      </c>
      <c r="S23" s="771">
        <f>F23</f>
        <v>100</v>
      </c>
      <c r="T23" s="770" t="s">
        <v>17</v>
      </c>
      <c r="U23" s="771">
        <f>H23</f>
        <v>100</v>
      </c>
      <c r="V23" s="770" t="s">
        <v>17</v>
      </c>
      <c r="W23" s="771">
        <f>J23</f>
        <v>100</v>
      </c>
      <c r="X23" s="772"/>
      <c r="Y23" s="326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69"/>
      <c r="Q24" s="1795"/>
      <c r="R24" s="770"/>
      <c r="S24" s="771"/>
      <c r="T24" s="770"/>
      <c r="U24" s="771"/>
      <c r="V24" s="770"/>
      <c r="W24" s="771"/>
      <c r="X24" s="772"/>
      <c r="Y24" s="3269"/>
      <c r="Z24" s="55"/>
      <c r="AA24" s="773">
        <v>1</v>
      </c>
      <c r="AB24" s="773">
        <v>1</v>
      </c>
      <c r="AC24" s="773">
        <v>1</v>
      </c>
    </row>
    <row r="25" spans="1:29" s="117" customFormat="1" ht="28.5">
      <c r="A25" s="649"/>
      <c r="B25" s="633" t="s">
        <v>2655</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69"/>
      <c r="Q25" s="1795" t="str">
        <f t="shared" ref="Q25" si="9">B25</f>
        <v>基础设施水平</v>
      </c>
      <c r="R25" s="770" t="s">
        <v>17</v>
      </c>
      <c r="S25" s="771">
        <f>F25</f>
        <v>100</v>
      </c>
      <c r="T25" s="770" t="s">
        <v>17</v>
      </c>
      <c r="U25" s="771">
        <f>H25</f>
        <v>100</v>
      </c>
      <c r="V25" s="770" t="s">
        <v>17</v>
      </c>
      <c r="W25" s="771">
        <f>J25</f>
        <v>100</v>
      </c>
      <c r="X25" s="772"/>
      <c r="Y25" s="326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69"/>
      <c r="Q26" s="1795"/>
      <c r="R26" s="770"/>
      <c r="S26" s="771"/>
      <c r="T26" s="770"/>
      <c r="U26" s="771"/>
      <c r="V26" s="770"/>
      <c r="W26" s="771"/>
      <c r="X26" s="772"/>
      <c r="Y26" s="3269"/>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6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69"/>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69"/>
      <c r="Q28" s="1810" t="str">
        <f t="shared" si="8"/>
        <v>毗邻道路的类型与等级</v>
      </c>
      <c r="R28" s="774" t="s">
        <v>17</v>
      </c>
      <c r="S28" s="775">
        <f t="shared" si="10"/>
        <v>100</v>
      </c>
      <c r="T28" s="774" t="s">
        <v>17</v>
      </c>
      <c r="U28" s="775">
        <f t="shared" si="11"/>
        <v>100</v>
      </c>
      <c r="V28" s="774" t="s">
        <v>17</v>
      </c>
      <c r="W28" s="775">
        <f t="shared" si="12"/>
        <v>100</v>
      </c>
      <c r="X28" s="1813"/>
      <c r="Y28" s="326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69"/>
      <c r="Q29" s="1810"/>
      <c r="R29" s="774"/>
      <c r="S29" s="775"/>
      <c r="T29" s="774"/>
      <c r="U29" s="775"/>
      <c r="V29" s="774"/>
      <c r="W29" s="775"/>
      <c r="X29" s="1813"/>
      <c r="Y29" s="3269"/>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69"/>
      <c r="Q30" s="1810" t="str">
        <f t="shared" si="8"/>
        <v>土地级别</v>
      </c>
      <c r="R30" s="774" t="s">
        <v>17</v>
      </c>
      <c r="S30" s="775">
        <f t="shared" si="10"/>
        <v>100</v>
      </c>
      <c r="T30" s="774" t="s">
        <v>17</v>
      </c>
      <c r="U30" s="775">
        <f t="shared" si="11"/>
        <v>100</v>
      </c>
      <c r="V30" s="774" t="s">
        <v>17</v>
      </c>
      <c r="W30" s="775">
        <f t="shared" si="12"/>
        <v>100</v>
      </c>
      <c r="X30" s="1813"/>
      <c r="Y30" s="326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69"/>
      <c r="Q31" s="1810">
        <f t="shared" si="8"/>
        <v>111</v>
      </c>
      <c r="R31" s="774" t="s">
        <v>17</v>
      </c>
      <c r="S31" s="775">
        <f t="shared" si="10"/>
        <v>100</v>
      </c>
      <c r="T31" s="774" t="s">
        <v>17</v>
      </c>
      <c r="U31" s="775">
        <f t="shared" si="11"/>
        <v>100</v>
      </c>
      <c r="V31" s="774" t="s">
        <v>17</v>
      </c>
      <c r="W31" s="775">
        <f t="shared" si="12"/>
        <v>100</v>
      </c>
      <c r="X31" s="1813"/>
      <c r="Y31" s="326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3" t="s">
        <v>2565</v>
      </c>
      <c r="Q32" s="1810">
        <f t="shared" si="8"/>
        <v>111</v>
      </c>
      <c r="R32" s="774" t="s">
        <v>17</v>
      </c>
      <c r="S32" s="775">
        <f t="shared" si="10"/>
        <v>100</v>
      </c>
      <c r="T32" s="774" t="s">
        <v>17</v>
      </c>
      <c r="U32" s="775">
        <f t="shared" si="11"/>
        <v>100</v>
      </c>
      <c r="V32" s="774" t="s">
        <v>17</v>
      </c>
      <c r="W32" s="775">
        <f t="shared" si="12"/>
        <v>100</v>
      </c>
      <c r="X32" s="1813"/>
      <c r="Y32" s="3273"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3"/>
      <c r="Q33" s="1810">
        <f t="shared" si="8"/>
        <v>111</v>
      </c>
      <c r="R33" s="777" t="s">
        <v>17</v>
      </c>
      <c r="S33" s="778">
        <f t="shared" si="10"/>
        <v>100</v>
      </c>
      <c r="T33" s="777" t="s">
        <v>17</v>
      </c>
      <c r="U33" s="778">
        <f t="shared" si="11"/>
        <v>100</v>
      </c>
      <c r="V33" s="777" t="s">
        <v>17</v>
      </c>
      <c r="W33" s="778">
        <f t="shared" si="12"/>
        <v>100</v>
      </c>
      <c r="X33" s="779"/>
      <c r="Y33" s="3273"/>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3"/>
      <c r="Q34" s="1810" t="str">
        <f>B34</f>
        <v>宗地面积</v>
      </c>
      <c r="R34" s="774" t="s">
        <v>17</v>
      </c>
      <c r="S34" s="775" t="e">
        <f t="shared" si="10"/>
        <v>#N/A</v>
      </c>
      <c r="T34" s="774" t="s">
        <v>17</v>
      </c>
      <c r="U34" s="775" t="e">
        <f t="shared" si="11"/>
        <v>#N/A</v>
      </c>
      <c r="V34" s="774" t="s">
        <v>17</v>
      </c>
      <c r="W34" s="775" t="e">
        <f t="shared" si="12"/>
        <v>#N/A</v>
      </c>
      <c r="X34" s="1813"/>
      <c r="Y34" s="3273"/>
      <c r="Z34" s="1814" t="str">
        <f t="shared" si="13"/>
        <v>宗地面积</v>
      </c>
      <c r="AA34" s="1811" t="e">
        <f t="shared" si="3"/>
        <v>#N/A</v>
      </c>
      <c r="AB34" s="1811" t="e">
        <f t="shared" si="4"/>
        <v>#N/A</v>
      </c>
      <c r="AC34" s="1811" t="e">
        <f t="shared" si="5"/>
        <v>#N/A</v>
      </c>
    </row>
    <row r="35" spans="1:29" ht="15">
      <c r="A35" s="472"/>
      <c r="B35" s="422" t="s">
        <v>2752</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73"/>
      <c r="Q35" s="1810" t="str">
        <f t="shared" ref="Q35:Q40" si="14">B35</f>
        <v>宗地形状</v>
      </c>
      <c r="R35" s="774" t="s">
        <v>17</v>
      </c>
      <c r="S35" s="775">
        <f t="shared" si="10"/>
        <v>100</v>
      </c>
      <c r="T35" s="774" t="s">
        <v>17</v>
      </c>
      <c r="U35" s="775">
        <f t="shared" si="11"/>
        <v>100</v>
      </c>
      <c r="V35" s="774" t="s">
        <v>17</v>
      </c>
      <c r="W35" s="775">
        <f t="shared" si="12"/>
        <v>100</v>
      </c>
      <c r="X35" s="1813"/>
      <c r="Y35" s="3273"/>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73"/>
      <c r="Q36" s="1810" t="str">
        <f t="shared" si="14"/>
        <v>宗地开发程度</v>
      </c>
      <c r="R36" s="770" t="s">
        <v>17</v>
      </c>
      <c r="S36" s="771">
        <f t="shared" si="10"/>
        <v>100</v>
      </c>
      <c r="T36" s="770" t="s">
        <v>17</v>
      </c>
      <c r="U36" s="771">
        <f t="shared" si="11"/>
        <v>100</v>
      </c>
      <c r="V36" s="770" t="s">
        <v>17</v>
      </c>
      <c r="W36" s="771">
        <f t="shared" si="12"/>
        <v>100</v>
      </c>
      <c r="X36" s="772"/>
      <c r="Y36" s="3273"/>
      <c r="Z36" s="55" t="str">
        <f t="shared" si="13"/>
        <v>宗地开发程度</v>
      </c>
      <c r="AA36" s="773">
        <f t="shared" si="3"/>
        <v>1</v>
      </c>
      <c r="AB36" s="773">
        <f t="shared" si="4"/>
        <v>1</v>
      </c>
      <c r="AC36" s="773">
        <f t="shared" si="5"/>
        <v>1</v>
      </c>
    </row>
    <row r="37" spans="1:29" ht="15">
      <c r="A37" s="472"/>
      <c r="B37" s="422" t="s">
        <v>2755</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73" t="s">
        <v>2565</v>
      </c>
      <c r="Q37" s="1810" t="str">
        <f t="shared" si="14"/>
        <v>工程地质条件</v>
      </c>
      <c r="R37" s="774" t="s">
        <v>17</v>
      </c>
      <c r="S37" s="775">
        <f t="shared" si="10"/>
        <v>100</v>
      </c>
      <c r="T37" s="774" t="s">
        <v>17</v>
      </c>
      <c r="U37" s="775">
        <f t="shared" si="11"/>
        <v>100</v>
      </c>
      <c r="V37" s="774" t="s">
        <v>17</v>
      </c>
      <c r="W37" s="775">
        <f t="shared" si="12"/>
        <v>100</v>
      </c>
      <c r="X37" s="1813"/>
      <c r="Y37" s="3273"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3"/>
      <c r="Q38" s="1810">
        <f t="shared" si="14"/>
        <v>111</v>
      </c>
      <c r="R38" s="774" t="s">
        <v>17</v>
      </c>
      <c r="S38" s="775">
        <f t="shared" si="10"/>
        <v>100</v>
      </c>
      <c r="T38" s="774" t="s">
        <v>17</v>
      </c>
      <c r="U38" s="775">
        <f t="shared" si="11"/>
        <v>100</v>
      </c>
      <c r="V38" s="774" t="s">
        <v>17</v>
      </c>
      <c r="W38" s="775">
        <f t="shared" si="12"/>
        <v>100</v>
      </c>
      <c r="X38" s="1813"/>
      <c r="Y38" s="327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3"/>
      <c r="Q39" s="1810">
        <f t="shared" si="14"/>
        <v>111</v>
      </c>
      <c r="R39" s="774" t="s">
        <v>17</v>
      </c>
      <c r="S39" s="775">
        <f t="shared" si="10"/>
        <v>100</v>
      </c>
      <c r="T39" s="774" t="s">
        <v>17</v>
      </c>
      <c r="U39" s="775">
        <f t="shared" si="11"/>
        <v>100</v>
      </c>
      <c r="V39" s="774" t="s">
        <v>17</v>
      </c>
      <c r="W39" s="775">
        <f t="shared" si="12"/>
        <v>100</v>
      </c>
      <c r="X39" s="1813"/>
      <c r="Y39" s="327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3"/>
      <c r="Q40" s="1810">
        <f t="shared" si="14"/>
        <v>111</v>
      </c>
      <c r="R40" s="777" t="s">
        <v>17</v>
      </c>
      <c r="S40" s="778">
        <f t="shared" si="10"/>
        <v>100</v>
      </c>
      <c r="T40" s="777" t="s">
        <v>17</v>
      </c>
      <c r="U40" s="778">
        <f t="shared" si="11"/>
        <v>100</v>
      </c>
      <c r="V40" s="777" t="s">
        <v>17</v>
      </c>
      <c r="W40" s="778">
        <f t="shared" si="12"/>
        <v>100</v>
      </c>
      <c r="X40" s="779"/>
      <c r="Y40" s="3273"/>
      <c r="Z40" s="780">
        <f t="shared" si="13"/>
        <v>111</v>
      </c>
      <c r="AA40" s="1811">
        <f t="shared" si="3"/>
        <v>1</v>
      </c>
      <c r="AB40" s="1811">
        <f t="shared" si="4"/>
        <v>1</v>
      </c>
      <c r="AC40" s="1811">
        <f t="shared" si="5"/>
        <v>1</v>
      </c>
    </row>
    <row r="41" spans="1:29" ht="15">
      <c r="A41" s="479" t="s">
        <v>2720</v>
      </c>
      <c r="B41" s="2706" t="s">
        <v>2800</v>
      </c>
      <c r="C41" s="682" t="s">
        <v>1</v>
      </c>
      <c r="D41" s="481"/>
      <c r="E41" s="482"/>
      <c r="F41" s="483"/>
      <c r="G41" s="484"/>
      <c r="H41" s="485"/>
      <c r="I41" s="482"/>
      <c r="J41" s="485"/>
      <c r="K41" s="783"/>
      <c r="L41" s="1143"/>
      <c r="M41" s="1131"/>
      <c r="N41" s="1131"/>
      <c r="O41" s="1144"/>
      <c r="P41" s="3266" t="str">
        <f>A41</f>
        <v>成交单价</v>
      </c>
      <c r="Q41" s="3266"/>
      <c r="R41" s="3261">
        <f>E41</f>
        <v>0</v>
      </c>
      <c r="S41" s="3261"/>
      <c r="T41" s="3261">
        <f>G41</f>
        <v>0</v>
      </c>
      <c r="U41" s="3261"/>
      <c r="V41" s="3261">
        <f>I41</f>
        <v>0</v>
      </c>
      <c r="W41" s="3261"/>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66" t="str">
        <f>A42</f>
        <v>比较价值（元/平方米）</v>
      </c>
      <c r="Q42" s="3266"/>
      <c r="R42" s="3294" t="e">
        <f>ROUND(PRODUCT(R41,AA7:AA40),0)</f>
        <v>#DIV/0!</v>
      </c>
      <c r="S42" s="3294"/>
      <c r="T42" s="3294" t="e">
        <f>ROUND(PRODUCT(T41,AB7:AB40),0)</f>
        <v>#DIV/0!</v>
      </c>
      <c r="U42" s="3294"/>
      <c r="V42" s="3294" t="e">
        <f>ROUND(PRODUCT(V41,AC7:AC40),0)</f>
        <v>#DIV/0!</v>
      </c>
      <c r="W42" s="3294"/>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63" t="str">
        <f>A43</f>
        <v>估价对象XX用房的比较价值（楼面单价，元/平方米）</v>
      </c>
      <c r="Q43" s="3264"/>
      <c r="R43" s="3295" t="e">
        <f>ROUND(AVERAGE(R42:V42),0)</f>
        <v>#DIV/0!</v>
      </c>
      <c r="S43" s="3295"/>
      <c r="T43" s="3295"/>
      <c r="U43" s="3295"/>
      <c r="V43" s="3295"/>
      <c r="W43" s="329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249" t="s">
        <v>2764</v>
      </c>
      <c r="H50" s="3296"/>
      <c r="I50" s="1814" t="s">
        <v>2801</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708.8</v>
      </c>
      <c r="F51" s="691" t="e">
        <f t="shared" ref="F51:F60" si="15">ROUND(B51*E51/10000,0)</f>
        <v>#DIV/0!</v>
      </c>
      <c r="G51" s="3248"/>
      <c r="H51" s="3266"/>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9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9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9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9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2802</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2804</v>
      </c>
      <c r="B1" s="241"/>
      <c r="C1" s="245" t="s">
        <v>2805</v>
      </c>
      <c r="D1" s="388">
        <f>SUM(D29:D30,D33:D39)</f>
        <v>0</v>
      </c>
      <c r="E1" s="2719"/>
      <c r="F1" s="2719"/>
      <c r="G1" s="2719"/>
      <c r="H1" s="2719"/>
      <c r="I1" s="2719"/>
      <c r="J1" s="2719"/>
      <c r="K1" s="1370"/>
      <c r="L1" s="2720" t="s">
        <v>2806</v>
      </c>
      <c r="M1" s="1080">
        <f>SUMPRODUCT((区片价!B5:B9=I2)*(区片价!C3:F3=E2)*(区片价!C5:F9))</f>
        <v>0</v>
      </c>
      <c r="N1" s="1083">
        <f>SUMPRODUCT((因素修正幅度!B5:B9=I2)*(因素修正幅度!C3:F3=E2)*(因素修正幅度!C5:F9))</f>
        <v>0</v>
      </c>
      <c r="O1" s="2721"/>
      <c r="P1" s="2721"/>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3" t="s">
        <v>2813</v>
      </c>
      <c r="D2" s="2724" t="s">
        <v>2814</v>
      </c>
      <c r="E2" s="2725"/>
      <c r="F2" s="2724" t="s">
        <v>2815</v>
      </c>
      <c r="G2" s="2726">
        <f>IF(E2="商业",项目基本情况!B37,IF(E2="办公",项目基本情况!C37,IF(E2="住宅",项目基本情况!D37,项目基本情况!E37)))</f>
        <v>0</v>
      </c>
      <c r="H2" s="2724" t="s">
        <v>2816</v>
      </c>
      <c r="I2" s="2726">
        <f>IF(E2="商业",项目基本情况!B38,IF(E2="办公",项目基本情况!C38,IF(E2="住宅",项目基本情况!D38,项目基本情况!E38)))</f>
        <v>0</v>
      </c>
      <c r="J2" s="2727"/>
      <c r="K2" s="1370"/>
      <c r="L2" s="2728"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3" t="s">
        <v>2819</v>
      </c>
      <c r="D3" s="2724" t="s">
        <v>2820</v>
      </c>
      <c r="E3" s="2729"/>
      <c r="F3" s="2730" t="s">
        <v>2821</v>
      </c>
      <c r="G3" s="916" t="e">
        <f>IF(F3="宗地容积率",'数据-汇总表'!I4,IF(F3="估价对象容积率",'数据-汇总表'!I6,'数据-汇总表'!I7))</f>
        <v>#DIV/0!</v>
      </c>
      <c r="H3" s="198" t="s">
        <v>2822</v>
      </c>
      <c r="I3" s="944"/>
      <c r="J3" s="2727" t="s">
        <v>2823</v>
      </c>
      <c r="K3" s="1370"/>
      <c r="L3" s="2728" t="s">
        <v>2824</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18"/>
      <c r="B4" s="3319"/>
      <c r="C4" s="3319"/>
      <c r="D4" s="3320"/>
      <c r="E4" s="3320"/>
      <c r="F4" s="3320"/>
      <c r="G4" s="3320"/>
      <c r="H4" s="3320"/>
      <c r="I4" s="3320"/>
      <c r="J4" s="3321"/>
      <c r="K4" s="1370"/>
      <c r="L4" s="2728" t="s">
        <v>2825</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2826</v>
      </c>
      <c r="C5" s="917" t="e">
        <f>ROUND(IF(E2="商业",C6*C7+C16,(IF(E2="住宅",C6*C12+C16,C6+C16))),0)</f>
        <v>#DIV/0!</v>
      </c>
      <c r="D5" s="1787" t="e">
        <f>ROUND(C6+C16,0)</f>
        <v>#DIV/0!</v>
      </c>
      <c r="E5" s="1787"/>
      <c r="F5" s="2733"/>
      <c r="G5" s="2734"/>
      <c r="H5" s="2734"/>
      <c r="I5" s="2734"/>
      <c r="J5" s="2735"/>
      <c r="K5" s="2736"/>
      <c r="L5" s="2728" t="s">
        <v>2827</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2828</v>
      </c>
      <c r="B6" s="2742" t="s">
        <v>2829</v>
      </c>
      <c r="C6" s="918">
        <f>SUMIF(L1:L12,G2,M1:M12)</f>
        <v>0</v>
      </c>
      <c r="D6" s="2743" t="s">
        <v>2830</v>
      </c>
      <c r="E6" s="2744"/>
      <c r="F6" s="2744"/>
      <c r="G6" s="2745"/>
      <c r="H6" s="2745"/>
      <c r="I6" s="2745"/>
      <c r="J6" s="2746"/>
      <c r="K6" s="1842"/>
      <c r="L6" s="2728" t="s">
        <v>2831</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302" t="str">
        <f>IF(E2="商业",IF(C8="不临58条商业街","",2),"")</f>
        <v/>
      </c>
      <c r="B7" s="2747" t="s">
        <v>2832</v>
      </c>
      <c r="C7" s="919" t="e">
        <f>IF(C8="不临58条商业街",1,ROUND(1+(1.6*E8+1.2*E9+0.8*E10+0.4*E11)*C9,4))</f>
        <v>#DIV/0!</v>
      </c>
      <c r="D7" s="2748" t="s">
        <v>2833</v>
      </c>
      <c r="E7" s="945"/>
      <c r="F7" s="2749"/>
      <c r="G7" s="2750"/>
      <c r="H7" s="2750"/>
      <c r="I7" s="2750"/>
      <c r="J7" s="2751"/>
      <c r="K7" s="1842"/>
      <c r="L7" s="2728" t="s">
        <v>2834</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2835</v>
      </c>
      <c r="X7" s="1604">
        <f>G2</f>
        <v>0</v>
      </c>
      <c r="Y7" s="1604" t="s">
        <v>2836</v>
      </c>
      <c r="Z7" s="1605" t="e">
        <f>G3</f>
        <v>#DIV/0!</v>
      </c>
      <c r="AA7" s="1606"/>
      <c r="AB7" s="1606"/>
      <c r="AC7" s="1607"/>
      <c r="AD7" s="1608"/>
      <c r="AE7" s="1608"/>
      <c r="AF7" s="1608"/>
      <c r="AG7" s="1608"/>
      <c r="AH7" s="1608"/>
      <c r="AI7" s="1608"/>
      <c r="AJ7" s="1609"/>
    </row>
    <row r="8" spans="1:36" ht="15">
      <c r="A8" s="3322"/>
      <c r="B8" s="198" t="s">
        <v>2837</v>
      </c>
      <c r="C8" s="2752"/>
      <c r="D8" s="920" t="s">
        <v>139</v>
      </c>
      <c r="E8" s="921" t="e">
        <f>ROUND(C11/E7,4)</f>
        <v>#DIV/0!</v>
      </c>
      <c r="F8" s="2753" t="s">
        <v>2838</v>
      </c>
      <c r="G8" s="2754"/>
      <c r="H8" s="2754"/>
      <c r="I8" s="2754"/>
      <c r="J8" s="2755"/>
      <c r="K8" s="1370"/>
      <c r="L8" s="2728"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15" t="s">
        <v>2840</v>
      </c>
      <c r="X8" s="331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322"/>
      <c r="B9" s="198" t="s">
        <v>2853</v>
      </c>
      <c r="C9" s="922">
        <f>SUMIF(修正!C59:C119,C8,修正!E59:E119)</f>
        <v>0</v>
      </c>
      <c r="D9" s="200" t="s">
        <v>140</v>
      </c>
      <c r="E9" s="200" t="e">
        <f>ROUND(C11/E7,4)</f>
        <v>#DIV/0!</v>
      </c>
      <c r="F9" s="2753" t="s">
        <v>2854</v>
      </c>
      <c r="G9" s="2754"/>
      <c r="H9" s="2754"/>
      <c r="I9" s="2754"/>
      <c r="J9" s="2755"/>
      <c r="K9" s="1370"/>
      <c r="L9" s="2728"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1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22"/>
      <c r="B10" s="198" t="s">
        <v>2858</v>
      </c>
      <c r="C10" s="200">
        <f>SUMIF(修正!C59:C119,C8,修正!F59:F119)</f>
        <v>0</v>
      </c>
      <c r="D10" s="200" t="s">
        <v>141</v>
      </c>
      <c r="E10" s="200" t="e">
        <f>ROUND(C11/E7,4)</f>
        <v>#DIV/0!</v>
      </c>
      <c r="F10" s="2753" t="s">
        <v>2859</v>
      </c>
      <c r="G10" s="2754"/>
      <c r="H10" s="2754"/>
      <c r="I10" s="2754"/>
      <c r="J10" s="2755"/>
      <c r="K10" s="1370"/>
      <c r="L10" s="2728"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1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22"/>
      <c r="B11" s="2756" t="s">
        <v>2861</v>
      </c>
      <c r="C11" s="923">
        <f>C10/4</f>
        <v>0</v>
      </c>
      <c r="D11" s="923" t="s">
        <v>142</v>
      </c>
      <c r="E11" s="923" t="e">
        <f>ROUND(C11/E7,4)</f>
        <v>#DIV/0!</v>
      </c>
      <c r="F11" s="2757" t="s">
        <v>2862</v>
      </c>
      <c r="G11" s="2758"/>
      <c r="H11" s="2758"/>
      <c r="I11" s="2758"/>
      <c r="J11" s="2759"/>
      <c r="K11" s="1370"/>
      <c r="L11" s="2728"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17" t="s">
        <v>2864</v>
      </c>
      <c r="X11" s="1614" t="s">
        <v>2865</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302" t="s">
        <v>2866</v>
      </c>
      <c r="B12" s="2760" t="s">
        <v>2867</v>
      </c>
      <c r="C12" s="919">
        <f>ROUND(C15*D15*E15*F15*G15*H15*I15*J15,4)</f>
        <v>1</v>
      </c>
      <c r="D12" s="2761" t="s">
        <v>2868</v>
      </c>
      <c r="E12" s="2762"/>
      <c r="F12" s="2762"/>
      <c r="G12" s="2763"/>
      <c r="H12" s="2763"/>
      <c r="I12" s="2763"/>
      <c r="J12" s="2764"/>
      <c r="K12" s="1370"/>
      <c r="L12" s="2765"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1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23"/>
      <c r="B13" s="2766" t="s">
        <v>2871</v>
      </c>
      <c r="C13" s="2767" t="s">
        <v>2872</v>
      </c>
      <c r="D13" s="1808" t="s">
        <v>2873</v>
      </c>
      <c r="E13" s="1808" t="s">
        <v>2874</v>
      </c>
      <c r="F13" s="30" t="s">
        <v>2875</v>
      </c>
      <c r="G13" s="2768" t="s">
        <v>2876</v>
      </c>
      <c r="H13" s="2768" t="s">
        <v>2876</v>
      </c>
      <c r="I13" s="2768" t="s">
        <v>2876</v>
      </c>
      <c r="J13" s="2769" t="s">
        <v>2876</v>
      </c>
      <c r="K13" s="1370"/>
      <c r="L13" s="1370"/>
      <c r="M13" s="1370"/>
      <c r="N13" s="1370"/>
      <c r="O13" s="1370"/>
      <c r="P13" s="1370"/>
      <c r="Q13" s="1370"/>
      <c r="R13" s="1602">
        <v>12</v>
      </c>
      <c r="S13" s="1603"/>
      <c r="T13" s="1602" t="e">
        <f t="shared" si="0"/>
        <v>#DIV/0!</v>
      </c>
      <c r="U13" s="1603"/>
      <c r="V13" s="1602" t="e">
        <f t="shared" si="1"/>
        <v>#DIV/0!</v>
      </c>
      <c r="W13" s="331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323"/>
      <c r="B14" s="2770"/>
      <c r="C14" s="2771"/>
      <c r="D14" s="2772"/>
      <c r="E14" s="2772"/>
      <c r="F14" s="2773"/>
      <c r="G14" s="2774" t="s">
        <v>2877</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24"/>
      <c r="B15" s="2778"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02" t="s">
        <v>2883</v>
      </c>
      <c r="B16" s="2747" t="s">
        <v>2884</v>
      </c>
      <c r="C16" s="2934" t="e">
        <f>ROUND(IF(F17="与级别开发程度一致",0,(G17-E17)/C17),0)</f>
        <v>#DIV/0!</v>
      </c>
      <c r="D16" s="3313" t="s">
        <v>2888</v>
      </c>
      <c r="E16" s="3314"/>
      <c r="F16" s="3313" t="s">
        <v>2885</v>
      </c>
      <c r="G16" s="3314"/>
      <c r="H16" s="2781"/>
      <c r="I16" s="2781"/>
      <c r="J16" s="2938"/>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3"/>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2890</v>
      </c>
      <c r="C18" s="2941">
        <f>SUMIF(修正!C18:C39,E3,修正!E18:E39)</f>
        <v>0</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2891</v>
      </c>
      <c r="C19" s="924" t="e">
        <f>ROUND(IF(H19="按公示增长率计算",SUMPRODUCT((地价!A3:A29=YEAR(G19)&amp;"-"&amp;ROUNDUP(MONTH(G19)/3,0))*(地价!X2:AB2=E2)*(地价!X3:AB29)),IF(H19="地价指数",M20/M19,(1+I19)^O19)),4)</f>
        <v>#VALUE!</v>
      </c>
      <c r="D19" s="2791" t="s">
        <v>2892</v>
      </c>
      <c r="E19" s="925">
        <v>41640</v>
      </c>
      <c r="F19" s="2791" t="s">
        <v>2893</v>
      </c>
      <c r="G19" s="926">
        <f>'数据-取费表'!B2</f>
        <v>43914</v>
      </c>
      <c r="H19" s="2792"/>
      <c r="I19" s="927" t="str">
        <f>IF(H19="季度增幅（自定义）",SUMIF(N21:N24,E2,O21:O24),"")</f>
        <v/>
      </c>
      <c r="J19" s="2789"/>
      <c r="K19" s="1377"/>
      <c r="L19" s="2793" t="s">
        <v>2894</v>
      </c>
      <c r="M19" s="1734">
        <f>ROUND(SUMIF(地价!B2:F2,E2,地价!B29:F29),0)</f>
        <v>0</v>
      </c>
      <c r="N19" s="2794" t="s">
        <v>2895</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2889</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ROUND(SUMPRODUCT((地价!A4:A29=YEAR(G19)&amp;"-"&amp;ROUNDUP(MONTH(G19)/3,0))*(地价!B2:F2=E2)*(地价!B4:F29)),0)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t="e">
        <f>IF(B21="容积率修正",IF(G3&lt;=10,D22,J22),C23)</f>
        <v>#DIV/0!</v>
      </c>
      <c r="D21" s="2807"/>
      <c r="E21" s="2807"/>
      <c r="F21" s="2807"/>
      <c r="G21" s="2807"/>
      <c r="H21" s="2807"/>
      <c r="I21" s="2807"/>
      <c r="J21" s="2808"/>
      <c r="K21" s="1377"/>
      <c r="N21" s="2809" t="s">
        <v>2904</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9" t="s">
        <v>2908</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t="e">
        <f>ROUND(IF(G3&gt;1,IF(I3&lt;7,SUMPRODUCT((B93:B98=I3)*(C92:N92=G2)*(C93:N98)),SUMIF(C92:N92,G2,C100:N100)),IF(I3&lt;7,SUMPRODUCT((B102:B107=I3)*(C92:N92=G2)*(C102:N107)),SUMIF(C92:N92,G2,C109:N109))),4)</f>
        <v>#DIV/0!</v>
      </c>
      <c r="D23" s="2775"/>
      <c r="E23" s="2775"/>
      <c r="F23" s="2812"/>
      <c r="G23" s="2813"/>
      <c r="H23" s="2814"/>
      <c r="I23" s="2815"/>
      <c r="J23" s="2816"/>
      <c r="K23" s="1370"/>
      <c r="N23" s="2809" t="s">
        <v>2911</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2814</v>
      </c>
      <c r="M26" s="920" t="s">
        <v>2879</v>
      </c>
      <c r="N26" s="920" t="s">
        <v>2880</v>
      </c>
      <c r="O26" s="920" t="s">
        <v>2881</v>
      </c>
      <c r="P26" s="2780" t="s">
        <v>2882</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310"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11"/>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11"/>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312"/>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2882</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3046</v>
      </c>
      <c r="C41" s="388" t="e">
        <f>ROUND(POWER(1+E41,H41-G41)*(POWER(1+E41,G41)-1)/(POWER(1+E41,H41)-1),4)</f>
        <v>#DIV/0!</v>
      </c>
      <c r="D41" s="200" t="s">
        <v>2889</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304" t="s">
        <v>2972</v>
      </c>
      <c r="B90" s="3304"/>
      <c r="C90" s="3304"/>
      <c r="D90" s="3304"/>
      <c r="E90" s="3304"/>
      <c r="F90" s="3304"/>
      <c r="G90" s="3304"/>
      <c r="H90" s="3304"/>
      <c r="I90" s="3304"/>
      <c r="J90" s="3304"/>
      <c r="K90" s="2886"/>
      <c r="L90" s="2886"/>
      <c r="M90" s="2886"/>
      <c r="N90" s="2886"/>
    </row>
    <row r="91" spans="1:37">
      <c r="A91" s="3306" t="s">
        <v>2973</v>
      </c>
      <c r="B91" s="3306" t="s">
        <v>2974</v>
      </c>
      <c r="C91" s="2840" t="s">
        <v>2975</v>
      </c>
      <c r="D91" s="2841"/>
      <c r="E91" s="2841"/>
      <c r="F91" s="2841"/>
      <c r="G91" s="2841"/>
      <c r="H91" s="2841"/>
      <c r="I91" s="2841"/>
      <c r="J91" s="2887"/>
      <c r="K91" s="2888"/>
      <c r="L91" s="2888"/>
      <c r="M91" s="2888"/>
      <c r="N91" s="2888"/>
    </row>
    <row r="92" spans="1:37">
      <c r="A92" s="3306"/>
      <c r="B92" s="330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307"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0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0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0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0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0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08"/>
      <c r="B99" s="2889" t="s">
        <v>2857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09"/>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07"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08"/>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08"/>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08"/>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08"/>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08"/>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08"/>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08"/>
      <c r="B108" s="3158"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09"/>
      <c r="B109" s="3159"/>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05" t="s">
        <v>2980</v>
      </c>
      <c r="B110" s="3305"/>
      <c r="C110" s="3305"/>
      <c r="D110" s="3305"/>
      <c r="E110" s="3305"/>
      <c r="F110" s="3305"/>
      <c r="G110" s="3305"/>
      <c r="H110" s="3305"/>
      <c r="I110" s="3305"/>
      <c r="J110" s="3305"/>
      <c r="K110" s="2895"/>
      <c r="L110" s="2895"/>
      <c r="M110" s="2895"/>
      <c r="N110" s="2895"/>
    </row>
    <row r="112" spans="1:14" ht="13.5" thickBot="1"/>
    <row r="113" spans="1:13" ht="25.5" thickBot="1">
      <c r="A113" s="903" t="s">
        <v>2981</v>
      </c>
      <c r="B113" s="1287" t="e">
        <f>G3</f>
        <v>#DIV/0!</v>
      </c>
      <c r="C113" s="904" t="s">
        <v>2982</v>
      </c>
      <c r="D113" s="905" t="e">
        <f>SUMPRODUCT((A115:A118=F113)*(B114:M114=H113)*B115:M118)</f>
        <v>#DIV/0!</v>
      </c>
      <c r="E113" s="2726" t="s">
        <v>2814</v>
      </c>
      <c r="F113" s="2897">
        <f>E2</f>
        <v>0</v>
      </c>
      <c r="G113" s="2726" t="s">
        <v>2815</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2879</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2880</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2881</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2882</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5" t="s">
        <v>183</v>
      </c>
      <c r="B18" s="882" t="s">
        <v>560</v>
      </c>
      <c r="C18" s="883" t="s">
        <v>561</v>
      </c>
      <c r="D18" s="884"/>
      <c r="E18" s="882">
        <v>1</v>
      </c>
      <c r="F18" s="885" t="s">
        <v>562</v>
      </c>
      <c r="G18" s="886"/>
      <c r="H18" s="878"/>
      <c r="I18" s="878"/>
    </row>
    <row r="19" spans="1:9" s="887" customFormat="1" ht="19.5" customHeight="1">
      <c r="A19" s="3325"/>
      <c r="B19" s="3325" t="s">
        <v>563</v>
      </c>
      <c r="C19" s="883" t="s">
        <v>564</v>
      </c>
      <c r="D19" s="884"/>
      <c r="E19" s="882">
        <v>0.9</v>
      </c>
      <c r="F19" s="885" t="s">
        <v>565</v>
      </c>
      <c r="G19" s="886"/>
      <c r="H19" s="878"/>
      <c r="I19" s="878"/>
    </row>
    <row r="20" spans="1:9" s="887" customFormat="1" ht="19.5" customHeight="1">
      <c r="A20" s="3325"/>
      <c r="B20" s="3325"/>
      <c r="C20" s="883" t="s">
        <v>566</v>
      </c>
      <c r="D20" s="884"/>
      <c r="E20" s="882">
        <v>1.1000000000000001</v>
      </c>
      <c r="F20" s="885" t="s">
        <v>567</v>
      </c>
      <c r="G20" s="886"/>
      <c r="H20" s="878"/>
      <c r="I20" s="878"/>
    </row>
    <row r="21" spans="1:9" s="887" customFormat="1" ht="19.5" customHeight="1">
      <c r="A21" s="3325"/>
      <c r="B21" s="3325"/>
      <c r="C21" s="883" t="s">
        <v>568</v>
      </c>
      <c r="D21" s="884"/>
      <c r="E21" s="882">
        <v>0.8</v>
      </c>
      <c r="F21" s="885" t="s">
        <v>569</v>
      </c>
      <c r="G21" s="886"/>
      <c r="H21" s="878"/>
      <c r="I21" s="878"/>
    </row>
    <row r="22" spans="1:9" s="887" customFormat="1" ht="19.5" customHeight="1">
      <c r="A22" s="3325"/>
      <c r="B22" s="3325"/>
      <c r="C22" s="883" t="s">
        <v>570</v>
      </c>
      <c r="D22" s="884"/>
      <c r="E22" s="882">
        <v>0.5</v>
      </c>
      <c r="F22" s="885"/>
      <c r="G22" s="886"/>
      <c r="H22" s="878"/>
      <c r="I22" s="878"/>
    </row>
    <row r="23" spans="1:9" s="887" customFormat="1" ht="19.5" customHeight="1">
      <c r="A23" s="3325" t="s">
        <v>184</v>
      </c>
      <c r="B23" s="882" t="s">
        <v>560</v>
      </c>
      <c r="C23" s="883" t="s">
        <v>571</v>
      </c>
      <c r="D23" s="884"/>
      <c r="E23" s="882">
        <v>1</v>
      </c>
      <c r="F23" s="885" t="s">
        <v>572</v>
      </c>
      <c r="G23" s="886"/>
      <c r="H23" s="878"/>
      <c r="I23" s="878"/>
    </row>
    <row r="24" spans="1:9" s="887" customFormat="1" ht="19.5" customHeight="1">
      <c r="A24" s="3325"/>
      <c r="B24" s="3325" t="s">
        <v>563</v>
      </c>
      <c r="C24" s="883" t="s">
        <v>573</v>
      </c>
      <c r="D24" s="884"/>
      <c r="E24" s="882">
        <v>0.5</v>
      </c>
      <c r="F24" s="885"/>
      <c r="G24" s="886"/>
      <c r="H24" s="878"/>
      <c r="I24" s="878"/>
    </row>
    <row r="25" spans="1:9" s="887" customFormat="1" ht="19.5" customHeight="1">
      <c r="A25" s="3325"/>
      <c r="B25" s="3325"/>
      <c r="C25" s="883" t="s">
        <v>574</v>
      </c>
      <c r="D25" s="884"/>
      <c r="E25" s="882">
        <v>1.1000000000000001</v>
      </c>
      <c r="F25" s="885"/>
      <c r="G25" s="886"/>
      <c r="H25" s="878"/>
      <c r="I25" s="878"/>
    </row>
    <row r="26" spans="1:9" s="887" customFormat="1" ht="19.5" customHeight="1">
      <c r="A26" s="3325"/>
      <c r="B26" s="3325"/>
      <c r="C26" s="883" t="s">
        <v>575</v>
      </c>
      <c r="D26" s="884"/>
      <c r="E26" s="882">
        <v>1.1000000000000001</v>
      </c>
      <c r="F26" s="885"/>
      <c r="G26" s="886"/>
      <c r="H26" s="878"/>
      <c r="I26" s="878"/>
    </row>
    <row r="27" spans="1:9" s="887" customFormat="1" ht="19.5" customHeight="1">
      <c r="A27" s="3325"/>
      <c r="B27" s="3325"/>
      <c r="C27" s="883" t="s">
        <v>576</v>
      </c>
      <c r="D27" s="884"/>
      <c r="E27" s="882">
        <v>0.9</v>
      </c>
      <c r="F27" s="885" t="s">
        <v>577</v>
      </c>
      <c r="G27" s="886"/>
      <c r="H27" s="878"/>
      <c r="I27" s="878"/>
    </row>
    <row r="28" spans="1:9" s="887" customFormat="1" ht="19.5" customHeight="1">
      <c r="A28" s="3325"/>
      <c r="B28" s="3325"/>
      <c r="C28" s="883" t="s">
        <v>578</v>
      </c>
      <c r="D28" s="884"/>
      <c r="E28" s="882">
        <v>0.9</v>
      </c>
      <c r="F28" s="885" t="s">
        <v>579</v>
      </c>
      <c r="G28" s="886"/>
      <c r="H28" s="878"/>
      <c r="I28" s="878"/>
    </row>
    <row r="29" spans="1:9" s="887" customFormat="1" ht="19.5" customHeight="1">
      <c r="A29" s="3325"/>
      <c r="B29" s="3325"/>
      <c r="C29" s="883" t="s">
        <v>580</v>
      </c>
      <c r="D29" s="884"/>
      <c r="E29" s="882">
        <v>0.9</v>
      </c>
      <c r="F29" s="885" t="s">
        <v>581</v>
      </c>
      <c r="G29" s="886"/>
      <c r="H29" s="878"/>
      <c r="I29" s="878"/>
    </row>
    <row r="30" spans="1:9" s="887" customFormat="1" ht="19.5" customHeight="1">
      <c r="A30" s="3325"/>
      <c r="B30" s="3325"/>
      <c r="C30" s="883" t="s">
        <v>582</v>
      </c>
      <c r="D30" s="884"/>
      <c r="E30" s="882">
        <v>0.9</v>
      </c>
      <c r="F30" s="885" t="s">
        <v>583</v>
      </c>
      <c r="G30" s="886"/>
      <c r="H30" s="878"/>
      <c r="I30" s="878"/>
    </row>
    <row r="31" spans="1:9" s="887" customFormat="1" ht="19.5" customHeight="1">
      <c r="A31" s="3325"/>
      <c r="B31" s="3325"/>
      <c r="C31" s="883" t="s">
        <v>584</v>
      </c>
      <c r="D31" s="884"/>
      <c r="E31" s="882">
        <v>0.8</v>
      </c>
      <c r="F31" s="885" t="s">
        <v>585</v>
      </c>
      <c r="G31" s="886"/>
      <c r="H31" s="878"/>
      <c r="I31" s="878"/>
    </row>
    <row r="32" spans="1:9" s="887" customFormat="1" ht="19.5" customHeight="1">
      <c r="A32" s="3325"/>
      <c r="B32" s="3325"/>
      <c r="C32" s="883" t="s">
        <v>586</v>
      </c>
      <c r="D32" s="884"/>
      <c r="E32" s="882">
        <v>0.8</v>
      </c>
      <c r="F32" s="885" t="s">
        <v>587</v>
      </c>
      <c r="G32" s="886"/>
      <c r="H32" s="878"/>
      <c r="I32" s="878"/>
    </row>
    <row r="33" spans="1:9" s="887" customFormat="1" ht="19.5" customHeight="1">
      <c r="A33" s="3325" t="s">
        <v>185</v>
      </c>
      <c r="B33" s="882" t="s">
        <v>560</v>
      </c>
      <c r="C33" s="883" t="s">
        <v>588</v>
      </c>
      <c r="D33" s="884"/>
      <c r="E33" s="882">
        <v>1</v>
      </c>
      <c r="F33" s="885" t="s">
        <v>589</v>
      </c>
      <c r="G33" s="886"/>
      <c r="H33" s="878"/>
      <c r="I33" s="878"/>
    </row>
    <row r="34" spans="1:9" s="887" customFormat="1" ht="19.5" customHeight="1">
      <c r="A34" s="3325"/>
      <c r="B34" s="882" t="s">
        <v>563</v>
      </c>
      <c r="C34" s="883" t="s">
        <v>590</v>
      </c>
      <c r="D34" s="884"/>
      <c r="E34" s="882">
        <v>1.5</v>
      </c>
      <c r="F34" s="885" t="s">
        <v>591</v>
      </c>
      <c r="G34" s="886"/>
      <c r="H34" s="878"/>
      <c r="I34" s="878"/>
    </row>
    <row r="35" spans="1:9" s="887" customFormat="1" ht="19.5" customHeight="1">
      <c r="A35" s="3325" t="s">
        <v>186</v>
      </c>
      <c r="B35" s="882" t="s">
        <v>560</v>
      </c>
      <c r="C35" s="883" t="s">
        <v>592</v>
      </c>
      <c r="D35" s="884"/>
      <c r="E35" s="882">
        <v>1</v>
      </c>
      <c r="F35" s="885" t="s">
        <v>593</v>
      </c>
      <c r="G35" s="886"/>
      <c r="H35" s="878"/>
      <c r="I35" s="878"/>
    </row>
    <row r="36" spans="1:9" s="887" customFormat="1" ht="19.5" customHeight="1">
      <c r="A36" s="3325"/>
      <c r="B36" s="3325" t="s">
        <v>563</v>
      </c>
      <c r="C36" s="883" t="s">
        <v>594</v>
      </c>
      <c r="D36" s="884"/>
      <c r="E36" s="882">
        <v>1</v>
      </c>
      <c r="F36" s="885" t="s">
        <v>595</v>
      </c>
      <c r="G36" s="886"/>
      <c r="H36" s="878"/>
      <c r="I36" s="878"/>
    </row>
    <row r="37" spans="1:9" s="887" customFormat="1" ht="19.5" customHeight="1">
      <c r="A37" s="3325"/>
      <c r="B37" s="3325"/>
      <c r="C37" s="883" t="s">
        <v>596</v>
      </c>
      <c r="D37" s="884"/>
      <c r="E37" s="882">
        <v>1.5</v>
      </c>
      <c r="F37" s="885" t="s">
        <v>597</v>
      </c>
      <c r="G37" s="886"/>
      <c r="H37" s="878"/>
      <c r="I37" s="878"/>
    </row>
    <row r="38" spans="1:9" s="887" customFormat="1" ht="19.5" customHeight="1">
      <c r="A38" s="3325"/>
      <c r="B38" s="3325"/>
      <c r="C38" s="883" t="s">
        <v>598</v>
      </c>
      <c r="D38" s="884"/>
      <c r="E38" s="882">
        <v>1</v>
      </c>
      <c r="F38" s="885" t="s">
        <v>599</v>
      </c>
      <c r="G38" s="886"/>
      <c r="H38" s="878"/>
      <c r="I38" s="878"/>
    </row>
    <row r="39" spans="1:9" s="887" customFormat="1" ht="19.5" customHeight="1">
      <c r="A39" s="3325"/>
      <c r="B39" s="332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5" t="s">
        <v>614</v>
      </c>
      <c r="C61" s="818" t="s">
        <v>615</v>
      </c>
      <c r="D61" s="818" t="s">
        <v>616</v>
      </c>
      <c r="E61" s="895">
        <v>0.5</v>
      </c>
      <c r="F61" s="882">
        <v>80</v>
      </c>
    </row>
    <row r="62" spans="1:8" s="878" customFormat="1" ht="24">
      <c r="A62" s="882">
        <v>2</v>
      </c>
      <c r="B62" s="3325"/>
      <c r="C62" s="818" t="s">
        <v>617</v>
      </c>
      <c r="D62" s="818" t="s">
        <v>618</v>
      </c>
      <c r="E62" s="895">
        <v>0.5</v>
      </c>
      <c r="F62" s="882">
        <v>80</v>
      </c>
    </row>
    <row r="63" spans="1:8" s="878" customFormat="1" ht="36">
      <c r="A63" s="882">
        <v>3</v>
      </c>
      <c r="B63" s="3325"/>
      <c r="C63" s="818" t="s">
        <v>619</v>
      </c>
      <c r="D63" s="818" t="s">
        <v>620</v>
      </c>
      <c r="E63" s="895">
        <v>0.5</v>
      </c>
      <c r="F63" s="882">
        <v>80</v>
      </c>
    </row>
    <row r="64" spans="1:8" s="878" customFormat="1" ht="36">
      <c r="A64" s="882">
        <v>4</v>
      </c>
      <c r="B64" s="3325"/>
      <c r="C64" s="818" t="s">
        <v>621</v>
      </c>
      <c r="D64" s="818" t="s">
        <v>622</v>
      </c>
      <c r="E64" s="895">
        <v>0.4</v>
      </c>
      <c r="F64" s="882">
        <v>60</v>
      </c>
    </row>
    <row r="65" spans="1:6" s="878" customFormat="1" ht="36">
      <c r="A65" s="882">
        <v>5</v>
      </c>
      <c r="B65" s="3325"/>
      <c r="C65" s="818" t="s">
        <v>623</v>
      </c>
      <c r="D65" s="818" t="s">
        <v>624</v>
      </c>
      <c r="E65" s="895">
        <v>0.2</v>
      </c>
      <c r="F65" s="882">
        <v>30</v>
      </c>
    </row>
    <row r="66" spans="1:6" s="878" customFormat="1" ht="36">
      <c r="A66" s="882">
        <v>6</v>
      </c>
      <c r="B66" s="3325"/>
      <c r="C66" s="818" t="s">
        <v>625</v>
      </c>
      <c r="D66" s="818" t="s">
        <v>626</v>
      </c>
      <c r="E66" s="895">
        <v>0.3</v>
      </c>
      <c r="F66" s="882">
        <v>50</v>
      </c>
    </row>
    <row r="67" spans="1:6" s="878" customFormat="1" ht="36">
      <c r="A67" s="882">
        <v>7</v>
      </c>
      <c r="B67" s="3325"/>
      <c r="C67" s="818" t="s">
        <v>627</v>
      </c>
      <c r="D67" s="818" t="s">
        <v>628</v>
      </c>
      <c r="E67" s="895">
        <v>0.2</v>
      </c>
      <c r="F67" s="882">
        <v>30</v>
      </c>
    </row>
    <row r="68" spans="1:6" s="878" customFormat="1" ht="36">
      <c r="A68" s="882">
        <v>8</v>
      </c>
      <c r="B68" s="3325"/>
      <c r="C68" s="818" t="s">
        <v>629</v>
      </c>
      <c r="D68" s="818" t="s">
        <v>630</v>
      </c>
      <c r="E68" s="895">
        <v>0.2</v>
      </c>
      <c r="F68" s="882">
        <v>30</v>
      </c>
    </row>
    <row r="69" spans="1:6" s="878" customFormat="1" ht="36">
      <c r="A69" s="882">
        <v>9</v>
      </c>
      <c r="B69" s="3325"/>
      <c r="C69" s="818" t="s">
        <v>631</v>
      </c>
      <c r="D69" s="818" t="s">
        <v>632</v>
      </c>
      <c r="E69" s="895">
        <v>0.2</v>
      </c>
      <c r="F69" s="882">
        <v>30</v>
      </c>
    </row>
    <row r="70" spans="1:6" s="878" customFormat="1" ht="48">
      <c r="A70" s="882">
        <v>10</v>
      </c>
      <c r="B70" s="3325"/>
      <c r="C70" s="818" t="s">
        <v>633</v>
      </c>
      <c r="D70" s="818" t="s">
        <v>634</v>
      </c>
      <c r="E70" s="895">
        <v>0.2</v>
      </c>
      <c r="F70" s="882">
        <v>30</v>
      </c>
    </row>
    <row r="71" spans="1:6" s="878" customFormat="1" ht="48">
      <c r="A71" s="882">
        <v>11</v>
      </c>
      <c r="B71" s="3325"/>
      <c r="C71" s="818" t="s">
        <v>635</v>
      </c>
      <c r="D71" s="818" t="s">
        <v>636</v>
      </c>
      <c r="E71" s="895">
        <v>0.2</v>
      </c>
      <c r="F71" s="882">
        <v>30</v>
      </c>
    </row>
    <row r="72" spans="1:6" s="878" customFormat="1" ht="36">
      <c r="A72" s="882">
        <v>12</v>
      </c>
      <c r="B72" s="3325"/>
      <c r="C72" s="818" t="s">
        <v>637</v>
      </c>
      <c r="D72" s="818" t="s">
        <v>638</v>
      </c>
      <c r="E72" s="895">
        <v>0.5</v>
      </c>
      <c r="F72" s="882">
        <v>80</v>
      </c>
    </row>
    <row r="73" spans="1:6" s="878" customFormat="1" ht="24">
      <c r="A73" s="882">
        <v>13</v>
      </c>
      <c r="B73" s="3325"/>
      <c r="C73" s="818" t="s">
        <v>639</v>
      </c>
      <c r="D73" s="818" t="s">
        <v>640</v>
      </c>
      <c r="E73" s="895">
        <v>0.4</v>
      </c>
      <c r="F73" s="882">
        <v>60</v>
      </c>
    </row>
    <row r="74" spans="1:6" s="878" customFormat="1" ht="24">
      <c r="A74" s="882">
        <v>14</v>
      </c>
      <c r="B74" s="3325"/>
      <c r="C74" s="818" t="s">
        <v>641</v>
      </c>
      <c r="D74" s="818" t="s">
        <v>642</v>
      </c>
      <c r="E74" s="895">
        <v>0.2</v>
      </c>
      <c r="F74" s="882">
        <v>30</v>
      </c>
    </row>
    <row r="75" spans="1:6" s="878" customFormat="1" ht="24">
      <c r="A75" s="882">
        <v>15</v>
      </c>
      <c r="B75" s="3325"/>
      <c r="C75" s="818" t="s">
        <v>643</v>
      </c>
      <c r="D75" s="818" t="s">
        <v>644</v>
      </c>
      <c r="E75" s="895">
        <v>0.2</v>
      </c>
      <c r="F75" s="882">
        <v>30</v>
      </c>
    </row>
    <row r="76" spans="1:6" s="878" customFormat="1" ht="24">
      <c r="A76" s="882">
        <v>16</v>
      </c>
      <c r="B76" s="3325" t="s">
        <v>645</v>
      </c>
      <c r="C76" s="818" t="s">
        <v>646</v>
      </c>
      <c r="D76" s="818" t="s">
        <v>647</v>
      </c>
      <c r="E76" s="895">
        <v>0.5</v>
      </c>
      <c r="F76" s="882">
        <v>80</v>
      </c>
    </row>
    <row r="77" spans="1:6" s="878" customFormat="1" ht="24">
      <c r="A77" s="882">
        <v>17</v>
      </c>
      <c r="B77" s="3325"/>
      <c r="C77" s="818" t="s">
        <v>648</v>
      </c>
      <c r="D77" s="818" t="s">
        <v>649</v>
      </c>
      <c r="E77" s="895">
        <v>0.5</v>
      </c>
      <c r="F77" s="882">
        <v>80</v>
      </c>
    </row>
    <row r="78" spans="1:6" s="878" customFormat="1" ht="24">
      <c r="A78" s="882">
        <v>18</v>
      </c>
      <c r="B78" s="3325"/>
      <c r="C78" s="818" t="s">
        <v>650</v>
      </c>
      <c r="D78" s="818" t="s">
        <v>651</v>
      </c>
      <c r="E78" s="895">
        <v>0.2</v>
      </c>
      <c r="F78" s="882">
        <v>30</v>
      </c>
    </row>
    <row r="79" spans="1:6" s="878" customFormat="1" ht="24">
      <c r="A79" s="882">
        <v>19</v>
      </c>
      <c r="B79" s="3325"/>
      <c r="C79" s="818" t="s">
        <v>652</v>
      </c>
      <c r="D79" s="818" t="s">
        <v>653</v>
      </c>
      <c r="E79" s="895">
        <v>0.5</v>
      </c>
      <c r="F79" s="882">
        <v>80</v>
      </c>
    </row>
    <row r="80" spans="1:6" s="878" customFormat="1" ht="36">
      <c r="A80" s="882">
        <v>20</v>
      </c>
      <c r="B80" s="3325"/>
      <c r="C80" s="818" t="s">
        <v>654</v>
      </c>
      <c r="D80" s="818" t="s">
        <v>655</v>
      </c>
      <c r="E80" s="895">
        <v>0.2</v>
      </c>
      <c r="F80" s="882">
        <v>30</v>
      </c>
    </row>
    <row r="81" spans="1:6" s="878" customFormat="1" ht="36">
      <c r="A81" s="882">
        <v>21</v>
      </c>
      <c r="B81" s="3325"/>
      <c r="C81" s="818" t="s">
        <v>656</v>
      </c>
      <c r="D81" s="818" t="s">
        <v>657</v>
      </c>
      <c r="E81" s="895">
        <v>0.2</v>
      </c>
      <c r="F81" s="882">
        <v>30</v>
      </c>
    </row>
    <row r="82" spans="1:6" s="878" customFormat="1" ht="48">
      <c r="A82" s="882">
        <v>22</v>
      </c>
      <c r="B82" s="3325"/>
      <c r="C82" s="818" t="s">
        <v>658</v>
      </c>
      <c r="D82" s="818" t="s">
        <v>659</v>
      </c>
      <c r="E82" s="895">
        <v>0.2</v>
      </c>
      <c r="F82" s="882">
        <v>30</v>
      </c>
    </row>
    <row r="83" spans="1:6" s="878" customFormat="1" ht="48">
      <c r="A83" s="882">
        <v>23</v>
      </c>
      <c r="B83" s="3325"/>
      <c r="C83" s="818" t="s">
        <v>660</v>
      </c>
      <c r="D83" s="818" t="s">
        <v>661</v>
      </c>
      <c r="E83" s="895">
        <v>0.2</v>
      </c>
      <c r="F83" s="882">
        <v>30</v>
      </c>
    </row>
    <row r="84" spans="1:6" s="878" customFormat="1" ht="36">
      <c r="A84" s="882">
        <v>24</v>
      </c>
      <c r="B84" s="3325"/>
      <c r="C84" s="818" t="s">
        <v>662</v>
      </c>
      <c r="D84" s="818" t="s">
        <v>663</v>
      </c>
      <c r="E84" s="895">
        <v>0.2</v>
      </c>
      <c r="F84" s="882">
        <v>30</v>
      </c>
    </row>
    <row r="85" spans="1:6" s="878" customFormat="1" ht="36">
      <c r="A85" s="882">
        <v>25</v>
      </c>
      <c r="B85" s="3325"/>
      <c r="C85" s="818" t="s">
        <v>664</v>
      </c>
      <c r="D85" s="818" t="s">
        <v>665</v>
      </c>
      <c r="E85" s="895">
        <v>0.5</v>
      </c>
      <c r="F85" s="882">
        <v>80</v>
      </c>
    </row>
    <row r="86" spans="1:6" s="878" customFormat="1" ht="36">
      <c r="A86" s="882">
        <v>26</v>
      </c>
      <c r="B86" s="3325"/>
      <c r="C86" s="818" t="s">
        <v>666</v>
      </c>
      <c r="D86" s="818" t="s">
        <v>667</v>
      </c>
      <c r="E86" s="895">
        <v>0.2</v>
      </c>
      <c r="F86" s="882">
        <v>30</v>
      </c>
    </row>
    <row r="87" spans="1:6" s="878" customFormat="1" ht="36">
      <c r="A87" s="882">
        <v>27</v>
      </c>
      <c r="B87" s="3325"/>
      <c r="C87" s="818" t="s">
        <v>668</v>
      </c>
      <c r="D87" s="818" t="s">
        <v>669</v>
      </c>
      <c r="E87" s="895">
        <v>0.2</v>
      </c>
      <c r="F87" s="882">
        <v>30</v>
      </c>
    </row>
    <row r="88" spans="1:6" s="878" customFormat="1" ht="36">
      <c r="A88" s="882">
        <v>28</v>
      </c>
      <c r="B88" s="3325"/>
      <c r="C88" s="818" t="s">
        <v>670</v>
      </c>
      <c r="D88" s="818" t="s">
        <v>671</v>
      </c>
      <c r="E88" s="895">
        <v>0.2</v>
      </c>
      <c r="F88" s="882">
        <v>30</v>
      </c>
    </row>
    <row r="89" spans="1:6" s="878" customFormat="1" ht="24">
      <c r="A89" s="882">
        <v>29</v>
      </c>
      <c r="B89" s="3325"/>
      <c r="C89" s="818" t="s">
        <v>672</v>
      </c>
      <c r="D89" s="818" t="s">
        <v>673</v>
      </c>
      <c r="E89" s="895">
        <v>0.2</v>
      </c>
      <c r="F89" s="882">
        <v>30</v>
      </c>
    </row>
    <row r="90" spans="1:6" s="878" customFormat="1" ht="24">
      <c r="A90" s="882">
        <v>30</v>
      </c>
      <c r="B90" s="3325"/>
      <c r="C90" s="818" t="s">
        <v>674</v>
      </c>
      <c r="D90" s="818" t="s">
        <v>675</v>
      </c>
      <c r="E90" s="895">
        <v>0.2</v>
      </c>
      <c r="F90" s="882">
        <v>30</v>
      </c>
    </row>
    <row r="91" spans="1:6" s="878" customFormat="1" ht="36">
      <c r="A91" s="882">
        <v>31</v>
      </c>
      <c r="B91" s="3325"/>
      <c r="C91" s="818" t="s">
        <v>676</v>
      </c>
      <c r="D91" s="818" t="s">
        <v>677</v>
      </c>
      <c r="E91" s="895">
        <v>0.2</v>
      </c>
      <c r="F91" s="882">
        <v>30</v>
      </c>
    </row>
    <row r="92" spans="1:6" s="878" customFormat="1" ht="24">
      <c r="A92" s="882">
        <v>32</v>
      </c>
      <c r="B92" s="3325" t="s">
        <v>678</v>
      </c>
      <c r="C92" s="882" t="s">
        <v>679</v>
      </c>
      <c r="D92" s="818" t="s">
        <v>680</v>
      </c>
      <c r="E92" s="895">
        <v>0.2</v>
      </c>
      <c r="F92" s="882">
        <v>30</v>
      </c>
    </row>
    <row r="93" spans="1:6" s="878" customFormat="1" ht="36">
      <c r="A93" s="882">
        <v>33</v>
      </c>
      <c r="B93" s="3325"/>
      <c r="C93" s="882" t="s">
        <v>681</v>
      </c>
      <c r="D93" s="818" t="s">
        <v>682</v>
      </c>
      <c r="E93" s="895">
        <v>0.2</v>
      </c>
      <c r="F93" s="882">
        <v>30</v>
      </c>
    </row>
    <row r="94" spans="1:6" s="878" customFormat="1" ht="48">
      <c r="A94" s="882">
        <v>34</v>
      </c>
      <c r="B94" s="3325"/>
      <c r="C94" s="882" t="s">
        <v>683</v>
      </c>
      <c r="D94" s="818" t="s">
        <v>684</v>
      </c>
      <c r="E94" s="895">
        <v>0.2</v>
      </c>
      <c r="F94" s="882">
        <v>30</v>
      </c>
    </row>
    <row r="95" spans="1:6" s="878" customFormat="1" ht="36">
      <c r="A95" s="882">
        <v>35</v>
      </c>
      <c r="B95" s="3325"/>
      <c r="C95" s="882" t="s">
        <v>685</v>
      </c>
      <c r="D95" s="818" t="s">
        <v>686</v>
      </c>
      <c r="E95" s="895">
        <v>0.2</v>
      </c>
      <c r="F95" s="882">
        <v>30</v>
      </c>
    </row>
    <row r="96" spans="1:6" s="878" customFormat="1" ht="48">
      <c r="A96" s="882">
        <v>36</v>
      </c>
      <c r="B96" s="3325"/>
      <c r="C96" s="818" t="s">
        <v>687</v>
      </c>
      <c r="D96" s="818" t="s">
        <v>688</v>
      </c>
      <c r="E96" s="895">
        <v>0.2</v>
      </c>
      <c r="F96" s="882">
        <v>30</v>
      </c>
    </row>
    <row r="97" spans="1:6" s="878" customFormat="1" ht="36">
      <c r="A97" s="882">
        <v>37</v>
      </c>
      <c r="B97" s="3325"/>
      <c r="C97" s="882" t="s">
        <v>689</v>
      </c>
      <c r="D97" s="818" t="s">
        <v>690</v>
      </c>
      <c r="E97" s="895">
        <v>0.2</v>
      </c>
      <c r="F97" s="882">
        <v>30</v>
      </c>
    </row>
    <row r="98" spans="1:6" s="878" customFormat="1" ht="36">
      <c r="A98" s="882">
        <v>38</v>
      </c>
      <c r="B98" s="3325"/>
      <c r="C98" s="882" t="s">
        <v>691</v>
      </c>
      <c r="D98" s="818" t="s">
        <v>692</v>
      </c>
      <c r="E98" s="895">
        <v>0.2</v>
      </c>
      <c r="F98" s="882">
        <v>30</v>
      </c>
    </row>
    <row r="99" spans="1:6" s="878" customFormat="1" ht="36">
      <c r="A99" s="882">
        <v>39</v>
      </c>
      <c r="B99" s="3325" t="s">
        <v>693</v>
      </c>
      <c r="C99" s="882" t="s">
        <v>694</v>
      </c>
      <c r="D99" s="818" t="s">
        <v>695</v>
      </c>
      <c r="E99" s="895">
        <v>0.3</v>
      </c>
      <c r="F99" s="882">
        <v>50</v>
      </c>
    </row>
    <row r="100" spans="1:6" s="878" customFormat="1" ht="24">
      <c r="A100" s="882">
        <v>40</v>
      </c>
      <c r="B100" s="3325"/>
      <c r="C100" s="882" t="s">
        <v>696</v>
      </c>
      <c r="D100" s="818" t="s">
        <v>697</v>
      </c>
      <c r="E100" s="895">
        <v>0.2</v>
      </c>
      <c r="F100" s="882">
        <v>30</v>
      </c>
    </row>
    <row r="101" spans="1:6" s="878" customFormat="1" ht="36">
      <c r="A101" s="882">
        <v>41</v>
      </c>
      <c r="B101" s="332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5" t="s">
        <v>708</v>
      </c>
      <c r="C105" s="882" t="s">
        <v>709</v>
      </c>
      <c r="D105" s="818" t="s">
        <v>710</v>
      </c>
      <c r="E105" s="895">
        <v>0.2</v>
      </c>
      <c r="F105" s="882">
        <v>30</v>
      </c>
    </row>
    <row r="106" spans="1:6" s="878" customFormat="1" ht="36">
      <c r="A106" s="882">
        <v>46</v>
      </c>
      <c r="B106" s="3325"/>
      <c r="C106" s="882" t="s">
        <v>711</v>
      </c>
      <c r="D106" s="818" t="s">
        <v>712</v>
      </c>
      <c r="E106" s="895">
        <v>0.2</v>
      </c>
      <c r="F106" s="882">
        <v>30</v>
      </c>
    </row>
    <row r="107" spans="1:6" s="878" customFormat="1" ht="36">
      <c r="A107" s="882">
        <v>47</v>
      </c>
      <c r="B107" s="3325" t="s">
        <v>713</v>
      </c>
      <c r="C107" s="882" t="s">
        <v>714</v>
      </c>
      <c r="D107" s="818" t="s">
        <v>715</v>
      </c>
      <c r="E107" s="895">
        <v>0.3</v>
      </c>
      <c r="F107" s="882">
        <v>50</v>
      </c>
    </row>
    <row r="108" spans="1:6" s="878" customFormat="1" ht="36">
      <c r="A108" s="882">
        <v>48</v>
      </c>
      <c r="B108" s="332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5" t="s">
        <v>724</v>
      </c>
      <c r="C111" s="882" t="s">
        <v>725</v>
      </c>
      <c r="D111" s="818" t="s">
        <v>726</v>
      </c>
      <c r="E111" s="895">
        <v>0.2</v>
      </c>
      <c r="F111" s="882">
        <v>30</v>
      </c>
    </row>
    <row r="112" spans="1:6" s="878" customFormat="1" ht="24">
      <c r="A112" s="882">
        <v>52</v>
      </c>
      <c r="B112" s="3325"/>
      <c r="C112" s="882" t="s">
        <v>727</v>
      </c>
      <c r="D112" s="818" t="s">
        <v>728</v>
      </c>
      <c r="E112" s="895">
        <v>0.2</v>
      </c>
      <c r="F112" s="882">
        <v>30</v>
      </c>
    </row>
    <row r="113" spans="1:6" s="878" customFormat="1" ht="24">
      <c r="A113" s="882">
        <v>53</v>
      </c>
      <c r="B113" s="332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5" t="s">
        <v>737</v>
      </c>
      <c r="C116" s="882" t="s">
        <v>738</v>
      </c>
      <c r="D116" s="818" t="s">
        <v>739</v>
      </c>
      <c r="E116" s="895">
        <v>0.2</v>
      </c>
      <c r="F116" s="882">
        <v>30</v>
      </c>
    </row>
    <row r="117" spans="1:6" ht="36">
      <c r="A117" s="882">
        <v>57</v>
      </c>
      <c r="B117" s="332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7">
        <f ca="1">SUMIF(INDIRECT("'"&amp;A6&amp;"'"&amp;"!C:C"),"建筑面积",INDIRECT("'"&amp;A6&amp;"'"&amp;"!D:D"))</f>
        <v>0</v>
      </c>
    </row>
    <row r="7" spans="1:5" ht="15.75">
      <c r="A7" s="2909"/>
      <c r="B7" s="2905" t="e">
        <f ca="1">SUMIF(INDIRECT("'"&amp;A7&amp;"'"&amp;"!A:A"),"总价",INDIRECT("'"&amp;A7&amp;"'"&amp;"!B:B"))</f>
        <v>#REF!</v>
      </c>
      <c r="C7" s="2904" t="s">
        <v>2996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7" t="e">
        <f t="shared" ca="1" si="0"/>
        <v>#REF!</v>
      </c>
    </row>
    <row r="9" spans="1:5" ht="15.75">
      <c r="A9" s="2909"/>
      <c r="B9" s="2905" t="e">
        <f t="shared" ca="1" si="1"/>
        <v>#REF!</v>
      </c>
      <c r="C9" s="2904" t="s">
        <v>2996</v>
      </c>
      <c r="D9" s="2906"/>
      <c r="E9" s="2577" t="e">
        <f t="shared" ca="1" si="0"/>
        <v>#REF!</v>
      </c>
    </row>
    <row r="10" spans="1:5" ht="15.75">
      <c r="A10" s="2909"/>
      <c r="B10" s="2905" t="e">
        <f t="shared" ca="1" si="1"/>
        <v>#REF!</v>
      </c>
      <c r="C10" s="2904" t="s">
        <v>2996</v>
      </c>
      <c r="D10" s="2906"/>
      <c r="E10" s="2577" t="e">
        <f t="shared" ca="1" si="0"/>
        <v>#REF!</v>
      </c>
    </row>
    <row r="11" spans="1:5" ht="15.75">
      <c r="A11" s="2909"/>
      <c r="B11" s="2905" t="e">
        <f t="shared" ca="1" si="1"/>
        <v>#REF!</v>
      </c>
      <c r="C11" s="2904" t="s">
        <v>2996</v>
      </c>
      <c r="D11" s="2906"/>
      <c r="E11" s="2577" t="e">
        <f t="shared" ca="1" si="0"/>
        <v>#REF!</v>
      </c>
    </row>
    <row r="12" spans="1:5" ht="15.75">
      <c r="A12" s="2909"/>
      <c r="B12" s="2905" t="e">
        <f t="shared" ca="1" si="1"/>
        <v>#REF!</v>
      </c>
      <c r="C12" s="2904" t="s">
        <v>2996</v>
      </c>
      <c r="D12" s="2906"/>
      <c r="E12" s="2577" t="e">
        <f t="shared" ca="1" si="0"/>
        <v>#REF!</v>
      </c>
    </row>
    <row r="13" spans="1:5" ht="15.75">
      <c r="A13" s="2909"/>
      <c r="B13" s="2905" t="e">
        <f t="shared" ca="1" si="1"/>
        <v>#REF!</v>
      </c>
      <c r="C13" s="2904" t="s">
        <v>2996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1" t="s">
        <v>1145</v>
      </c>
      <c r="C1" s="3331"/>
      <c r="D1" s="3331"/>
      <c r="E1" s="3331"/>
      <c r="F1" s="3331"/>
      <c r="G1" s="3327" t="s">
        <v>1146</v>
      </c>
      <c r="H1" s="3327"/>
      <c r="I1" s="3327"/>
      <c r="J1" s="3327"/>
      <c r="K1" s="3327"/>
      <c r="L1" s="3327"/>
      <c r="N1" s="3327" t="s">
        <v>1147</v>
      </c>
      <c r="O1" s="3327"/>
      <c r="P1" s="3327"/>
      <c r="Q1" s="3327"/>
      <c r="R1" s="1446"/>
      <c r="S1" s="3327" t="s">
        <v>1148</v>
      </c>
      <c r="T1" s="3327"/>
      <c r="U1" s="3327"/>
      <c r="V1" s="3327"/>
      <c r="X1" s="3326" t="s">
        <v>1149</v>
      </c>
      <c r="Y1" s="3327"/>
      <c r="Z1" s="3327"/>
      <c r="AA1" s="3327"/>
      <c r="AB1" s="3327"/>
      <c r="AD1" s="3326" t="s">
        <v>1150</v>
      </c>
      <c r="AE1" s="3327"/>
      <c r="AF1" s="3327"/>
      <c r="AG1" s="3327"/>
      <c r="AH1" s="332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3037</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3038</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3051</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3049</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3047</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3050</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329">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3044</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29"/>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3043</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29"/>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3036</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3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3033</v>
      </c>
      <c r="B14" s="1469">
        <v>439</v>
      </c>
      <c r="C14" s="1469">
        <v>327</v>
      </c>
      <c r="D14" s="1469">
        <f>C14</f>
        <v>327</v>
      </c>
      <c r="E14" s="1469">
        <v>627</v>
      </c>
      <c r="F14" s="1470">
        <v>283</v>
      </c>
      <c r="G14" s="333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3034</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29"/>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29"/>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3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3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29"/>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29"/>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30"/>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28">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29"/>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29"/>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30"/>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28">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29"/>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29"/>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30"/>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3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3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3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3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28">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29"/>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29"/>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30"/>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28">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29">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29">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30">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28">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29">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29">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30">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28">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29">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29">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30">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28">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29">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29">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30">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28">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29">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29">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30">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28">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29">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29">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30">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28">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29">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29">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30">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28">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29">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29">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30">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28">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29">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29">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30">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28">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29">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29">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30">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60"/>
      <c r="B4" s="3019" t="s">
        <v>1624</v>
      </c>
      <c r="C4" s="3019"/>
      <c r="D4" s="3019"/>
      <c r="E4" s="1960"/>
    </row>
    <row r="5" spans="1:5" ht="16.5" thickTop="1">
      <c r="A5" s="1958"/>
      <c r="B5" s="3017" t="s">
        <v>1616</v>
      </c>
      <c r="C5" s="1961" t="s">
        <v>1617</v>
      </c>
      <c r="D5" s="1040">
        <f ca="1">'结果表（1）'!H101</f>
        <v>766</v>
      </c>
      <c r="E5" s="1958"/>
    </row>
    <row r="6" spans="1:5" ht="15.75">
      <c r="A6" s="1958"/>
      <c r="B6" s="3017"/>
      <c r="C6" s="1961" t="s">
        <v>1618</v>
      </c>
      <c r="D6" s="1040" t="str">
        <f ca="1">NUMBERSTRING(INT(D5*10000),2)&amp;"元整"</f>
        <v>柒佰陆拾陆万元整</v>
      </c>
      <c r="E6" s="1958"/>
    </row>
    <row r="7" spans="1:5" ht="15.75">
      <c r="A7" s="1958"/>
      <c r="B7" s="3022"/>
      <c r="C7" s="1962" t="s">
        <v>1619</v>
      </c>
      <c r="D7" s="1041">
        <f ca="1">'结果表（1）'!H102</f>
        <v>10807</v>
      </c>
      <c r="E7" s="1958"/>
    </row>
    <row r="8" spans="1:5" ht="15.75">
      <c r="A8" s="1958"/>
      <c r="B8" s="3023" t="str">
        <f>'结果表（1）'!E103</f>
        <v>2.估价师知悉的法定优先受偿款</v>
      </c>
      <c r="C8" s="1963" t="s">
        <v>1620</v>
      </c>
      <c r="D8" s="1041">
        <f>'结果表（1）'!H103</f>
        <v>0</v>
      </c>
      <c r="E8" s="1958"/>
    </row>
    <row r="9" spans="1:5" ht="15.75">
      <c r="A9" s="1958"/>
      <c r="B9" s="3025"/>
      <c r="C9" s="1961" t="s">
        <v>1618</v>
      </c>
      <c r="D9" s="1040" t="str">
        <f>NUMBERSTRING(INT(D8*10000),2)&amp;"元整"</f>
        <v>零元整</v>
      </c>
      <c r="E9" s="1958"/>
    </row>
    <row r="10" spans="1:5" ht="15">
      <c r="A10" s="1958"/>
      <c r="B10" s="1964" t="s">
        <v>1623</v>
      </c>
      <c r="C10" s="1965" t="s">
        <v>1621</v>
      </c>
      <c r="D10" s="1042">
        <f>'结果表（1）'!H104</f>
        <v>0</v>
      </c>
      <c r="E10" s="1958"/>
    </row>
    <row r="11" spans="1:5" ht="15">
      <c r="A11" s="1958"/>
      <c r="B11" s="1964" t="s">
        <v>1625</v>
      </c>
      <c r="C11" s="1965" t="s">
        <v>1626</v>
      </c>
      <c r="D11" s="1042">
        <f>'结果表（1）'!H105</f>
        <v>0</v>
      </c>
      <c r="E11" s="1958"/>
    </row>
    <row r="12" spans="1:5" ht="15">
      <c r="A12" s="1958"/>
      <c r="B12" s="1964" t="s">
        <v>1627</v>
      </c>
      <c r="C12" s="1965" t="s">
        <v>1626</v>
      </c>
      <c r="D12" s="1042">
        <f>'结果表（1）'!H106</f>
        <v>0</v>
      </c>
      <c r="E12" s="1958"/>
    </row>
    <row r="13" spans="1:5" ht="15.75">
      <c r="A13" s="1958"/>
      <c r="B13" s="3016" t="str">
        <f>'结果表（1）'!E107</f>
        <v>3.房地产抵押价值</v>
      </c>
      <c r="C13" s="1966" t="s">
        <v>1617</v>
      </c>
      <c r="D13" s="1043">
        <f ca="1">'结果表（1）'!H107</f>
        <v>766</v>
      </c>
      <c r="E13" s="1958"/>
    </row>
    <row r="14" spans="1:5" ht="15.75">
      <c r="A14" s="1958"/>
      <c r="B14" s="3017"/>
      <c r="C14" s="1961" t="s">
        <v>1618</v>
      </c>
      <c r="D14" s="1040" t="str">
        <f ca="1">NUMBERSTRING(INT(D13*10000),2)&amp;"元整"</f>
        <v>柒佰陆拾陆万元整</v>
      </c>
      <c r="E14" s="1958"/>
    </row>
    <row r="15" spans="1:5" ht="15">
      <c r="A15" s="1958"/>
      <c r="B15" s="3022"/>
      <c r="C15" s="1962" t="s">
        <v>1628</v>
      </c>
      <c r="D15" s="1052">
        <f ca="1">'结果表（1）'!H108</f>
        <v>10807</v>
      </c>
      <c r="E15" s="1958"/>
    </row>
    <row r="16" spans="1:5" ht="15">
      <c r="A16" s="1958"/>
      <c r="B16" s="3023" t="str">
        <f>'结果表（1）'!E109</f>
        <v>——</v>
      </c>
      <c r="C16" s="1966" t="s">
        <v>1629</v>
      </c>
      <c r="D16" s="1967" t="str">
        <f>'结果表（1）'!H109</f>
        <v>——</v>
      </c>
      <c r="E16" s="1958"/>
    </row>
    <row r="17" spans="1:5" ht="15.75">
      <c r="A17" s="1958"/>
      <c r="B17" s="3024"/>
      <c r="C17" s="1961" t="s">
        <v>1630</v>
      </c>
      <c r="D17" s="1040" t="e">
        <f>NUMBERSTRING(INT(D16*10000),2)&amp;"元整"</f>
        <v>#VALUE!</v>
      </c>
      <c r="E17" s="1958"/>
    </row>
    <row r="18" spans="1:5" ht="15">
      <c r="A18" s="1958"/>
      <c r="B18" s="3025"/>
      <c r="C18" s="1962" t="s">
        <v>1619</v>
      </c>
      <c r="D18" s="1052" t="str">
        <f>'结果表（1）'!H110</f>
        <v>——</v>
      </c>
      <c r="E18" s="1958"/>
    </row>
    <row r="19" spans="1:5" ht="15.75">
      <c r="A19" s="1958"/>
      <c r="B19" s="3016" t="str">
        <f>'结果表（1）'!E111</f>
        <v>4.抵押净值</v>
      </c>
      <c r="C19" s="1966" t="s">
        <v>1617</v>
      </c>
      <c r="D19" s="1041">
        <f ca="1">'结果表（1）'!H111</f>
        <v>332</v>
      </c>
      <c r="E19" s="1958"/>
    </row>
    <row r="20" spans="1:5" ht="15.75">
      <c r="A20" s="1958"/>
      <c r="B20" s="3017"/>
      <c r="C20" s="1961" t="s">
        <v>1630</v>
      </c>
      <c r="D20" s="1040" t="str">
        <f ca="1">NUMBERSTRING(INT(D19*10000),2)&amp;"元整"</f>
        <v>叁佰叁拾贰万元整</v>
      </c>
      <c r="E20" s="1958"/>
    </row>
    <row r="21" spans="1:5" ht="15.75" thickBot="1">
      <c r="A21" s="1958"/>
      <c r="B21" s="3018"/>
      <c r="C21" s="1968" t="s">
        <v>1628</v>
      </c>
      <c r="D21" s="1053">
        <f ca="1">'结果表（1）'!H112</f>
        <v>4684</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2" sqref="S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38" t="s">
        <v>3006</v>
      </c>
      <c r="D1" s="3339"/>
      <c r="E1" s="3339"/>
      <c r="F1" s="3339"/>
      <c r="G1" s="3339"/>
      <c r="H1" s="3339"/>
      <c r="I1" s="3339"/>
      <c r="J1" s="3339"/>
      <c r="K1" s="3339"/>
      <c r="L1" s="3339"/>
      <c r="M1" s="3339"/>
      <c r="N1" s="3339"/>
      <c r="O1" s="3339"/>
      <c r="P1" s="3339"/>
      <c r="Q1" s="3339"/>
      <c r="R1" s="3339"/>
      <c r="S1" s="3340"/>
      <c r="T1" s="1204" t="s">
        <v>3007</v>
      </c>
    </row>
    <row r="2" spans="1:45" s="707" customFormat="1" ht="38.25">
      <c r="A2" s="1205"/>
      <c r="B2" s="703" t="s">
        <v>3008</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300</v>
      </c>
      <c r="F3" s="1704">
        <v>500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98</v>
      </c>
      <c r="E4" s="1211">
        <v>96</v>
      </c>
      <c r="F4" s="1708">
        <v>94</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v>1</v>
      </c>
      <c r="D17" s="1232">
        <v>-1</v>
      </c>
      <c r="E17" s="1232">
        <v>-2</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60</v>
      </c>
      <c r="E18" s="1244">
        <v>50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f ca="1">IF(D20="——",S22,S22-F20)</f>
        <v>886</v>
      </c>
      <c r="C20" s="168"/>
      <c r="D20" s="2913" t="s">
        <v>70</v>
      </c>
      <c r="E20" s="1793"/>
      <c r="F20" s="1204" t="e">
        <f ca="1">SUMIF(INDIRECT("'"&amp;H20&amp;"'"&amp;"!A:A"),"承租人权益价值",INDIRECT("'"&amp;H20&amp;"'"&amp;"!c:c"))</f>
        <v>#REF!</v>
      </c>
      <c r="G20" s="1204" t="s">
        <v>3019</v>
      </c>
      <c r="H20" s="2914"/>
      <c r="I20" s="168"/>
      <c r="J20" s="168"/>
      <c r="K20" s="168"/>
      <c r="L20" s="168"/>
      <c r="M20" s="168"/>
      <c r="N20" s="168"/>
      <c r="O20" s="168"/>
      <c r="P20" s="168"/>
      <c r="Q20" s="168"/>
      <c r="R20" s="788"/>
      <c r="S20" s="138"/>
    </row>
    <row r="21" spans="1:45" ht="15.75">
      <c r="A21" s="715" t="s">
        <v>3020</v>
      </c>
      <c r="B21" s="338">
        <f ca="1">R22</f>
        <v>12500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708.8</v>
      </c>
      <c r="C22" s="3146" t="s">
        <v>33</v>
      </c>
      <c r="D22" s="3147"/>
      <c r="E22" s="3147"/>
      <c r="F22" s="3147"/>
      <c r="G22" s="3147"/>
      <c r="H22" s="3147"/>
      <c r="I22" s="3147"/>
      <c r="J22" s="3147"/>
      <c r="K22" s="3147"/>
      <c r="L22" s="3147"/>
      <c r="M22" s="3147"/>
      <c r="N22" s="3147"/>
      <c r="O22" s="3147"/>
      <c r="P22" s="3147"/>
      <c r="Q22" s="3337"/>
      <c r="R22" s="716">
        <f ca="1">ROUND(S22*10000/B22,0)</f>
        <v>12500</v>
      </c>
      <c r="S22" s="24">
        <f ca="1">SUM(S24:S10000)</f>
        <v>886</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c r="C24" s="719">
        <v>1</v>
      </c>
      <c r="D24" s="720"/>
      <c r="E24" s="719">
        <v>1</v>
      </c>
      <c r="F24" s="720"/>
      <c r="G24" s="719">
        <v>1</v>
      </c>
      <c r="H24" s="720"/>
      <c r="I24" s="719">
        <v>1</v>
      </c>
      <c r="J24" s="720"/>
      <c r="K24" s="719">
        <v>1</v>
      </c>
      <c r="L24" s="720"/>
      <c r="M24" s="719">
        <v>1</v>
      </c>
      <c r="N24" s="720"/>
      <c r="O24" s="719">
        <v>1</v>
      </c>
      <c r="P24" s="720">
        <v>1</v>
      </c>
      <c r="Q24" s="719">
        <v>1</v>
      </c>
      <c r="R24" s="721">
        <f ca="1">'结果表（1）'!G20</f>
        <v>25817</v>
      </c>
      <c r="S24" s="719">
        <f t="shared" ref="S24:S54" ca="1" si="11">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'数据-基础表'!I13</f>
        <v>296.95999999999998</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0.5</v>
      </c>
      <c r="R25" s="716">
        <f ca="1">IF(B25="",0,ROUND($R$24*C25*E25*G25*I25*K25*M25*O25*Q25,0))</f>
        <v>12650</v>
      </c>
      <c r="S25" s="361">
        <f t="shared" ca="1" si="11"/>
        <v>376</v>
      </c>
    </row>
    <row r="26" spans="1:45">
      <c r="A26" s="159"/>
      <c r="B26" s="718">
        <f>'数据-基础表'!I14</f>
        <v>411.84</v>
      </c>
      <c r="C26" s="24">
        <f t="shared" ref="C26:C89" si="12">IF(B26="",1,(LOOKUP(B26,$3:$3,$4:$4)-LOOKUP($B$24,$3:$3,$4:$4)+100)/100)</f>
        <v>0.96</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-2</v>
      </c>
      <c r="Q26" s="24">
        <f t="shared" ref="Q26:Q89" si="19">(SUMIF($17:$17,P26,$18:$18)-SUMIF($17:$17,$P$24,$18:$18)+100)/100</f>
        <v>0.5</v>
      </c>
      <c r="R26" s="716">
        <f t="shared" ref="R26:R89" ca="1" si="20">IF(B26="",0,ROUND($R$24*C26*E26*G26*I26*K26*M26*O26*Q26,0))</f>
        <v>12392</v>
      </c>
      <c r="S26" s="361">
        <f t="shared" ca="1" si="11"/>
        <v>510</v>
      </c>
      <c r="V26" s="795">
        <f>B22*9842</f>
        <v>6976009.5999999996</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c r="V27" s="795">
        <v>1728015</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c r="V28" s="795">
        <f>V27/10000</f>
        <v>172.8015</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28684</v>
      </c>
      <c r="C2" s="2" t="s">
        <v>133</v>
      </c>
      <c r="D2" s="243"/>
      <c r="E2" s="243"/>
      <c r="F2" s="243"/>
      <c r="G2" s="243"/>
    </row>
    <row r="3" spans="1:7" s="244" customFormat="1" ht="18" customHeight="1" thickBot="1">
      <c r="A3" s="247" t="s">
        <v>85</v>
      </c>
      <c r="B3" s="248">
        <f ca="1">ROUND(B2*10000/'数据-汇总表'!E3,0)</f>
        <v>404684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708.8</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14</v>
      </c>
      <c r="D19" s="1036">
        <f>'数据-汇总表'!E3</f>
        <v>708.8</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236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213</v>
      </c>
      <c r="D34" s="261"/>
      <c r="E34" s="264"/>
      <c r="F34" s="301">
        <f>IF('数据-取费表'!B24=0,1,'数据-取费表'!N16)</f>
        <v>1</v>
      </c>
      <c r="G34" s="263" t="s">
        <v>116</v>
      </c>
    </row>
    <row r="35" spans="1:7" ht="13.5" customHeight="1">
      <c r="A35" s="951" t="s">
        <v>796</v>
      </c>
      <c r="B35" s="259" t="s">
        <v>60</v>
      </c>
      <c r="C35" s="264">
        <f>ROUND(C34*F35,0)</f>
        <v>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14</v>
      </c>
      <c r="D37" s="261">
        <f>'数据-汇总表'!E3</f>
        <v>708.8</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11</v>
      </c>
      <c r="D42" s="282"/>
      <c r="E42" s="282"/>
      <c r="F42" s="283"/>
      <c r="G42" s="3201" t="s">
        <v>121</v>
      </c>
    </row>
    <row r="43" spans="1:7" ht="13.5" customHeight="1">
      <c r="A43" s="951" t="s">
        <v>792</v>
      </c>
      <c r="B43" s="259" t="s">
        <v>1060</v>
      </c>
      <c r="C43" s="282">
        <f ca="1">ROUND(IF('数据-取费表'!B22&lt;=1,C39*F22*'数据-取费表'!B21/2,C39*(POWER((1+F22),'数据-取费表'!B21/2)-1)),0)</f>
        <v>0</v>
      </c>
      <c r="D43" s="282"/>
      <c r="E43" s="282"/>
      <c r="F43" s="283"/>
      <c r="G43" s="3202"/>
    </row>
    <row r="44" spans="1:7" ht="13.5" customHeight="1">
      <c r="A44" s="951" t="s">
        <v>793</v>
      </c>
      <c r="B44" s="259" t="s">
        <v>1062</v>
      </c>
      <c r="C44" s="282">
        <f ca="1">ROUND(IF('数据-取费表'!B22&lt;=1,C40*F22*'数据-取费表'!B21/2,C40*(POWER((1+F22),'数据-取费表'!B21/2)-1)),4)</f>
        <v>1E-3</v>
      </c>
      <c r="D44" s="282"/>
      <c r="E44" s="282"/>
      <c r="F44" s="283"/>
      <c r="G44" s="3203"/>
    </row>
    <row r="45" spans="1:7" s="258" customFormat="1" ht="13.5" customHeight="1">
      <c r="A45" s="948" t="s">
        <v>786</v>
      </c>
      <c r="B45" s="288" t="s">
        <v>112</v>
      </c>
      <c r="C45" s="289">
        <f>C46</f>
        <v>36</v>
      </c>
      <c r="D45" s="279">
        <f>C47</f>
        <v>3.0000000000000001E-3</v>
      </c>
      <c r="E45" s="280" t="s">
        <v>129</v>
      </c>
      <c r="F45" s="290"/>
      <c r="G45" s="291" t="s">
        <v>1068</v>
      </c>
    </row>
    <row r="46" spans="1:7" s="258" customFormat="1" ht="13.5" customHeight="1">
      <c r="A46" s="951" t="s">
        <v>794</v>
      </c>
      <c r="B46" s="292" t="s">
        <v>1061</v>
      </c>
      <c r="C46" s="293">
        <f>ROUND((C33+C39)*F27,0)</f>
        <v>36</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312</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271</v>
      </c>
      <c r="D51" s="276"/>
      <c r="E51" s="276"/>
      <c r="F51" s="308"/>
      <c r="G51" s="278" t="s">
        <v>64</v>
      </c>
    </row>
    <row r="52" spans="1:7" s="252" customFormat="1" ht="16.5" thickBot="1">
      <c r="A52" s="309" t="s">
        <v>65</v>
      </c>
      <c r="B52" s="310"/>
      <c r="C52" s="311">
        <f ca="1">C31+C51</f>
        <v>28684</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1" t="s">
        <v>156</v>
      </c>
      <c r="B1" s="3341"/>
      <c r="C1" s="3341"/>
      <c r="D1" s="3341"/>
      <c r="E1" s="3341"/>
      <c r="F1" s="334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2" t="s">
        <v>169</v>
      </c>
      <c r="B2" s="3342"/>
      <c r="C2" s="3342"/>
      <c r="D2" s="3342"/>
      <c r="E2" s="3342"/>
      <c r="F2" s="334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1" t="s">
        <v>867</v>
      </c>
      <c r="B1" s="334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43914</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I14" sqref="I14"/>
    </sheetView>
  </sheetViews>
  <sheetFormatPr defaultColWidth="9" defaultRowHeight="13.5"/>
  <cols>
    <col min="1" max="1" width="5.75" style="2971" customWidth="1"/>
    <col min="2" max="2" width="17" style="3008" customWidth="1"/>
    <col min="3" max="3" width="13.625" style="3009" customWidth="1"/>
    <col min="4" max="5" width="16" style="3009" customWidth="1"/>
    <col min="6" max="6" width="6.75" style="3009" bestFit="1" customWidth="1"/>
    <col min="7" max="7" width="13.25" style="3010" bestFit="1" customWidth="1"/>
    <col min="8" max="8" width="40.875" style="3011" bestFit="1" customWidth="1"/>
    <col min="9" max="9" width="10.625" style="3011" customWidth="1"/>
    <col min="10" max="10" width="10.5" style="3012" customWidth="1"/>
    <col min="11" max="11" width="8.75" style="3012" bestFit="1" customWidth="1"/>
    <col min="12" max="12" width="10.375" style="3013" customWidth="1"/>
    <col min="13" max="13" width="10.75" style="2970" customWidth="1"/>
    <col min="14" max="15" width="9" style="2971"/>
    <col min="16" max="16" width="13.375" style="2972" customWidth="1"/>
    <col min="17" max="16384" width="9" style="2971"/>
  </cols>
  <sheetData>
    <row r="1" spans="1:17" ht="40.5" customHeight="1">
      <c r="A1" s="3345" t="s">
        <v>3058</v>
      </c>
      <c r="B1" s="3345"/>
      <c r="C1" s="3345"/>
      <c r="D1" s="3345"/>
      <c r="E1" s="3345"/>
      <c r="F1" s="3345"/>
      <c r="G1" s="3345"/>
      <c r="H1" s="3345"/>
      <c r="I1" s="3345"/>
      <c r="J1" s="3345"/>
      <c r="K1" s="3345"/>
      <c r="L1" s="3345"/>
    </row>
    <row r="2" spans="1:17" s="2974" customFormat="1" ht="29.25" customHeight="1">
      <c r="A2" s="2973" t="s">
        <v>3059</v>
      </c>
      <c r="D2" s="2975"/>
      <c r="E2" s="2975"/>
      <c r="F2" s="2975"/>
      <c r="G2" s="2976"/>
      <c r="H2" s="2977"/>
      <c r="I2" s="2977"/>
      <c r="J2" s="2978"/>
      <c r="K2" s="2978"/>
      <c r="L2" s="2979"/>
      <c r="M2" s="2980"/>
      <c r="P2" s="2981"/>
    </row>
    <row r="3" spans="1:17" s="2986" customFormat="1" ht="24" customHeight="1">
      <c r="A3" s="2982" t="s">
        <v>608</v>
      </c>
      <c r="B3" s="2982" t="s">
        <v>3060</v>
      </c>
      <c r="C3" s="2982" t="s">
        <v>3061</v>
      </c>
      <c r="D3" s="2982" t="s">
        <v>3062</v>
      </c>
      <c r="E3" s="2982" t="s">
        <v>3063</v>
      </c>
      <c r="F3" s="2982" t="s">
        <v>3064</v>
      </c>
      <c r="G3" s="2983" t="s">
        <v>3065</v>
      </c>
      <c r="H3" s="2982" t="s">
        <v>3066</v>
      </c>
      <c r="I3" s="2982" t="s">
        <v>3067</v>
      </c>
      <c r="J3" s="2982" t="s">
        <v>3068</v>
      </c>
      <c r="K3" s="2982" t="s">
        <v>3069</v>
      </c>
      <c r="L3" s="2984" t="s">
        <v>3070</v>
      </c>
      <c r="M3" s="2984" t="s">
        <v>3071</v>
      </c>
      <c r="N3" s="2982" t="s">
        <v>3072</v>
      </c>
      <c r="O3" s="2982" t="s">
        <v>3073</v>
      </c>
      <c r="P3" s="2985" t="s">
        <v>3074</v>
      </c>
    </row>
    <row r="4" spans="1:17" s="2974" customFormat="1" ht="49.5" customHeight="1">
      <c r="A4" s="2987">
        <v>1</v>
      </c>
      <c r="B4" s="2987" t="s">
        <v>3075</v>
      </c>
      <c r="C4" s="2988" t="s">
        <v>3076</v>
      </c>
      <c r="D4" s="2989" t="s">
        <v>3077</v>
      </c>
      <c r="E4" s="2989" t="s">
        <v>3078</v>
      </c>
      <c r="F4" s="2989">
        <v>2</v>
      </c>
      <c r="G4" s="2990">
        <f>2163.25-631.32</f>
        <v>1531.9299999999998</v>
      </c>
      <c r="H4" s="2991" t="s">
        <v>3079</v>
      </c>
      <c r="I4" s="2991" t="s">
        <v>3080</v>
      </c>
      <c r="J4" s="2992" t="s">
        <v>3081</v>
      </c>
      <c r="K4" s="2993" t="s">
        <v>3082</v>
      </c>
      <c r="L4" s="2994"/>
      <c r="M4" s="2995"/>
      <c r="N4" s="2996"/>
      <c r="O4" s="2996"/>
      <c r="P4" s="2997"/>
    </row>
    <row r="5" spans="1:17" s="2974" customFormat="1" ht="49.5" customHeight="1">
      <c r="A5" s="2987">
        <v>2</v>
      </c>
      <c r="B5" s="2987" t="s">
        <v>3083</v>
      </c>
      <c r="C5" s="2988" t="s">
        <v>3076</v>
      </c>
      <c r="D5" s="2989" t="s">
        <v>3077</v>
      </c>
      <c r="E5" s="2989" t="s">
        <v>3084</v>
      </c>
      <c r="F5" s="2989">
        <v>1</v>
      </c>
      <c r="G5" s="2990">
        <v>631.32000000000005</v>
      </c>
      <c r="H5" s="2991" t="s">
        <v>3085</v>
      </c>
      <c r="I5" s="2991" t="s">
        <v>3086</v>
      </c>
      <c r="J5" s="2992" t="s">
        <v>3087</v>
      </c>
      <c r="K5" s="2993" t="s">
        <v>3082</v>
      </c>
      <c r="L5" s="2994"/>
      <c r="M5" s="2995"/>
      <c r="N5" s="2996"/>
      <c r="O5" s="2996"/>
      <c r="P5" s="2997"/>
    </row>
    <row r="6" spans="1:17" s="2974" customFormat="1" ht="49.5" customHeight="1">
      <c r="A6" s="2987">
        <v>3</v>
      </c>
      <c r="B6" s="2987" t="s">
        <v>3088</v>
      </c>
      <c r="C6" s="2988" t="s">
        <v>3089</v>
      </c>
      <c r="D6" s="2989" t="s">
        <v>3090</v>
      </c>
      <c r="E6" s="2989" t="s">
        <v>3091</v>
      </c>
      <c r="F6" s="2998">
        <v>2</v>
      </c>
      <c r="G6" s="2999">
        <v>708.8</v>
      </c>
      <c r="H6" s="2993" t="s">
        <v>3092</v>
      </c>
      <c r="I6" s="2993" t="s">
        <v>3093</v>
      </c>
      <c r="J6" s="2992" t="s">
        <v>3094</v>
      </c>
      <c r="K6" s="2993" t="s">
        <v>3095</v>
      </c>
      <c r="L6" s="2994"/>
      <c r="M6" s="2995"/>
      <c r="N6" s="2996"/>
      <c r="O6" s="2996"/>
      <c r="P6" s="2997"/>
      <c r="Q6" s="3000"/>
    </row>
    <row r="7" spans="1:17" s="2974" customFormat="1" ht="49.5" customHeight="1">
      <c r="A7" s="2987">
        <v>4</v>
      </c>
      <c r="B7" s="2987" t="s">
        <v>3096</v>
      </c>
      <c r="C7" s="2988" t="s">
        <v>3097</v>
      </c>
      <c r="D7" s="2989" t="s">
        <v>3098</v>
      </c>
      <c r="E7" s="2989" t="s">
        <v>3099</v>
      </c>
      <c r="F7" s="2998">
        <v>1</v>
      </c>
      <c r="G7" s="2999">
        <v>693.12</v>
      </c>
      <c r="H7" s="2993" t="s">
        <v>3100</v>
      </c>
      <c r="I7" s="2993" t="s">
        <v>3101</v>
      </c>
      <c r="J7" s="2992" t="s">
        <v>3102</v>
      </c>
      <c r="K7" s="2993" t="s">
        <v>3095</v>
      </c>
      <c r="L7" s="2994"/>
      <c r="M7" s="2995"/>
      <c r="N7" s="2996"/>
      <c r="O7" s="2996"/>
      <c r="P7" s="2997"/>
    </row>
    <row r="8" spans="1:17" s="2986" customFormat="1" ht="49.5" customHeight="1">
      <c r="A8" s="2982">
        <v>4</v>
      </c>
      <c r="B8" s="2982" t="s">
        <v>3103</v>
      </c>
      <c r="C8" s="3001"/>
      <c r="D8" s="3001"/>
      <c r="E8" s="3001"/>
      <c r="F8" s="3001">
        <f>SUM(F4:F7)</f>
        <v>6</v>
      </c>
      <c r="G8" s="3002">
        <f>SUM(G4:G7)</f>
        <v>3565.17</v>
      </c>
      <c r="H8" s="3003"/>
      <c r="I8" s="3003"/>
      <c r="J8" s="2982"/>
      <c r="K8" s="2982"/>
      <c r="L8" s="3004">
        <f>SUM(L4:L7)</f>
        <v>0</v>
      </c>
      <c r="M8" s="3005">
        <f>SUM(M4:M7)</f>
        <v>0</v>
      </c>
      <c r="N8" s="3006"/>
      <c r="O8" s="3006"/>
      <c r="P8" s="3007"/>
    </row>
  </sheetData>
  <mergeCells count="1">
    <mergeCell ref="A1:L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1635</v>
      </c>
      <c r="B2" s="3027" t="s">
        <v>1636</v>
      </c>
      <c r="C2" s="3027" t="s">
        <v>1637</v>
      </c>
      <c r="D2" s="3027" t="str">
        <f>'结果表（1）'!D116</f>
        <v>出让国有建设用地使用权价值</v>
      </c>
      <c r="E2" s="3027"/>
      <c r="F2" s="3027" t="str">
        <f>'结果表（1）'!F116</f>
        <v>在建建筑物价值</v>
      </c>
      <c r="G2" s="3027"/>
      <c r="H2" s="3027" t="str">
        <f>IF(项目基本情况!B9="房地产市场价值","房地产市场价值","房地产价值")</f>
        <v>房地产价值</v>
      </c>
      <c r="I2" s="3027"/>
    </row>
    <row r="3" spans="1:9" ht="15">
      <c r="A3" s="3028"/>
      <c r="B3" s="3028"/>
      <c r="C3" s="3028"/>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708.8</v>
      </c>
      <c r="C4" s="1044">
        <f>项目基本情况!C18</f>
        <v>0</v>
      </c>
      <c r="D4" s="1044" t="e">
        <f ca="1">'结果表（1）'!D118</f>
        <v>#REF!</v>
      </c>
      <c r="E4" s="1044" t="e">
        <f ca="1">'结果表（1）'!E118</f>
        <v>#REF!</v>
      </c>
      <c r="F4" s="1044" t="e">
        <f ca="1">'结果表（1）'!F118</f>
        <v>#REF!</v>
      </c>
      <c r="G4" s="1044" t="e">
        <f ca="1">'结果表（1）'!G118</f>
        <v>#REF!</v>
      </c>
      <c r="H4" s="1044">
        <f ca="1">'结果表（1）'!H118</f>
        <v>766</v>
      </c>
      <c r="I4" s="1044">
        <f ca="1">'结果表（1）'!I118</f>
        <v>10807</v>
      </c>
    </row>
    <row r="5" spans="1:9" ht="30" customHeight="1">
      <c r="A5" s="3028" t="s">
        <v>1634</v>
      </c>
      <c r="B5" s="3028"/>
      <c r="C5" s="3028"/>
      <c r="D5" s="3029" t="e">
        <f ca="1">'结果表（1）'!D119</f>
        <v>#REF!</v>
      </c>
      <c r="E5" s="3029"/>
      <c r="F5" s="3029" t="e">
        <f ca="1">'结果表（1）'!F119</f>
        <v>#REF!</v>
      </c>
      <c r="G5" s="3029"/>
      <c r="H5" s="3029" t="str">
        <f ca="1">'结果表（1）'!H119</f>
        <v>柒佰陆拾陆万元整</v>
      </c>
      <c r="I5" s="3029"/>
    </row>
    <row r="6" spans="1:9" ht="15.75">
      <c r="A6" s="3030" t="str">
        <f>'结果表（1）'!A120</f>
        <v>估价师知悉的法定优先受偿款</v>
      </c>
      <c r="B6" s="3030"/>
      <c r="C6" s="3030"/>
      <c r="D6" s="3030">
        <f>'结果表（1）'!D120</f>
        <v>0</v>
      </c>
      <c r="E6" s="3030"/>
      <c r="F6" s="3030"/>
      <c r="G6" s="3030"/>
      <c r="H6" s="3030"/>
      <c r="I6" s="3030"/>
    </row>
    <row r="7" spans="1:9" ht="15">
      <c r="A7" s="3028" t="s">
        <v>1634</v>
      </c>
      <c r="B7" s="3028"/>
      <c r="C7" s="3028"/>
      <c r="D7" s="3031" t="str">
        <f>'结果表（1）'!D121</f>
        <v>零元整</v>
      </c>
      <c r="E7" s="3032"/>
      <c r="F7" s="3032"/>
      <c r="G7" s="3032"/>
      <c r="H7" s="3032"/>
      <c r="I7" s="3033"/>
    </row>
    <row r="8" spans="1:9" ht="15.75">
      <c r="A8" s="3030" t="str">
        <f>'结果表（1）'!A122</f>
        <v>房地产抵押价值</v>
      </c>
      <c r="B8" s="3030"/>
      <c r="C8" s="3030"/>
      <c r="D8" s="3030">
        <f ca="1">'结果表（1）'!D122</f>
        <v>766</v>
      </c>
      <c r="E8" s="3030"/>
      <c r="F8" s="3030"/>
      <c r="G8" s="3030"/>
      <c r="H8" s="3030"/>
      <c r="I8" s="3030"/>
    </row>
    <row r="9" spans="1:9" ht="15">
      <c r="A9" s="3028" t="s">
        <v>1634</v>
      </c>
      <c r="B9" s="3028"/>
      <c r="C9" s="3028"/>
      <c r="D9" s="3029" t="str">
        <f ca="1">'结果表（1）'!D123</f>
        <v>柒佰陆拾陆万元整</v>
      </c>
      <c r="E9" s="3029"/>
      <c r="F9" s="3029"/>
      <c r="G9" s="3029"/>
      <c r="H9" s="3029"/>
      <c r="I9" s="3029"/>
    </row>
    <row r="10" spans="1:9" ht="15.75">
      <c r="A10" s="3030" t="str">
        <f>'结果表（1）'!A124</f>
        <v/>
      </c>
      <c r="B10" s="3030"/>
      <c r="C10" s="3030"/>
      <c r="D10" s="3030" t="str">
        <f>'结果表（1）'!D124</f>
        <v>——</v>
      </c>
      <c r="E10" s="3030"/>
      <c r="F10" s="3030"/>
      <c r="G10" s="3030"/>
      <c r="H10" s="3030"/>
      <c r="I10" s="3030"/>
    </row>
    <row r="11" spans="1:9" ht="15">
      <c r="A11" s="3028" t="s">
        <v>1634</v>
      </c>
      <c r="B11" s="3028"/>
      <c r="C11" s="3028"/>
      <c r="D11" s="3029" t="e">
        <f>'结果表（1）'!D125</f>
        <v>#VALUE!</v>
      </c>
      <c r="E11" s="3029"/>
      <c r="F11" s="3029"/>
      <c r="G11" s="3029"/>
      <c r="H11" s="3029"/>
      <c r="I11" s="3029"/>
    </row>
    <row r="12" spans="1:9" ht="15.75">
      <c r="A12" s="3030" t="str">
        <f>'结果表（1）'!A126</f>
        <v>抵押净值</v>
      </c>
      <c r="B12" s="3030"/>
      <c r="C12" s="3030"/>
      <c r="D12" s="3030">
        <f ca="1">'结果表（1）'!D126</f>
        <v>332</v>
      </c>
      <c r="E12" s="3030"/>
      <c r="F12" s="3030"/>
      <c r="G12" s="3030"/>
      <c r="H12" s="3030"/>
      <c r="I12" s="3030"/>
    </row>
    <row r="13" spans="1:9" ht="15.75" thickBot="1">
      <c r="A13" s="3034" t="s">
        <v>1634</v>
      </c>
      <c r="B13" s="3034"/>
      <c r="C13" s="3034"/>
      <c r="D13" s="3035" t="str">
        <f ca="1">'结果表（1）'!D127</f>
        <v>叁佰叁拾贰万元整</v>
      </c>
      <c r="E13" s="3035"/>
      <c r="F13" s="3035"/>
      <c r="G13" s="3035"/>
      <c r="H13" s="3035"/>
      <c r="I13" s="3035"/>
    </row>
    <row r="14" spans="1:9" ht="15" thickTop="1">
      <c r="A14" s="3036" t="s">
        <v>1639</v>
      </c>
      <c r="B14" s="3036"/>
      <c r="C14" s="3036"/>
      <c r="D14" s="3036"/>
      <c r="E14" s="3036"/>
      <c r="F14" s="3036"/>
      <c r="G14" s="3036"/>
      <c r="H14" s="3036"/>
      <c r="I14" s="3036"/>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37" t="s">
        <v>1656</v>
      </c>
      <c r="B1" s="3037"/>
      <c r="C1" s="3037"/>
      <c r="D1" s="3037"/>
    </row>
    <row r="2" spans="1:4" ht="18">
      <c r="A2" s="3038" t="s">
        <v>1640</v>
      </c>
      <c r="B2" s="3038"/>
      <c r="C2" s="3038"/>
      <c r="D2" s="3038"/>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38" t="s">
        <v>1646</v>
      </c>
      <c r="B6" s="3038"/>
      <c r="C6" s="3038"/>
      <c r="D6" s="3038"/>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39" t="s">
        <v>1649</v>
      </c>
      <c r="B11" s="3040"/>
      <c r="C11" s="3040"/>
      <c r="D11" s="3040"/>
    </row>
    <row r="12" spans="1:4" ht="15.75">
      <c r="A12" s="30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1"/>
      <c r="C12" s="3041"/>
      <c r="D12" s="3041"/>
    </row>
    <row r="13" spans="1:4" ht="30" customHeight="1">
      <c r="A13" s="30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1"/>
      <c r="C13" s="3041"/>
      <c r="D13" s="3041"/>
    </row>
    <row r="14" spans="1:4" ht="15.75" customHeight="1">
      <c r="A14" s="3040" t="str">
        <f>IF(项目基本情况!B8="抵押","4.本次评估估价师所知悉的法定优先受偿款情况说明如下：","——")</f>
        <v>4.本次评估估价师所知悉的法定优先受偿款情况说明如下：</v>
      </c>
      <c r="B14" s="3041"/>
      <c r="C14" s="3041"/>
      <c r="D14" s="3041"/>
    </row>
    <row r="15" spans="1:4" ht="42" customHeight="1">
      <c r="A15" s="30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0"/>
      <c r="C15" s="3040"/>
      <c r="D15" s="3040"/>
    </row>
    <row r="16" spans="1:4" ht="30" customHeight="1">
      <c r="A16" s="3043" t="s">
        <v>1650</v>
      </c>
      <c r="B16" s="3043"/>
      <c r="C16" s="3043"/>
      <c r="D16" s="3043"/>
    </row>
    <row r="17" spans="1:4" ht="144" customHeight="1">
      <c r="A17" s="3043" t="s">
        <v>1651</v>
      </c>
      <c r="B17" s="3043"/>
      <c r="C17" s="3043"/>
      <c r="D17" s="3043"/>
    </row>
    <row r="18" spans="1:4" ht="15.75" customHeight="1">
      <c r="A18" s="3040" t="str">
        <f>IF(项目基本情况!B8="抵押",'结果表（1）'!K120,"——")</f>
        <v>故，本次评估不存在估价师知悉的法定优先受偿款</v>
      </c>
      <c r="B18" s="3040"/>
      <c r="C18" s="3040"/>
      <c r="D18" s="3040"/>
    </row>
    <row r="19" spans="1:4" ht="46.5" customHeight="1">
      <c r="A19" s="30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0"/>
      <c r="C19" s="3040"/>
      <c r="D19" s="3040"/>
    </row>
    <row r="20" spans="1:4" ht="57.75" customHeight="1">
      <c r="A20" s="3040"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0"/>
      <c r="C20" s="3040"/>
      <c r="D20" s="3040"/>
    </row>
    <row r="21" spans="1:4" ht="57.75" customHeight="1">
      <c r="A21" s="3044"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4"/>
      <c r="C21" s="3044"/>
      <c r="D21" s="3044"/>
    </row>
    <row r="22" spans="1:4" ht="18.75" customHeight="1">
      <c r="A22" s="3045" t="s">
        <v>1652</v>
      </c>
      <c r="B22" s="3045"/>
      <c r="C22" s="3045"/>
      <c r="D22" s="3045"/>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42">
        <v>42551</v>
      </c>
      <c r="D31" s="30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51" t="s">
        <v>1663</v>
      </c>
      <c r="B15" s="3046" t="s">
        <v>136</v>
      </c>
      <c r="C15" s="3047"/>
    </row>
    <row r="16" spans="1:7" ht="13.5">
      <c r="A16" s="3052"/>
      <c r="B16" s="3046" t="s">
        <v>69</v>
      </c>
      <c r="C16" s="3047"/>
    </row>
    <row r="17" spans="1:3" ht="13.5">
      <c r="A17" s="3052"/>
      <c r="B17" s="3049" t="s">
        <v>1664</v>
      </c>
      <c r="C17" s="1999" t="s">
        <v>1663</v>
      </c>
    </row>
    <row r="18" spans="1:3" ht="13.5">
      <c r="A18" s="3052"/>
      <c r="B18" s="3049"/>
      <c r="C18" s="1999" t="s">
        <v>1665</v>
      </c>
    </row>
    <row r="19" spans="1:3" ht="13.5">
      <c r="A19" s="3052"/>
      <c r="B19" s="3049"/>
      <c r="C19" s="1999" t="s">
        <v>1666</v>
      </c>
    </row>
    <row r="20" spans="1:3" ht="13.5">
      <c r="A20" s="3053"/>
      <c r="B20" s="3048" t="s">
        <v>1667</v>
      </c>
      <c r="C20" s="3047"/>
    </row>
    <row r="21" spans="1:3" ht="13.5">
      <c r="A21" s="2000" t="s">
        <v>1668</v>
      </c>
      <c r="B21" s="2001"/>
      <c r="C21" s="2002"/>
    </row>
    <row r="22" spans="1:3" ht="13.5">
      <c r="A22" s="3050" t="s">
        <v>1669</v>
      </c>
      <c r="B22" s="3048" t="s">
        <v>1670</v>
      </c>
      <c r="C22" s="3047"/>
    </row>
    <row r="23" spans="1:3" ht="13.5">
      <c r="A23" s="3050"/>
      <c r="B23" s="3048" t="s">
        <v>1671</v>
      </c>
      <c r="C23" s="3047"/>
    </row>
    <row r="24" spans="1:3" ht="13.5">
      <c r="A24" s="3050"/>
      <c r="B24" s="3048" t="s">
        <v>1672</v>
      </c>
      <c r="C24" s="3047"/>
    </row>
    <row r="25" spans="1:3" ht="13.5">
      <c r="A25" s="3050"/>
      <c r="B25" s="3049" t="s">
        <v>1673</v>
      </c>
      <c r="C25" s="1999" t="s">
        <v>1674</v>
      </c>
    </row>
    <row r="26" spans="1:3" ht="13.5">
      <c r="A26" s="3050"/>
      <c r="B26" s="3049"/>
      <c r="C26" s="1999" t="s">
        <v>1675</v>
      </c>
    </row>
    <row r="27" spans="1:3" ht="13.5">
      <c r="A27" s="3050"/>
      <c r="B27" s="3049"/>
      <c r="C27" s="1999" t="s">
        <v>1676</v>
      </c>
    </row>
    <row r="28" spans="1:3" ht="13.5">
      <c r="A28" s="3050"/>
      <c r="B28" s="3049"/>
      <c r="C28" s="1999" t="s">
        <v>1677</v>
      </c>
    </row>
    <row r="29" spans="1:3" ht="13.5">
      <c r="A29" s="3050"/>
      <c r="B29" s="3049"/>
      <c r="C29" s="1999" t="s">
        <v>1678</v>
      </c>
    </row>
    <row r="30" spans="1:3" ht="13.5">
      <c r="A30" s="3050"/>
      <c r="B30" s="3049"/>
      <c r="C30" s="1999" t="s">
        <v>1679</v>
      </c>
    </row>
    <row r="31" spans="1:3" ht="13.5">
      <c r="A31" s="3050"/>
      <c r="B31" s="3049"/>
      <c r="C31" s="1999" t="s">
        <v>1680</v>
      </c>
    </row>
    <row r="32" spans="1:3" ht="13.5">
      <c r="A32" s="3050"/>
      <c r="B32" s="3049"/>
      <c r="C32" s="1999" t="s">
        <v>1681</v>
      </c>
    </row>
    <row r="33" spans="1:3" ht="13.5">
      <c r="A33" s="3050"/>
      <c r="B33" s="304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43915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3045</v>
      </c>
      <c r="B14" s="1022">
        <f ca="1">IF(C14&lt;B2,"已过期",1120040230)</f>
        <v>1120040230</v>
      </c>
      <c r="C14" s="2348">
        <v>44864</v>
      </c>
      <c r="D14" s="2351" t="s">
        <v>3045</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1702" t="s">
        <v>3057</v>
      </c>
      <c r="E23" s="1022">
        <v>96010063</v>
      </c>
      <c r="F23" s="1030">
        <v>47118</v>
      </c>
    </row>
    <row r="24" spans="1:7" s="1024" customFormat="1" ht="24" customHeight="1">
      <c r="A24" s="1703" t="s">
        <v>1328</v>
      </c>
      <c r="B24" s="1703" t="s">
        <v>1328</v>
      </c>
      <c r="C24" s="2349" t="s">
        <v>1328</v>
      </c>
      <c r="D24" s="2352" t="s">
        <v>1328</v>
      </c>
      <c r="E24" s="1703" t="s">
        <v>1328</v>
      </c>
      <c r="F24" s="1703" t="s">
        <v>1328</v>
      </c>
    </row>
    <row r="25" spans="1:7" ht="24" customHeight="1">
      <c r="A25" s="3054" t="s">
        <v>842</v>
      </c>
      <c r="B25" s="3054"/>
      <c r="C25" s="3054"/>
      <c r="D25" s="3054"/>
      <c r="E25" s="3054"/>
      <c r="F25" s="3054"/>
      <c r="G25" s="3054"/>
    </row>
    <row r="26" spans="1:7" s="1025" customFormat="1" ht="24" customHeight="1">
      <c r="A26" s="3055" t="s">
        <v>843</v>
      </c>
      <c r="B26" s="3055"/>
      <c r="C26" s="3056"/>
      <c r="D26" s="3057" t="s">
        <v>844</v>
      </c>
      <c r="E26" s="3055"/>
      <c r="F26" s="305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2020-03-25T02:13:34Z</dcterms:modified>
</cp:coreProperties>
</file>