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30" windowWidth="11385" windowHeight="9465" tabRatio="899" firstSheet="9"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17" i="74"/>
  <c r="G17"/>
  <c r="D17"/>
  <c r="B17"/>
  <c r="I16"/>
  <c r="G16"/>
  <c r="D16"/>
  <c r="B16"/>
  <c r="I15"/>
  <c r="G15"/>
  <c r="D15"/>
  <c r="B15"/>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B3"/>
  <c r="C20" i="9"/>
  <c r="D20"/>
  <c r="G20"/>
  <c r="R24" i="31"/>
  <c r="S24"/>
  <c r="R25"/>
  <c r="S25"/>
  <c r="R26"/>
  <c r="S26"/>
  <c r="S22"/>
  <c r="B20"/>
  <c r="C19" i="78"/>
  <c r="D19"/>
  <c r="G19"/>
  <c r="C32"/>
  <c r="H118"/>
  <c r="H101"/>
  <c r="H107"/>
  <c r="D122"/>
  <c r="G14" i="74"/>
  <c r="C14"/>
  <c r="D14"/>
  <c r="B14"/>
  <c r="I91" i="78"/>
  <c r="C88"/>
  <c r="J90"/>
  <c r="E111"/>
  <c r="M49"/>
  <c r="D45"/>
  <c r="D55"/>
  <c r="M53"/>
  <c r="C85"/>
  <c r="C91"/>
  <c r="C92"/>
  <c r="C93"/>
  <c r="C94"/>
  <c r="C86"/>
  <c r="C95"/>
  <c r="C96"/>
  <c r="C97"/>
  <c r="D58"/>
  <c r="D56"/>
  <c r="M54"/>
  <c r="N57"/>
  <c r="N59"/>
  <c r="H111"/>
  <c r="D126"/>
  <c r="D127"/>
  <c r="A126"/>
  <c r="E109"/>
  <c r="H109"/>
  <c r="D124"/>
  <c r="D125"/>
  <c r="A124"/>
  <c r="E107"/>
  <c r="C17" i="9"/>
  <c r="D17"/>
  <c r="C18"/>
  <c r="D18"/>
  <c r="C17" i="78"/>
  <c r="D17"/>
  <c r="C18"/>
  <c r="D18"/>
  <c r="C24"/>
  <c r="H105"/>
  <c r="H106"/>
  <c r="H103"/>
  <c r="D123"/>
  <c r="A122"/>
  <c r="D120"/>
  <c r="D121"/>
  <c r="A120"/>
  <c r="K120"/>
  <c r="H119"/>
  <c r="D35"/>
  <c r="C35"/>
  <c r="F118"/>
  <c r="F119"/>
  <c r="C34"/>
  <c r="D118"/>
  <c r="D119"/>
  <c r="M18"/>
  <c r="B118"/>
  <c r="I118"/>
  <c r="G118"/>
  <c r="E118"/>
  <c r="M19"/>
  <c r="C118"/>
  <c r="S2" i="4"/>
  <c r="A118" i="78"/>
  <c r="N61"/>
  <c r="H112"/>
  <c r="H110"/>
  <c r="H108"/>
  <c r="C105"/>
  <c r="H104"/>
  <c r="C104"/>
  <c r="R22" i="31"/>
  <c r="B21"/>
  <c r="D20" i="78"/>
  <c r="D103"/>
  <c r="C20"/>
  <c r="C103"/>
  <c r="H102"/>
  <c r="D102"/>
  <c r="C102"/>
  <c r="D101"/>
  <c r="C101"/>
  <c r="D89"/>
  <c r="C89"/>
  <c r="C87"/>
  <c r="D93"/>
  <c r="E96"/>
  <c r="E97"/>
  <c r="E90"/>
  <c r="C72"/>
  <c r="C76"/>
  <c r="D77"/>
  <c r="C77"/>
  <c r="C74"/>
  <c r="D78"/>
  <c r="C78"/>
  <c r="C73"/>
  <c r="C79"/>
  <c r="C80"/>
  <c r="E80"/>
  <c r="E81"/>
  <c r="C81"/>
  <c r="H77"/>
  <c r="L63"/>
  <c r="M63"/>
  <c r="L64"/>
  <c r="M64"/>
  <c r="L65"/>
  <c r="M65"/>
  <c r="L66"/>
  <c r="M66"/>
  <c r="L67"/>
  <c r="M67"/>
  <c r="L68"/>
  <c r="M68"/>
  <c r="M69"/>
  <c r="N69"/>
  <c r="D68"/>
  <c r="C64"/>
  <c r="C63"/>
  <c r="C67"/>
  <c r="C68"/>
  <c r="D48"/>
  <c r="M52"/>
  <c r="I55"/>
  <c r="D59"/>
  <c r="M55"/>
  <c r="M56"/>
  <c r="J55"/>
  <c r="J56"/>
  <c r="J57"/>
  <c r="J59"/>
  <c r="J61"/>
  <c r="N60"/>
  <c r="F59"/>
  <c r="E59"/>
  <c r="N58"/>
  <c r="P57"/>
  <c r="N56"/>
  <c r="K56"/>
  <c r="F56"/>
  <c r="O55"/>
  <c r="N55"/>
  <c r="K55"/>
  <c r="F55"/>
  <c r="O54"/>
  <c r="N54"/>
  <c r="F54"/>
  <c r="D54"/>
  <c r="O53"/>
  <c r="N53"/>
  <c r="F53"/>
  <c r="D53"/>
  <c r="F48"/>
  <c r="O52"/>
  <c r="E48"/>
  <c r="N52"/>
  <c r="F52"/>
  <c r="D52"/>
  <c r="K49"/>
  <c r="M48"/>
  <c r="M47"/>
  <c r="D34"/>
  <c r="F33"/>
  <c r="D27"/>
  <c r="C25"/>
  <c r="D22"/>
  <c r="L19"/>
  <c r="G21"/>
  <c r="D21"/>
  <c r="C21"/>
  <c r="G20"/>
  <c r="L18"/>
  <c r="L4"/>
  <c r="K4"/>
  <c r="A2"/>
  <c r="H1"/>
  <c r="B94" i="33"/>
  <c r="F29"/>
  <c r="AA29"/>
  <c r="R48"/>
  <c r="H29"/>
  <c r="AB29"/>
  <c r="T48"/>
  <c r="J29"/>
  <c r="AC29"/>
  <c r="V48"/>
  <c r="R49"/>
  <c r="C49"/>
  <c r="B3"/>
  <c r="B26" i="31"/>
  <c r="B25"/>
  <c r="A6" i="1"/>
  <c r="A7"/>
  <c r="A8"/>
  <c r="G1" i="15"/>
  <c r="F19" i="6"/>
  <c r="E19"/>
  <c r="K6" i="1"/>
  <c r="BB14" i="3"/>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3"/>
  <c r="BA13"/>
  <c r="AZ13"/>
  <c r="AZ5"/>
  <c r="H14"/>
  <c r="G14"/>
  <c r="H15"/>
  <c r="G15"/>
  <c r="H13"/>
  <c r="G13"/>
  <c r="G5"/>
  <c r="B3"/>
  <c r="AY6"/>
  <c r="D3" i="6"/>
  <c r="E3"/>
  <c r="D19"/>
  <c r="BQ5" i="3"/>
  <c r="BS5"/>
  <c r="F28" i="6"/>
  <c r="BR5" i="3"/>
  <c r="BT5"/>
  <c r="G28" i="6"/>
  <c r="E28"/>
  <c r="BA5" i="3"/>
  <c r="BB5"/>
  <c r="E8" i="6"/>
  <c r="F20"/>
  <c r="F27"/>
  <c r="E20"/>
  <c r="E21"/>
  <c r="E27"/>
  <c r="K19"/>
  <c r="L19"/>
  <c r="M19"/>
  <c r="I19"/>
  <c r="H19"/>
  <c r="R19"/>
  <c r="M6" i="1"/>
  <c r="S6"/>
  <c r="T6"/>
  <c r="E15" i="4"/>
  <c r="F6" i="1"/>
  <c r="M47" i="15"/>
  <c r="R47" i="33"/>
  <c r="T47"/>
  <c r="V47"/>
  <c r="I7"/>
  <c r="G7"/>
  <c r="E7"/>
  <c r="K7" i="1"/>
  <c r="K8"/>
  <c r="K9"/>
  <c r="K10"/>
  <c r="K11"/>
  <c r="K12"/>
  <c r="K13"/>
  <c r="K14"/>
  <c r="BM5" i="3"/>
  <c r="BO5"/>
  <c r="F29" i="6"/>
  <c r="BN5" i="3"/>
  <c r="BP5"/>
  <c r="G29" i="6"/>
  <c r="E29"/>
  <c r="K15" i="1"/>
  <c r="K16"/>
  <c r="Y6"/>
  <c r="Q8"/>
  <c r="Q7"/>
  <c r="N8"/>
  <c r="N7"/>
  <c r="N6"/>
  <c r="L8"/>
  <c r="J8"/>
  <c r="I8"/>
  <c r="H8"/>
  <c r="L7"/>
  <c r="J7"/>
  <c r="I7"/>
  <c r="H7"/>
  <c r="M8" i="77"/>
  <c r="L8"/>
  <c r="G4"/>
  <c r="G8"/>
  <c r="F8"/>
  <c r="AB7" i="71"/>
  <c r="AB6"/>
  <c r="AB5"/>
  <c r="AA6"/>
  <c r="AA5"/>
  <c r="Y5"/>
  <c r="Y6"/>
  <c r="X5"/>
  <c r="X6"/>
  <c r="AH5"/>
  <c r="AG5"/>
  <c r="AE5"/>
  <c r="AF5"/>
  <c r="AD5"/>
  <c r="Q5"/>
  <c r="Q6"/>
  <c r="P5"/>
  <c r="P6"/>
  <c r="O5"/>
  <c r="O6"/>
  <c r="Z5"/>
  <c r="N5"/>
  <c r="N6"/>
  <c r="F6"/>
  <c r="F5"/>
  <c r="E6"/>
  <c r="E5"/>
  <c r="C6"/>
  <c r="C5"/>
  <c r="D5"/>
  <c r="B6"/>
  <c r="B5"/>
  <c r="AH6"/>
  <c r="AG6"/>
  <c r="AE6"/>
  <c r="AF6"/>
  <c r="AD6"/>
  <c r="Q7"/>
  <c r="Q8"/>
  <c r="P7"/>
  <c r="P8"/>
  <c r="O7"/>
  <c r="O8"/>
  <c r="Z6"/>
  <c r="N7"/>
  <c r="N8"/>
  <c r="F8"/>
  <c r="F7"/>
  <c r="E8"/>
  <c r="E7"/>
  <c r="C8"/>
  <c r="C7"/>
  <c r="D6"/>
  <c r="B8"/>
  <c r="B7"/>
  <c r="AH7"/>
  <c r="AG7"/>
  <c r="AE7"/>
  <c r="AF7"/>
  <c r="AD7"/>
  <c r="F24" i="12"/>
  <c r="F7" i="69"/>
  <c r="F7" i="68"/>
  <c r="M15" i="45"/>
  <c r="L15"/>
  <c r="K15"/>
  <c r="J15"/>
  <c r="I15"/>
  <c r="H15"/>
  <c r="G15"/>
  <c r="F15"/>
  <c r="E15"/>
  <c r="D15"/>
  <c r="C15"/>
  <c r="B15"/>
  <c r="AH8" i="71"/>
  <c r="AG8"/>
  <c r="AE8"/>
  <c r="AF8"/>
  <c r="AD8"/>
  <c r="AA7"/>
  <c r="Y7"/>
  <c r="X7"/>
  <c r="AD9"/>
  <c r="AH9"/>
  <c r="AG9"/>
  <c r="AE9"/>
  <c r="AF9"/>
  <c r="Q9"/>
  <c r="P9"/>
  <c r="O9"/>
  <c r="N9"/>
  <c r="L3"/>
  <c r="AH3"/>
  <c r="K3"/>
  <c r="AG3"/>
  <c r="J3"/>
  <c r="AE3"/>
  <c r="I3"/>
  <c r="AH10"/>
  <c r="AG10"/>
  <c r="AE10"/>
  <c r="AF10"/>
  <c r="AD10"/>
  <c r="Q10"/>
  <c r="Q11"/>
  <c r="P10"/>
  <c r="P11"/>
  <c r="AA10"/>
  <c r="O10"/>
  <c r="O11"/>
  <c r="N10"/>
  <c r="N11"/>
  <c r="X10"/>
  <c r="N12"/>
  <c r="AH11"/>
  <c r="AG11"/>
  <c r="AE11"/>
  <c r="AF11"/>
  <c r="AD11"/>
  <c r="Q12"/>
  <c r="AB10"/>
  <c r="P12"/>
  <c r="AA11"/>
  <c r="O12"/>
  <c r="Y10"/>
  <c r="Z10"/>
  <c r="M19" i="43"/>
  <c r="D14" i="71"/>
  <c r="AH12"/>
  <c r="AG12"/>
  <c r="AE12"/>
  <c r="AF12"/>
  <c r="AD12"/>
  <c r="BC13" i="3"/>
  <c r="BD13"/>
  <c r="BE13"/>
  <c r="BF13"/>
  <c r="BG13"/>
  <c r="BH13"/>
  <c r="BI13"/>
  <c r="BJ13"/>
  <c r="BK13"/>
  <c r="BM13"/>
  <c r="BN13"/>
  <c r="BO13"/>
  <c r="BP13"/>
  <c r="BQ13"/>
  <c r="BR13"/>
  <c r="BS13"/>
  <c r="BT13"/>
  <c r="BL13"/>
  <c r="M19" i="9"/>
  <c r="C118"/>
  <c r="M18"/>
  <c r="B118"/>
  <c r="AD13" i="71"/>
  <c r="AG13"/>
  <c r="AH13"/>
  <c r="AE13"/>
  <c r="AF13"/>
  <c r="N13"/>
  <c r="X11"/>
  <c r="Q13"/>
  <c r="AB12"/>
  <c r="P13"/>
  <c r="AA12"/>
  <c r="O13"/>
  <c r="Y11"/>
  <c r="Z11"/>
  <c r="Y12"/>
  <c r="Z12"/>
  <c r="C13"/>
  <c r="C12"/>
  <c r="Q14"/>
  <c r="F13"/>
  <c r="F12"/>
  <c r="F11"/>
  <c r="P14"/>
  <c r="E13"/>
  <c r="E12"/>
  <c r="E11"/>
  <c r="O14"/>
  <c r="N14"/>
  <c r="B13"/>
  <c r="B12"/>
  <c r="B11"/>
  <c r="B10"/>
  <c r="B9"/>
  <c r="V13"/>
  <c r="AB13"/>
  <c r="Y13"/>
  <c r="Z13"/>
  <c r="X13"/>
  <c r="AA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Q15" i="71"/>
  <c r="P15"/>
  <c r="O15"/>
  <c r="N15"/>
  <c r="A15" i="51"/>
  <c r="B12" i="72"/>
  <c r="C76" i="9"/>
  <c r="I107" i="40"/>
  <c r="K6" i="4"/>
  <c r="B22" i="31"/>
  <c r="N56" i="9"/>
  <c r="M56"/>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C43"/>
  <c r="Q42"/>
  <c r="F43"/>
  <c r="F44"/>
  <c r="F45"/>
  <c r="V45"/>
  <c r="P42"/>
  <c r="E43"/>
  <c r="O42"/>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Q27"/>
  <c r="AB27"/>
  <c r="P27"/>
  <c r="O27"/>
  <c r="Y27"/>
  <c r="Z27"/>
  <c r="N27"/>
  <c r="F27"/>
  <c r="F28"/>
  <c r="F29"/>
  <c r="V29"/>
  <c r="Q26"/>
  <c r="P26"/>
  <c r="O26"/>
  <c r="N26"/>
  <c r="D26"/>
  <c r="Q25"/>
  <c r="AB25"/>
  <c r="P25"/>
  <c r="O25"/>
  <c r="Y25"/>
  <c r="Z25"/>
  <c r="N25"/>
  <c r="Q24"/>
  <c r="AB24"/>
  <c r="P24"/>
  <c r="O24"/>
  <c r="Y24"/>
  <c r="Z24"/>
  <c r="N24"/>
  <c r="Q23"/>
  <c r="AB23"/>
  <c r="P23"/>
  <c r="O23"/>
  <c r="Y23"/>
  <c r="Z23"/>
  <c r="N23"/>
  <c r="F23"/>
  <c r="F24"/>
  <c r="F25"/>
  <c r="V25"/>
  <c r="Q22"/>
  <c r="P22"/>
  <c r="O22"/>
  <c r="N22"/>
  <c r="D22"/>
  <c r="Q21"/>
  <c r="AB21"/>
  <c r="P21"/>
  <c r="O21"/>
  <c r="Y21"/>
  <c r="Z21"/>
  <c r="N21"/>
  <c r="Q20"/>
  <c r="AB20"/>
  <c r="P20"/>
  <c r="O20"/>
  <c r="Y20"/>
  <c r="Z20"/>
  <c r="N20"/>
  <c r="Q19"/>
  <c r="AB19"/>
  <c r="P19"/>
  <c r="O19"/>
  <c r="Y19"/>
  <c r="Z19"/>
  <c r="N19"/>
  <c r="F19"/>
  <c r="F20"/>
  <c r="F21"/>
  <c r="V21"/>
  <c r="Q18"/>
  <c r="P18"/>
  <c r="O18"/>
  <c r="N18"/>
  <c r="D18"/>
  <c r="O17"/>
  <c r="N17"/>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P17"/>
  <c r="E44"/>
  <c r="E45"/>
  <c r="U45"/>
  <c r="E48"/>
  <c r="E49"/>
  <c r="U49"/>
  <c r="E52"/>
  <c r="E53"/>
  <c r="U53"/>
  <c r="Q54"/>
  <c r="U57"/>
  <c r="E56"/>
  <c r="Q17"/>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F11"/>
  <c r="F12"/>
  <c r="F13"/>
  <c r="D6"/>
  <c r="D9"/>
  <c r="D10"/>
  <c r="D11"/>
  <c r="D12"/>
  <c r="D13"/>
  <c r="D7"/>
  <c r="D8"/>
  <c r="B8"/>
  <c r="E8"/>
  <c r="A9"/>
  <c r="A10"/>
  <c r="A11"/>
  <c r="A12"/>
  <c r="A13"/>
  <c r="F3" i="35"/>
  <c r="B11" i="1"/>
  <c r="E11"/>
  <c r="B7"/>
  <c r="E7"/>
  <c r="B13"/>
  <c r="E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Q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Q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D15"/>
  <c r="F7" i="1"/>
  <c r="G7"/>
  <c r="L21" i="4"/>
  <c r="F19"/>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33" i="15"/>
  <c r="F61"/>
  <c r="M19"/>
  <c r="M10" i="1"/>
  <c r="O10"/>
  <c r="B22"/>
  <c r="B23"/>
  <c r="B24"/>
  <c r="B43"/>
  <c r="D78" i="9"/>
  <c r="BQ16" i="3"/>
  <c r="BQ17"/>
  <c r="BS16"/>
  <c r="BS17"/>
  <c r="BR16"/>
  <c r="BR17"/>
  <c r="BT16"/>
  <c r="BT17"/>
  <c r="BM16"/>
  <c r="BM17"/>
  <c r="BO16"/>
  <c r="BO17"/>
  <c r="BN16"/>
  <c r="BN17"/>
  <c r="BP16"/>
  <c r="BP17"/>
  <c r="M8" i="1"/>
  <c r="F23" i="15"/>
  <c r="D24"/>
  <c r="O8" i="1"/>
  <c r="P8"/>
  <c r="M13"/>
  <c r="O13"/>
  <c r="P13"/>
  <c r="E22" i="6"/>
  <c r="E23"/>
  <c r="E24"/>
  <c r="E25"/>
  <c r="E26"/>
  <c r="BB16" i="3"/>
  <c r="BC16"/>
  <c r="BD16"/>
  <c r="BE16"/>
  <c r="BF16"/>
  <c r="BG16"/>
  <c r="BH16"/>
  <c r="BI16"/>
  <c r="BJ16"/>
  <c r="BK16"/>
  <c r="BB17"/>
  <c r="BC17"/>
  <c r="BD17"/>
  <c r="BE17"/>
  <c r="BF17"/>
  <c r="BG17"/>
  <c r="BH17"/>
  <c r="BI17"/>
  <c r="BJ17"/>
  <c r="BK17"/>
  <c r="BC10"/>
  <c r="BD10"/>
  <c r="BB10"/>
  <c r="BL16"/>
  <c r="AC13"/>
  <c r="AC14"/>
  <c r="AC15"/>
  <c r="H16"/>
  <c r="AC16"/>
  <c r="H17"/>
  <c r="AC17"/>
  <c r="AT5"/>
  <c r="I5"/>
  <c r="AD5"/>
  <c r="AH5"/>
  <c r="AL5"/>
  <c r="AP5"/>
  <c r="F35" i="11"/>
  <c r="F36"/>
  <c r="F38"/>
  <c r="E37"/>
  <c r="F20"/>
  <c r="F21"/>
  <c r="C21"/>
  <c r="F7"/>
  <c r="C7"/>
  <c r="C5"/>
  <c r="F12" i="12"/>
  <c r="F13"/>
  <c r="F15"/>
  <c r="E14"/>
  <c r="BC11" i="3"/>
  <c r="BD11"/>
  <c r="BB11"/>
  <c r="E19" i="12"/>
  <c r="E20"/>
  <c r="E17"/>
  <c r="F22"/>
  <c r="F23"/>
  <c r="I55" i="9"/>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U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J5"/>
  <c r="BH5"/>
  <c r="BF5"/>
  <c r="BD5"/>
  <c r="AZ309"/>
  <c r="AZ317"/>
  <c r="AZ325"/>
  <c r="AZ333"/>
  <c r="AZ341"/>
  <c r="AC5"/>
  <c r="AZ549"/>
  <c r="AZ506"/>
  <c r="AZ496"/>
  <c r="G548"/>
  <c r="G538"/>
  <c r="G520"/>
  <c r="G502"/>
  <c r="AZ343"/>
  <c r="BK5"/>
  <c r="BI5"/>
  <c r="BG5"/>
  <c r="BE5"/>
  <c r="BC5"/>
  <c r="G17"/>
  <c r="BA17"/>
  <c r="AZ350"/>
  <c r="AZ352"/>
  <c r="AZ356"/>
  <c r="AZ360"/>
  <c r="AZ364"/>
  <c r="AZ368"/>
  <c r="AZ380"/>
  <c r="AZ384"/>
  <c r="AZ388"/>
  <c r="AZ392"/>
  <c r="AZ396"/>
  <c r="AZ394"/>
  <c r="AZ499"/>
  <c r="AZ509"/>
  <c r="G509"/>
  <c r="BL493"/>
  <c r="AZ491"/>
  <c r="AZ376"/>
  <c r="AZ390"/>
  <c r="AZ382"/>
  <c r="AZ493"/>
  <c r="U36" i="40"/>
  <c r="F36" i="43"/>
  <c r="F81"/>
  <c r="H83"/>
  <c r="H113"/>
  <c r="F48"/>
  <c r="H52"/>
  <c r="F70"/>
  <c r="H73"/>
  <c r="M11"/>
  <c r="D17"/>
  <c r="F39"/>
  <c r="I17"/>
  <c r="F35"/>
  <c r="J17"/>
  <c r="U17" i="39"/>
  <c r="S14" i="35"/>
  <c r="U43" i="21"/>
  <c r="U35"/>
  <c r="AC35"/>
  <c r="U10"/>
  <c r="G8" i="1"/>
  <c r="G9"/>
  <c r="G10"/>
  <c r="F48" i="9"/>
  <c r="O52"/>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50"/>
  <c r="I20"/>
  <c r="F23" i="39"/>
  <c r="AA23"/>
  <c r="H27" i="36"/>
  <c r="U27"/>
  <c r="F27"/>
  <c r="AA27"/>
  <c r="H33" i="34"/>
  <c r="U33"/>
  <c r="F32" i="37"/>
  <c r="AA32"/>
  <c r="G96"/>
  <c r="H96"/>
  <c r="I96"/>
  <c r="J96"/>
  <c r="K96"/>
  <c r="L96"/>
  <c r="M96"/>
  <c r="F20" i="36"/>
  <c r="AA20"/>
  <c r="J33" i="34"/>
  <c r="AC33"/>
  <c r="H23" i="39"/>
  <c r="U23"/>
  <c r="D48" i="9"/>
  <c r="M52"/>
  <c r="H86" i="43"/>
  <c r="H82"/>
  <c r="H87"/>
  <c r="M9" i="1"/>
  <c r="O9"/>
  <c r="P9"/>
  <c r="AE9"/>
  <c r="D93" i="9"/>
  <c r="E12" i="6"/>
  <c r="E15"/>
  <c r="E60" i="40"/>
  <c r="E13" i="6"/>
  <c r="E58" i="40"/>
  <c r="AC26" i="33"/>
  <c r="W26"/>
  <c r="W27" i="34"/>
  <c r="AC27"/>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AZ266" i="3"/>
  <c r="U30" i="33"/>
  <c r="AC13" i="34"/>
  <c r="AA47"/>
  <c r="W28" i="37"/>
  <c r="S19" i="39"/>
  <c r="F12" i="33"/>
  <c r="H12" i="39"/>
  <c r="AB12"/>
  <c r="F39" i="40"/>
  <c r="AZ367" i="3"/>
  <c r="AZ213"/>
  <c r="AZ224"/>
  <c r="AZ234"/>
  <c r="AZ238"/>
  <c r="AZ250"/>
  <c r="AZ254"/>
  <c r="AZ281"/>
  <c r="AZ286"/>
  <c r="AZ297"/>
  <c r="AZ149"/>
  <c r="AZ157"/>
  <c r="AZ165"/>
  <c r="AZ173"/>
  <c r="AZ181"/>
  <c r="AZ189"/>
  <c r="AZ197"/>
  <c r="AZ19"/>
  <c r="AZ26"/>
  <c r="AZ35"/>
  <c r="AZ41"/>
  <c r="S12" i="1"/>
  <c r="R12"/>
  <c r="B12"/>
  <c r="E12"/>
  <c r="S10"/>
  <c r="AQ10"/>
  <c r="R10"/>
  <c r="B10"/>
  <c r="E10"/>
  <c r="D1" i="66"/>
  <c r="E10"/>
  <c r="AZ80" i="3"/>
  <c r="AZ84"/>
  <c r="AZ88"/>
  <c r="AZ107"/>
  <c r="AZ111"/>
  <c r="M12" i="1"/>
  <c r="O12"/>
  <c r="P12"/>
  <c r="S13"/>
  <c r="AR13"/>
  <c r="R13"/>
  <c r="S11"/>
  <c r="AQ11"/>
  <c r="R11"/>
  <c r="S9"/>
  <c r="AR9"/>
  <c r="R9"/>
  <c r="J51" i="67"/>
  <c r="C42" i="1"/>
  <c r="B41"/>
  <c r="F31" i="12"/>
  <c r="C31"/>
  <c r="H100" i="43"/>
  <c r="C30" i="66"/>
  <c r="E26"/>
  <c r="AC34" i="33"/>
  <c r="AA34"/>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F34" i="67"/>
  <c r="F62"/>
  <c r="M20"/>
  <c r="F34" i="15"/>
  <c r="F62"/>
  <c r="E10" i="6"/>
  <c r="E11"/>
  <c r="E61" i="39"/>
  <c r="BL17" i="3"/>
  <c r="AZ17"/>
  <c r="E65" i="39"/>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E1" i="73"/>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33"/>
  <c r="C58"/>
  <c r="D58"/>
  <c r="E58"/>
  <c r="F58"/>
  <c r="G58"/>
  <c r="H58"/>
  <c r="I58"/>
  <c r="J58"/>
  <c r="K58"/>
  <c r="L58"/>
  <c r="M58"/>
  <c r="N58"/>
  <c r="O58"/>
  <c r="C7" i="21"/>
  <c r="C58"/>
  <c r="C7" i="40"/>
  <c r="C63"/>
  <c r="M47" i="9"/>
  <c r="G19" i="43"/>
  <c r="O19"/>
  <c r="T35" i="4"/>
  <c r="A19" i="51"/>
  <c r="B14" i="72"/>
  <c r="C46" i="36"/>
  <c r="D46"/>
  <c r="C59" i="34"/>
  <c r="D59"/>
  <c r="E59"/>
  <c r="F59"/>
  <c r="C52" i="37"/>
  <c r="D52"/>
  <c r="E52"/>
  <c r="F52"/>
  <c r="A4" i="51"/>
  <c r="B6" i="72"/>
  <c r="C48" i="35"/>
  <c r="D48"/>
  <c r="E48"/>
  <c r="C4" i="12"/>
  <c r="H66" i="43"/>
  <c r="H65"/>
  <c r="H64"/>
  <c r="H63"/>
  <c r="H55"/>
  <c r="H56"/>
  <c r="H72"/>
  <c r="L20" i="6"/>
  <c r="E62" i="39"/>
  <c r="E56"/>
  <c r="E51" i="40"/>
  <c r="B6" i="1"/>
  <c r="E6"/>
  <c r="K21" i="6"/>
  <c r="S8" i="1"/>
  <c r="M1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32" i="15"/>
  <c r="F60"/>
  <c r="M18"/>
  <c r="F28"/>
  <c r="E63" i="39"/>
  <c r="T11" i="1"/>
  <c r="D9" i="69"/>
  <c r="C9"/>
  <c r="D19" i="12"/>
  <c r="C19"/>
  <c r="AQ9" i="1"/>
  <c r="AR11"/>
  <c r="E59" i="40"/>
  <c r="C28" i="15"/>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M14" i="1"/>
  <c r="O14"/>
  <c r="P14"/>
  <c r="BL5" i="3"/>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M20"/>
  <c r="I20"/>
  <c r="AP7" i="1"/>
  <c r="M7"/>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M16" i="1"/>
  <c r="N16"/>
  <c r="F27" i="11"/>
  <c r="AC11" i="37"/>
  <c r="W11"/>
  <c r="W11" i="34"/>
  <c r="AC11"/>
  <c r="H20" i="6"/>
  <c r="B2" i="74"/>
  <c r="E6" i="3"/>
  <c r="D10" i="68"/>
  <c r="C10"/>
  <c r="D10" i="11"/>
  <c r="C10"/>
  <c r="D20" i="12"/>
  <c r="C20"/>
  <c r="D25" i="6"/>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AE7"/>
  <c r="T16"/>
  <c r="AE8"/>
  <c r="AG6"/>
  <c r="H109" i="9"/>
  <c r="C19"/>
  <c r="D1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G48"/>
  <c r="D45" i="9"/>
  <c r="D55"/>
  <c r="M53"/>
  <c r="C85"/>
  <c r="C93"/>
  <c r="C86"/>
  <c r="C95"/>
  <c r="C96"/>
  <c r="C97"/>
  <c r="D58"/>
  <c r="D56"/>
  <c r="M54"/>
  <c r="N57"/>
  <c r="N59"/>
  <c r="N61"/>
  <c r="H112"/>
  <c r="D21" i="53"/>
  <c r="B39" i="72"/>
  <c r="H111" i="9"/>
  <c r="D126"/>
  <c r="D19" i="53"/>
  <c r="D59" i="9"/>
  <c r="M55"/>
  <c r="B38" i="72"/>
  <c r="D20" i="53"/>
  <c r="B40" i="72"/>
  <c r="I14" i="74"/>
  <c r="B8"/>
  <c r="D127" i="9"/>
  <c r="D13" i="52"/>
  <c r="D12"/>
  <c r="D8" i="74"/>
  <c r="C8"/>
  <c r="AD3" i="71"/>
  <c r="B4" i="62"/>
  <c r="B71" i="72"/>
  <c r="C65" i="40"/>
  <c r="D63"/>
  <c r="G16" i="1"/>
  <c r="J1" i="73"/>
  <c r="AA7" i="33"/>
  <c r="C36" i="11"/>
  <c r="C33"/>
  <c r="C39"/>
  <c r="C46"/>
  <c r="C45"/>
  <c r="C36" i="68"/>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AC7"/>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C11" i="71"/>
  <c r="D11"/>
  <c r="D12"/>
  <c r="D13"/>
  <c r="U13"/>
  <c r="S13"/>
  <c r="T13"/>
  <c r="AB11"/>
  <c r="X9"/>
  <c r="X8"/>
  <c r="AA9"/>
  <c r="AA8"/>
  <c r="X12"/>
  <c r="Z7"/>
  <c r="Y8"/>
  <c r="Z8"/>
  <c r="AB9"/>
  <c r="AB8"/>
  <c r="S9"/>
  <c r="C94" i="9"/>
  <c r="C92"/>
  <c r="C20" i="11"/>
  <c r="C28"/>
  <c r="C27"/>
  <c r="F10" i="71"/>
  <c r="F9"/>
  <c r="Y9"/>
  <c r="Z9"/>
  <c r="E7" i="49"/>
  <c r="AB3" i="71"/>
  <c r="X3"/>
  <c r="C10"/>
  <c r="E10"/>
  <c r="E9"/>
  <c r="E10" i="49"/>
  <c r="E14"/>
  <c r="AF3" i="71"/>
  <c r="P24" i="43"/>
  <c r="B66" i="40"/>
  <c r="P21" i="43"/>
  <c r="P22"/>
  <c r="C14" i="12"/>
  <c r="B13" i="49"/>
  <c r="B9"/>
  <c r="D19" i="68"/>
  <c r="C19"/>
  <c r="E6" i="49"/>
  <c r="B8"/>
  <c r="E4"/>
  <c r="B14"/>
  <c r="B22"/>
  <c r="C47" i="68"/>
  <c r="D45"/>
  <c r="C34"/>
  <c r="C3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C9" i="71"/>
  <c r="D10"/>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K1"/>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B2" i="33"/>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D37" i="68"/>
  <c r="C37"/>
  <c r="C38"/>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20" i="68"/>
  <c r="C28"/>
  <c r="C27"/>
  <c r="C16" i="12"/>
  <c r="D19" i="69"/>
  <c r="C18" i="12"/>
  <c r="C17" i="67"/>
  <c r="C16"/>
  <c r="F59" i="15"/>
  <c r="F59" i="67"/>
  <c r="C14"/>
  <c r="M17" i="15"/>
  <c r="M17" i="67"/>
  <c r="C33" i="68"/>
  <c r="C39"/>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<sst xmlns="http://schemas.openxmlformats.org/spreadsheetml/2006/main" count="7642" uniqueCount="3125">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</sst>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57;&#23791;&#22269;&#384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31;&#23433;&#22269;&#3846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31;&#23433;&#22269;&#38469;%20-%201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1）"/>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693.12</v>
          </cell>
          <cell r="D14">
            <v>1681</v>
          </cell>
          <cell r="G14">
            <v>1681</v>
          </cell>
          <cell r="I14">
            <v>729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1531.9299999999998</v>
          </cell>
          <cell r="D14">
            <v>6916</v>
          </cell>
          <cell r="G14">
            <v>6916</v>
          </cell>
          <cell r="I14">
            <v>3460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631.32000000000005</v>
          </cell>
          <cell r="D14">
            <v>2856</v>
          </cell>
          <cell r="G14">
            <v>2856</v>
          </cell>
          <cell r="I14">
            <v>2311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估价对象为北京市出让国有建设用地使用权及在建建筑物房地产，为所有。根据《国有土地使用证》[]，估价对象（分摊）出让国有建设用地使用权面积为0平方米，建筑面积为708.8平方米。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766</v>
      </c>
    </row>
    <row r="21" spans="1:2" s="1593" customFormat="1">
      <c r="A21" s="1591" t="s">
        <v>1230</v>
      </c>
      <c r="B21" s="1592">
        <f ca="1">'预评函-2'!D7</f>
        <v>10807</v>
      </c>
    </row>
    <row r="22" spans="1:2" s="1593" customFormat="1">
      <c r="A22" s="1591" t="s">
        <v>1231</v>
      </c>
      <c r="B22" s="1592" t="str">
        <f ca="1">'预评函-2'!D6</f>
        <v>柒佰陆拾陆万元整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766</v>
      </c>
    </row>
    <row r="31" spans="1:2" s="1593" customFormat="1">
      <c r="A31" s="1591" t="s">
        <v>1269</v>
      </c>
      <c r="B31" s="1592">
        <f ca="1">'预评函-2'!D15</f>
        <v>10807</v>
      </c>
    </row>
    <row r="32" spans="1:2" s="1593" customFormat="1">
      <c r="A32" s="1591" t="s">
        <v>1236</v>
      </c>
      <c r="B32" s="1592" t="str">
        <f ca="1">'预评函-2'!D14</f>
        <v>柒佰陆拾陆万元整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332</v>
      </c>
    </row>
    <row r="39" spans="1:2" s="1593" customFormat="1">
      <c r="A39" s="1591" t="s">
        <v>1238</v>
      </c>
      <c r="B39" s="1592">
        <f ca="1">'预评函-2'!D21</f>
        <v>4684</v>
      </c>
    </row>
    <row r="40" spans="1:2" s="1593" customFormat="1">
      <c r="A40" s="1591" t="s">
        <v>1239</v>
      </c>
      <c r="B40" s="1592" t="str">
        <f ca="1">'预评函-2'!D20</f>
        <v>叁佰叁拾贰万元整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708.8</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3121</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1" t="s">
        <v>860</v>
      </c>
      <c r="C54" s="2018" t="s">
        <v>1276</v>
      </c>
    </row>
    <row r="55" spans="1:4">
      <c r="A55" s="3058"/>
      <c r="B55" s="2021" t="s">
        <v>861</v>
      </c>
      <c r="C55" s="2018" t="s">
        <v>1277</v>
      </c>
    </row>
    <row r="56" spans="1:4">
      <c r="A56" s="3058"/>
      <c r="B56" s="2021" t="s">
        <v>862</v>
      </c>
      <c r="C56" s="2018" t="s">
        <v>1281</v>
      </c>
    </row>
    <row r="57" spans="1:4">
      <c r="A57" s="305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B9" sqref="B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67"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68"/>
      <c r="D1" s="3068"/>
      <c r="E1" s="3068"/>
      <c r="F1" s="3068"/>
      <c r="G1" s="3068"/>
      <c r="H1" s="3068"/>
      <c r="I1" s="3069"/>
      <c r="J1" s="2025"/>
      <c r="K1" s="2026"/>
      <c r="L1" s="2027"/>
      <c r="M1" s="2027"/>
      <c r="N1" s="2028"/>
      <c r="O1" s="2029"/>
      <c r="P1" s="2028"/>
      <c r="Q1" s="2028"/>
      <c r="R1" s="2028"/>
      <c r="S1" s="2030"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3124</v>
      </c>
      <c r="C8" s="2055"/>
      <c r="D8" s="3070" t="s">
        <v>1779</v>
      </c>
      <c r="E8" s="2056" t="s">
        <v>3123</v>
      </c>
      <c r="F8" s="2057"/>
      <c r="G8" s="2025"/>
      <c r="H8" s="2025"/>
      <c r="I8" s="2025"/>
      <c r="J8" s="2041"/>
      <c r="K8" s="2042"/>
      <c r="L8" s="2027"/>
      <c r="M8" s="2027"/>
      <c r="N8" s="2028"/>
      <c r="O8" s="2029"/>
      <c r="P8" s="2028"/>
      <c r="Q8" s="2028"/>
      <c r="R8" s="2028"/>
    </row>
    <row r="9" spans="1:19" ht="18" customHeight="1" thickBot="1">
      <c r="A9" s="2039" t="s">
        <v>1780</v>
      </c>
      <c r="B9" s="2058" t="s">
        <v>3123</v>
      </c>
      <c r="C9" s="2059"/>
      <c r="D9" s="3071"/>
      <c r="E9" s="2058" t="s">
        <v>1280</v>
      </c>
      <c r="F9" s="2060"/>
      <c r="G9" s="2061"/>
      <c r="H9" s="2061"/>
      <c r="I9" s="2061"/>
      <c r="J9" s="2041"/>
      <c r="K9" s="2053"/>
      <c r="L9" s="2027"/>
      <c r="M9" s="2027"/>
      <c r="N9" s="2028"/>
      <c r="O9" s="2029"/>
      <c r="P9" s="2028"/>
      <c r="Q9" s="2028"/>
      <c r="R9" s="2028"/>
    </row>
    <row r="10" spans="1:19" ht="18" customHeight="1" thickTop="1">
      <c r="A10" s="2062" t="s">
        <v>1781</v>
      </c>
      <c r="B10" s="2063" t="s">
        <v>3104</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3105</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3106</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55536</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31.84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77"/>
      <c r="C16" s="3078"/>
      <c r="D16" s="3079"/>
      <c r="E16" s="2085" t="s">
        <v>1796</v>
      </c>
      <c r="F16" s="3080"/>
      <c r="G16" s="3081"/>
      <c r="H16" s="3081"/>
      <c r="I16" s="3082"/>
      <c r="J16" s="2028"/>
      <c r="K16" s="2082"/>
      <c r="L16" s="2083"/>
      <c r="M16" s="2083"/>
      <c r="N16" s="2084"/>
      <c r="O16" s="2083"/>
      <c r="P16" s="2084"/>
      <c r="Q16" s="2028"/>
      <c r="R16" s="2028"/>
    </row>
    <row r="17" spans="1:22" ht="18" customHeight="1">
      <c r="A17" s="2086" t="s">
        <v>1797</v>
      </c>
      <c r="B17" s="2034" t="s">
        <v>1798</v>
      </c>
      <c r="C17" s="1054">
        <f>'数据-汇总表'!E3</f>
        <v>708.8</v>
      </c>
      <c r="D17" s="2087" t="s">
        <v>1799</v>
      </c>
      <c r="E17" s="3083" t="s">
        <v>1800</v>
      </c>
      <c r="F17" s="3084"/>
      <c r="G17" s="3084"/>
      <c r="H17" s="3084"/>
      <c r="I17" s="3085"/>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86" t="s">
        <v>1803</v>
      </c>
      <c r="F18" s="3087"/>
      <c r="G18" s="3087"/>
      <c r="H18" s="3087"/>
      <c r="I18" s="3088"/>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73" t="s">
        <v>1808</v>
      </c>
      <c r="C20" s="3074"/>
      <c r="D20" s="3075" t="s">
        <v>1809</v>
      </c>
      <c r="E20" s="3076"/>
      <c r="F20" s="2097" t="s">
        <v>1810</v>
      </c>
      <c r="G20" s="2041"/>
      <c r="H20" s="2041"/>
      <c r="I20" s="2041"/>
      <c r="J20" s="2041"/>
      <c r="K20" s="307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72"/>
      <c r="L22" s="748"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60"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60"/>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60"/>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61"/>
      <c r="B30" s="2034" t="s">
        <v>1827</v>
      </c>
      <c r="C30" s="3062"/>
      <c r="D30" s="306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4"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59" t="s">
        <v>1837</v>
      </c>
      <c r="T34" s="2134" t="str">
        <f>NUMBERSTRING(7-K34,1)&amp;"通"</f>
        <v>七通</v>
      </c>
      <c r="U34" s="2028"/>
      <c r="V34" s="2028"/>
    </row>
    <row r="35" spans="1:22" ht="18" customHeight="1">
      <c r="A35" s="2135"/>
      <c r="B35" s="3066" t="s">
        <v>1838</v>
      </c>
      <c r="C35" s="3066"/>
      <c r="D35" s="3066"/>
      <c r="E35" s="306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708.8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3107</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-201</v>
      </c>
      <c r="D13" s="2213" t="s">
        <v>3109</v>
      </c>
      <c r="E13" s="16">
        <f>IF($C$3="是",ROUND($A$3*G13/$B$3,2),ROUND($A$3*(G13-AT13)/$B$3,2))</f>
        <v>0</v>
      </c>
      <c r="F13" s="32"/>
      <c r="G13" s="33">
        <f>H13+AC13+AT13</f>
        <v>296.95999999999998</v>
      </c>
      <c r="H13" s="20">
        <f>SUMIF(I$12:AB$12,"总值",I13:AB13)</f>
        <v>296.95999999999998</v>
      </c>
      <c r="I13" s="2214">
        <v>296.95999999999998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-201</v>
      </c>
      <c r="AY13" s="1806">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-202</v>
      </c>
      <c r="D14" s="2213" t="s">
        <v>3109</v>
      </c>
      <c r="E14" s="16">
        <f>IF($C$3="是",ROUND($A$3*G14/$B$3,2),ROUND($A$3*(G14-AT14)/$B$3,2))</f>
        <v>0</v>
      </c>
      <c r="F14" s="32"/>
      <c r="G14" s="33">
        <f>H14+AC14+AT14</f>
        <v>411.84</v>
      </c>
      <c r="H14" s="20">
        <f>SUMIF(I$12:AB$12,"总值",I14:AB14)</f>
        <v>411.84</v>
      </c>
      <c r="I14" s="2214">
        <v>411.84</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-202</v>
      </c>
      <c r="AY14" s="1806">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14" sqref="G1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00" t="s">
        <v>1934</v>
      </c>
      <c r="B2" s="3100"/>
      <c r="C2" s="3100"/>
      <c r="D2" s="967" t="s">
        <v>1910</v>
      </c>
      <c r="E2" s="2227" t="s">
        <v>1911</v>
      </c>
      <c r="F2" s="1392"/>
      <c r="G2" s="2228"/>
      <c r="H2" s="2229"/>
      <c r="I2" s="2230" t="s">
        <v>1935</v>
      </c>
      <c r="J2" s="1392"/>
      <c r="K2" s="1392"/>
      <c r="L2" s="1392"/>
      <c r="M2" s="1392"/>
      <c r="N2" s="1427"/>
      <c r="O2" s="1392"/>
      <c r="P2" s="1392"/>
    </row>
    <row r="3" spans="1:16" ht="15.75" thickBot="1">
      <c r="A3" s="3101" t="s">
        <v>1908</v>
      </c>
      <c r="B3" s="3101"/>
      <c r="C3" s="3101"/>
      <c r="D3" s="46">
        <f>'数据-基础表'!AY6</f>
        <v>0</v>
      </c>
      <c r="E3" s="46">
        <f>'数据-基础表'!AZ5</f>
        <v>708.8</v>
      </c>
      <c r="F3" s="1392"/>
      <c r="G3" s="1399"/>
      <c r="H3" s="1247" t="s">
        <v>1909</v>
      </c>
      <c r="I3" s="55" t="e">
        <f>ROUND('数据-基础表'!B3/'数据-基础表'!A3,2)</f>
        <v>#DIV/0!</v>
      </c>
      <c r="J3" s="1392"/>
      <c r="K3" s="1392"/>
      <c r="L3" s="1392"/>
      <c r="M3" s="1392"/>
      <c r="N3" s="1427"/>
      <c r="O3" s="1392"/>
      <c r="P3" s="1392"/>
    </row>
    <row r="4" spans="1:16" ht="15">
      <c r="A4" s="3102"/>
      <c r="B4" s="3103"/>
      <c r="C4" s="3104"/>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5" t="s">
        <v>1913</v>
      </c>
      <c r="C5" s="3105"/>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5" t="s">
        <v>1914</v>
      </c>
      <c r="C6" s="3105"/>
      <c r="D6" s="48">
        <f>ROUND($D$3*E6/$E$3,2)</f>
        <v>0</v>
      </c>
      <c r="E6" s="49">
        <f>E3-E5</f>
        <v>708.8</v>
      </c>
      <c r="F6" s="1392"/>
      <c r="G6" s="2235" t="s">
        <v>1915</v>
      </c>
      <c r="H6" s="1399" t="s">
        <v>1916</v>
      </c>
      <c r="I6" s="939" t="e">
        <f>ROUND(F31/D31,2)</f>
        <v>#DIV/0!</v>
      </c>
      <c r="J6" s="1392"/>
      <c r="K6" s="1392"/>
      <c r="L6" s="1392"/>
      <c r="M6" s="1392"/>
      <c r="N6" s="1392"/>
      <c r="O6" s="1392"/>
      <c r="P6" s="1392"/>
    </row>
    <row r="7" spans="1:16" ht="15">
      <c r="A7" s="3097"/>
      <c r="B7" s="3098"/>
      <c r="C7" s="3099"/>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708.8</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708.8</v>
      </c>
      <c r="F16" s="1392"/>
      <c r="G16" s="2237"/>
      <c r="H16" s="2240" t="s">
        <v>1938</v>
      </c>
      <c r="I16" s="2241"/>
      <c r="J16" s="1392"/>
      <c r="K16" s="3094" t="s">
        <v>1938</v>
      </c>
      <c r="L16" s="3095"/>
      <c r="M16" s="3095"/>
      <c r="N16" s="3095"/>
      <c r="O16" s="3095"/>
      <c r="P16" s="3096"/>
    </row>
    <row r="17" spans="1:19" ht="15">
      <c r="A17" s="2242" t="s">
        <v>1939</v>
      </c>
      <c r="B17" s="2243" t="s">
        <v>1940</v>
      </c>
      <c r="C17" s="2244" t="s">
        <v>1941</v>
      </c>
      <c r="D17" s="2245" t="s">
        <v>1929</v>
      </c>
      <c r="E17" s="2246" t="s">
        <v>1930</v>
      </c>
      <c r="F17" s="2247"/>
      <c r="G17" s="2248"/>
      <c r="H17" s="2249" t="s">
        <v>1942</v>
      </c>
      <c r="I17" s="2250" t="s">
        <v>1927</v>
      </c>
      <c r="J17" s="1392"/>
      <c r="K17" s="3091" t="s">
        <v>1943</v>
      </c>
      <c r="L17" s="3092"/>
      <c r="M17" s="3093"/>
      <c r="N17" s="3091" t="s">
        <v>1944</v>
      </c>
      <c r="O17" s="3092"/>
      <c r="P17" s="3093"/>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-201</v>
      </c>
      <c r="D19" s="48">
        <f>ROUND($D$3*E19/$E$3,2)</f>
        <v>0</v>
      </c>
      <c r="E19" s="56">
        <f t="shared" ref="E19:E26" si="1">SUM(F19:G19)</f>
        <v>296.95999999999998</v>
      </c>
      <c r="F19" s="57">
        <f>'数据-基础表'!I13</f>
        <v>296.95999999999998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296.95999999999998</v>
      </c>
    </row>
    <row r="20" spans="1:19">
      <c r="A20" s="2263"/>
      <c r="B20" s="50" t="s">
        <v>1956</v>
      </c>
      <c r="C20" s="2260">
        <v>-202</v>
      </c>
      <c r="D20" s="48">
        <f t="shared" ref="D20:D26" si="6">ROUND($D$3*E20/$E$3,2)</f>
        <v>0</v>
      </c>
      <c r="E20" s="56">
        <f t="shared" si="1"/>
        <v>411.84</v>
      </c>
      <c r="F20" s="57">
        <f>'数据-基础表'!I14</f>
        <v>411.84</v>
      </c>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411.84</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708.8</v>
      </c>
      <c r="F27" s="1393">
        <f>IF(SUM(F19:F26)=E8,SUM(F19:F26),"地上面积有误")</f>
        <v>708.8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708.8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708.8</v>
      </c>
      <c r="F31" s="730">
        <f>F27+F30</f>
        <v>708.8</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S17" sqref="S1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3111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-201</v>
      </c>
      <c r="B6" s="2307" t="str">
        <f>IF(A6=0,"","经营性")</f>
        <v>经营性</v>
      </c>
      <c r="C6" s="2308" t="s">
        <v>1372</v>
      </c>
      <c r="D6" s="1051">
        <f>SUMIF(项目基本情况!D$12:I$12,C6,项目基本情况!D$14:I$14)</f>
        <v>40</v>
      </c>
      <c r="E6" s="1048">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2">
        <v>0.05</v>
      </c>
      <c r="I6" s="802">
        <v>5.5E-2</v>
      </c>
      <c r="J6" s="74">
        <v>8.5000000000000006E-2</v>
      </c>
      <c r="K6" s="1251">
        <f>SUMIF('数据-汇总表'!C$19:C$33,A6,'数据-汇总表'!E$19:E$33)</f>
        <v>296.95999999999998</v>
      </c>
      <c r="L6" s="803">
        <v>3000</v>
      </c>
      <c r="M6" s="75">
        <f t="shared" ref="M6:M14" si="0">ROUND(K6*L6/10000,0)</f>
        <v>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2.5000000000000001E-2</v>
      </c>
      <c r="W6" s="79">
        <v>0.1</v>
      </c>
      <c r="X6" s="1261"/>
      <c r="Y6" s="80">
        <f>N6</f>
        <v>0.86699999999999999</v>
      </c>
      <c r="Z6" s="81"/>
      <c r="AA6" s="74"/>
      <c r="AB6" s="74"/>
      <c r="AC6" s="1261"/>
      <c r="AD6" s="82"/>
      <c r="AE6" s="1262">
        <f ca="1">IF(AN6="",0,SUMIF(INDIRECT("'"&amp;AN6&amp;"'"&amp;"!E:E"),$AE$5,INDIRECT("'"&amp;AN6&amp;"'"&amp;"!F:F")))</f>
        <v>31.84</v>
      </c>
      <c r="AF6" s="1804"/>
      <c r="AG6" s="147">
        <f>IF(AF6="",0,AE6-AF6)</f>
        <v>0</v>
      </c>
      <c r="AH6" s="83"/>
      <c r="AI6" s="85">
        <v>365</v>
      </c>
      <c r="AJ6" s="86"/>
      <c r="AK6" s="87">
        <v>1.4999999999999999E-2</v>
      </c>
      <c r="AL6" s="88">
        <v>1.5E-3</v>
      </c>
      <c r="AM6" s="89">
        <v>0.01</v>
      </c>
      <c r="AN6" s="2309" t="s">
        <v>3110</v>
      </c>
      <c r="AO6" s="55">
        <f ca="1">SUMIF(INDIRECT("'"&amp;AN6&amp;"'"&amp;"!A:A"),"总价",INDIRECT("'"&amp;AN6&amp;"'"&amp;"!B:B"))</f>
        <v>521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-202</v>
      </c>
      <c r="B7" s="2307" t="str">
        <f t="shared" ref="B7:B13" si="1">IF(A7=0,"","经营性")</f>
        <v>经营性</v>
      </c>
      <c r="C7" s="2308" t="s">
        <v>1372</v>
      </c>
      <c r="D7" s="1051">
        <f>SUMIF(项目基本情况!D$12:I$12,C7,项目基本情况!D$14:I$14)</f>
        <v>40</v>
      </c>
      <c r="E7" s="1048">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2">
        <f>H6</f>
        <v>0.05</v>
      </c>
      <c r="I7" s="802">
        <f>I6</f>
        <v>5.5E-2</v>
      </c>
      <c r="J7" s="74">
        <f>J6</f>
        <v>8.5000000000000006E-2</v>
      </c>
      <c r="K7" s="1251">
        <f>SUMIF('数据-汇总表'!C$19:C$33,A7,'数据-汇总表'!E$19:E$33)</f>
        <v>411.84</v>
      </c>
      <c r="L7" s="803">
        <f>L6</f>
        <v>3000</v>
      </c>
      <c r="M7" s="75">
        <f t="shared" si="0"/>
        <v>124</v>
      </c>
      <c r="N7" s="801">
        <f>N6</f>
        <v>0.86699999999999999</v>
      </c>
      <c r="O7" s="75" t="str">
        <f t="shared" ref="O7:O14" si="3">IF($N$5="成新度","——",ROUND(M7*N7,0))</f>
        <v>——</v>
      </c>
      <c r="P7" s="76" t="str">
        <f t="shared" ref="P7:P14" si="4">IF($N$5="成新度","——",M7-O7)</f>
        <v>——</v>
      </c>
      <c r="Q7" s="804">
        <f>Q6</f>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t="s">
        <v>1372</v>
      </c>
      <c r="D8" s="1051">
        <f>SUMIF(项目基本情况!D$12:I$12,C8,项目基本情况!D$14:I$14)</f>
        <v>40</v>
      </c>
      <c r="E8" s="1048" t="str">
        <f>IF(B8="","",SUMIF(项目基本情况!D$12:I$12,C8,项目基本情况!D$13:I$13))</f>
        <v/>
      </c>
      <c r="F8" s="72">
        <f>SUMIF(项目基本情况!D$12:I$12,C8,项目基本情况!D$15:I$15)</f>
        <v>31.84</v>
      </c>
      <c r="G8" s="73">
        <f t="shared" si="2"/>
        <v>0.91900000000000004</v>
      </c>
      <c r="H8" s="802">
        <f>H6</f>
        <v>0.05</v>
      </c>
      <c r="I8" s="802">
        <f>I6</f>
        <v>5.5E-2</v>
      </c>
      <c r="J8" s="74">
        <f>J6</f>
        <v>8.5000000000000006E-2</v>
      </c>
      <c r="K8" s="1251">
        <f>SUMIF('数据-汇总表'!C$19:C$33,A8,'数据-汇总表'!E$19:E$33)</f>
        <v>0</v>
      </c>
      <c r="L8" s="803">
        <f>L6</f>
        <v>3000</v>
      </c>
      <c r="M8" s="75">
        <f>ROUND(K8*L8/10000,0)</f>
        <v>0</v>
      </c>
      <c r="N8" s="801">
        <f>N6</f>
        <v>0.86699999999999999</v>
      </c>
      <c r="O8" s="75" t="str">
        <f t="shared" si="3"/>
        <v>——</v>
      </c>
      <c r="P8" s="76" t="str">
        <f t="shared" si="4"/>
        <v>——</v>
      </c>
      <c r="Q8" s="804">
        <f>Q6</f>
        <v>0.15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v>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v>3.5</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v>4</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6" t="s">
        <v>2079</v>
      </c>
      <c r="B1" s="3107"/>
      <c r="C1" s="3107"/>
      <c r="D1" s="3107"/>
      <c r="E1" s="3107"/>
      <c r="F1" s="3107"/>
      <c r="G1" s="310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10" sqref="G10"/>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3565.17</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12339</v>
      </c>
      <c r="C5" s="1743">
        <f ca="1">ROUND(B5*10000/$B$1,0)</f>
        <v>34610</v>
      </c>
      <c r="D5" s="1743" t="e">
        <f ca="1">ROUND(B5*10000/$B$2,0)</f>
        <v>#DIV/0!</v>
      </c>
      <c r="E5" s="1742"/>
      <c r="F5" s="1740"/>
      <c r="G5" s="1740"/>
    </row>
    <row r="6" spans="1:10" ht="16.5">
      <c r="A6" s="1743" t="s">
        <v>1351</v>
      </c>
      <c r="B6" s="1743">
        <f ca="1">SUM(G14:G23)</f>
        <v>12339</v>
      </c>
      <c r="C6" s="1743">
        <f ca="1">ROUND(B6*10000/$B$1,0)</f>
        <v>34610</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6832</v>
      </c>
      <c r="C8" s="1743">
        <f ca="1">ROUND(B8*10000/$B$1,0)</f>
        <v>19163</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708.8</v>
      </c>
      <c r="C14" s="1741">
        <f>结果表!C118</f>
        <v>0</v>
      </c>
      <c r="D14" s="1741">
        <f ca="1">结果表!H118</f>
        <v>886</v>
      </c>
      <c r="E14" s="1741">
        <f ca="1">ROUND(D14*10000/B14,0)</f>
        <v>12500</v>
      </c>
      <c r="F14" s="1741" t="e">
        <f ca="1">ROUND(D14*10000/C14,0)</f>
        <v>#DIV/0!</v>
      </c>
      <c r="G14" s="1741">
        <f ca="1">结果表!D122</f>
        <v>886</v>
      </c>
      <c r="H14" s="1741" t="str">
        <f>'结果表（1）'!D124</f>
        <v>——</v>
      </c>
      <c r="I14" s="1741">
        <f ca="1">'结果表（1）'!D126</f>
        <v>332</v>
      </c>
      <c r="J14" s="1740"/>
    </row>
    <row r="15" spans="1:10" ht="16.5">
      <c r="A15" s="1739" t="s">
        <v>1344</v>
      </c>
      <c r="B15" s="1746">
        <f>[1]系统读取表!$B$14</f>
        <v>693.12</v>
      </c>
      <c r="C15" s="1746"/>
      <c r="D15" s="1746">
        <f ca="1">[1]系统读取表!$D$14</f>
        <v>1681</v>
      </c>
      <c r="E15" s="1741">
        <f t="shared" ref="E15:E23" ca="1" si="0">ROUND(D15*10000/B15,0)</f>
        <v>24253</v>
      </c>
      <c r="F15" s="1741" t="e">
        <f t="shared" ref="F15:F23" ca="1" si="1">ROUND(D15*10000/C15,0)</f>
        <v>#DIV/0!</v>
      </c>
      <c r="G15" s="1747">
        <f ca="1">[1]系统读取表!$G$14</f>
        <v>1681</v>
      </c>
      <c r="H15" s="1747"/>
      <c r="I15" s="1746">
        <f ca="1">[1]系统读取表!$I$14</f>
        <v>729</v>
      </c>
      <c r="J15" s="1740"/>
    </row>
    <row r="16" spans="1:10" ht="16.5">
      <c r="A16" s="1739" t="s">
        <v>1343</v>
      </c>
      <c r="B16" s="1746">
        <f>[2]系统读取表!$B$14</f>
        <v>1531.9299999999998</v>
      </c>
      <c r="C16" s="1746"/>
      <c r="D16" s="1746">
        <f ca="1">[2]系统读取表!$D$14</f>
        <v>6916</v>
      </c>
      <c r="E16" s="1741">
        <f t="shared" ca="1" si="0"/>
        <v>45146</v>
      </c>
      <c r="F16" s="1741" t="e">
        <f t="shared" ca="1" si="1"/>
        <v>#DIV/0!</v>
      </c>
      <c r="G16" s="1747">
        <f ca="1">[2]系统读取表!$G$14</f>
        <v>6916</v>
      </c>
      <c r="H16" s="1747"/>
      <c r="I16" s="1746">
        <f ca="1">[2]系统读取表!$I$14</f>
        <v>3460</v>
      </c>
    </row>
    <row r="17" spans="1:9" ht="16.5">
      <c r="A17" s="1739" t="s">
        <v>1342</v>
      </c>
      <c r="B17" s="1746">
        <f>[3]系统读取表!$B$14</f>
        <v>631.32000000000005</v>
      </c>
      <c r="C17" s="1746"/>
      <c r="D17" s="1746">
        <f ca="1">[3]系统读取表!$D$14</f>
        <v>2856</v>
      </c>
      <c r="E17" s="1741">
        <f t="shared" ca="1" si="0"/>
        <v>45239</v>
      </c>
      <c r="F17" s="1741" t="e">
        <f t="shared" ca="1" si="1"/>
        <v>#DIV/0!</v>
      </c>
      <c r="G17" s="1747">
        <f ca="1">[3]系统读取表!$G$14</f>
        <v>2856</v>
      </c>
      <c r="H17" s="1747"/>
      <c r="I17" s="1746">
        <f ca="1">[3]系统读取表!$I$14</f>
        <v>2311</v>
      </c>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topLeftCell="B52" zoomScaleNormal="100" zoomScaleSheetLayoutView="100" zoomScalePageLayoutView="80" workbookViewId="0">
      <selection activeCell="G69" sqref="G6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96" t="str">
        <f>项目基本情况!S2</f>
        <v>北京市出让国有建设用地使用权及在建建筑物房地产</v>
      </c>
      <c r="B2" s="3197"/>
      <c r="C2" s="3197"/>
      <c r="D2" s="3197"/>
      <c r="E2" s="3197"/>
      <c r="F2" s="3197"/>
      <c r="G2" s="3197"/>
      <c r="H2" s="3197"/>
      <c r="I2" s="3198"/>
    </row>
    <row r="3" spans="1:12" ht="12.75">
      <c r="A3" s="3199" t="s">
        <v>2119</v>
      </c>
      <c r="B3" s="3200"/>
      <c r="C3" s="3200"/>
      <c r="D3" s="3200"/>
      <c r="E3" s="3200"/>
      <c r="F3" s="3200"/>
      <c r="G3" s="3200"/>
      <c r="H3" s="3200"/>
      <c r="I3" s="3200"/>
    </row>
    <row r="4" spans="1:12" ht="14.25">
      <c r="A4" s="2425" t="s">
        <v>2120</v>
      </c>
      <c r="B4" s="2426" t="s">
        <v>2121</v>
      </c>
      <c r="C4" s="2427" t="s">
        <v>3120</v>
      </c>
      <c r="D4" s="2427" t="s">
        <v>3120</v>
      </c>
      <c r="E4" s="3160" t="s">
        <v>2122</v>
      </c>
      <c r="F4" s="3162"/>
      <c r="G4" s="3162"/>
      <c r="H4" s="3162"/>
      <c r="I4" s="3161"/>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1" t="s">
        <v>2123</v>
      </c>
      <c r="B5" s="3059">
        <v>25</v>
      </c>
      <c r="C5" s="3192"/>
      <c r="D5" s="3194"/>
      <c r="E5" s="140" t="s">
        <v>2124</v>
      </c>
      <c r="F5" s="2429"/>
      <c r="G5" s="2429"/>
      <c r="H5" s="2429"/>
      <c r="I5" s="1831"/>
    </row>
    <row r="6" spans="1:12" ht="12.75">
      <c r="A6" s="3191"/>
      <c r="B6" s="3059"/>
      <c r="C6" s="3195"/>
      <c r="D6" s="3194"/>
      <c r="E6" s="140" t="s">
        <v>2125</v>
      </c>
      <c r="F6" s="2429"/>
      <c r="G6" s="2429"/>
      <c r="H6" s="2429"/>
      <c r="I6" s="1831"/>
    </row>
    <row r="7" spans="1:12" ht="12.75">
      <c r="A7" s="3191"/>
      <c r="B7" s="3059"/>
      <c r="C7" s="3193"/>
      <c r="D7" s="3194"/>
      <c r="E7" s="140" t="s">
        <v>2126</v>
      </c>
      <c r="F7" s="2429"/>
      <c r="G7" s="2429"/>
      <c r="H7" s="2429"/>
      <c r="I7" s="1831"/>
    </row>
    <row r="8" spans="1:12" ht="12.75">
      <c r="A8" s="3191" t="s">
        <v>2127</v>
      </c>
      <c r="B8" s="3059">
        <v>15</v>
      </c>
      <c r="C8" s="3192"/>
      <c r="D8" s="3194"/>
      <c r="E8" s="140" t="s">
        <v>2128</v>
      </c>
      <c r="F8" s="2429"/>
      <c r="G8" s="2429"/>
      <c r="H8" s="2429"/>
      <c r="I8" s="1831"/>
    </row>
    <row r="9" spans="1:12" ht="12.75">
      <c r="A9" s="3191"/>
      <c r="B9" s="3059"/>
      <c r="C9" s="3193"/>
      <c r="D9" s="3194"/>
      <c r="E9" s="140" t="s">
        <v>2129</v>
      </c>
      <c r="F9" s="2429"/>
      <c r="G9" s="2429"/>
      <c r="H9" s="2429"/>
      <c r="I9" s="1831"/>
    </row>
    <row r="10" spans="1:12" ht="12.75">
      <c r="A10" s="3191" t="s">
        <v>2130</v>
      </c>
      <c r="B10" s="3059">
        <v>15</v>
      </c>
      <c r="C10" s="3192"/>
      <c r="D10" s="3194"/>
      <c r="E10" s="140" t="s">
        <v>2131</v>
      </c>
      <c r="F10" s="2429"/>
      <c r="G10" s="2429"/>
      <c r="H10" s="2429"/>
      <c r="I10" s="1831"/>
    </row>
    <row r="11" spans="1:12" ht="12.75">
      <c r="A11" s="3191"/>
      <c r="B11" s="3059"/>
      <c r="C11" s="3193"/>
      <c r="D11" s="3194"/>
      <c r="E11" s="140" t="s">
        <v>2132</v>
      </c>
      <c r="F11" s="2429"/>
      <c r="G11" s="2429"/>
      <c r="H11" s="2429"/>
      <c r="I11" s="1831"/>
    </row>
    <row r="12" spans="1:12" ht="12.75">
      <c r="A12" s="3191" t="s">
        <v>2133</v>
      </c>
      <c r="B12" s="3059">
        <v>15</v>
      </c>
      <c r="C12" s="3192"/>
      <c r="D12" s="3194"/>
      <c r="E12" s="140" t="s">
        <v>2134</v>
      </c>
      <c r="F12" s="2429"/>
      <c r="G12" s="2429"/>
      <c r="H12" s="2429"/>
      <c r="I12" s="1831"/>
    </row>
    <row r="13" spans="1:12" ht="12.75">
      <c r="A13" s="3191"/>
      <c r="B13" s="3059"/>
      <c r="C13" s="3193"/>
      <c r="D13" s="3194"/>
      <c r="E13" s="140" t="s">
        <v>2135</v>
      </c>
      <c r="F13" s="2429"/>
      <c r="G13" s="2429"/>
      <c r="H13" s="2429"/>
      <c r="I13" s="1831"/>
    </row>
    <row r="14" spans="1:12" ht="12.75">
      <c r="A14" s="3191" t="s">
        <v>2136</v>
      </c>
      <c r="B14" s="3059">
        <v>30</v>
      </c>
      <c r="C14" s="3192">
        <v>1</v>
      </c>
      <c r="D14" s="3194">
        <v>0</v>
      </c>
      <c r="E14" s="140" t="s">
        <v>2137</v>
      </c>
      <c r="F14" s="2429"/>
      <c r="G14" s="2429"/>
      <c r="H14" s="2429"/>
      <c r="I14" s="1831"/>
    </row>
    <row r="15" spans="1:12" ht="12.75">
      <c r="A15" s="3191"/>
      <c r="B15" s="3059"/>
      <c r="C15" s="3195"/>
      <c r="D15" s="3194"/>
      <c r="E15" s="140" t="s">
        <v>2138</v>
      </c>
      <c r="F15" s="2429"/>
      <c r="G15" s="2429"/>
      <c r="H15" s="2429"/>
      <c r="I15" s="1831"/>
    </row>
    <row r="16" spans="1:12" ht="12.75">
      <c r="A16" s="3191"/>
      <c r="B16" s="3059"/>
      <c r="C16" s="3193"/>
      <c r="D16" s="3194"/>
      <c r="E16" s="140" t="s">
        <v>2139</v>
      </c>
      <c r="F16" s="2429"/>
      <c r="G16" s="2429"/>
      <c r="H16" s="2429"/>
      <c r="I16" s="1831"/>
    </row>
    <row r="17" spans="1:35" ht="15">
      <c r="A17" s="2430" t="s">
        <v>2140</v>
      </c>
      <c r="B17" s="64"/>
      <c r="C17" s="141">
        <f>SUM(C5:C16)</f>
        <v>1</v>
      </c>
      <c r="D17" s="141">
        <f>SUM(D5:D16)</f>
        <v>0</v>
      </c>
      <c r="E17" s="138"/>
      <c r="F17" s="138"/>
      <c r="G17" s="138"/>
      <c r="H17" s="138"/>
      <c r="I17" s="138"/>
      <c r="K17" s="2428"/>
      <c r="L17" s="2431" t="s">
        <v>2141</v>
      </c>
      <c r="M17" s="2431" t="s">
        <v>2142</v>
      </c>
    </row>
    <row r="18" spans="1:35" ht="15.75" thickBot="1">
      <c r="A18" s="2432" t="s">
        <v>2143</v>
      </c>
      <c r="B18" s="2433"/>
      <c r="C18" s="142">
        <f>ROUND(C17/SUM(C17:D17),2)</f>
        <v>1</v>
      </c>
      <c r="D18" s="142">
        <f>1-C18</f>
        <v>0</v>
      </c>
      <c r="E18" s="138"/>
      <c r="F18" s="138"/>
      <c r="G18" s="138"/>
      <c r="H18" s="138"/>
      <c r="I18" s="138"/>
      <c r="K18" s="2428" t="s">
        <v>2144</v>
      </c>
      <c r="L18" s="2428">
        <f>IF(C1="",'数据-汇总表'!E3,SUMIF(项目类型,C1,'数据-汇总表'!E17:E26)+SUMIF(项目类型,C1,'数据-汇总表'!I17:I26))</f>
        <v>708.8</v>
      </c>
      <c r="M18" s="2428">
        <f>IF(C1="",'数据-汇总表'!E3,SUMIF(项目类型,C1,'数据-汇总表'!E17:E26))</f>
        <v>708.8</v>
      </c>
    </row>
    <row r="19" spans="1:35" ht="15">
      <c r="A19" s="2434" t="s">
        <v>2145</v>
      </c>
      <c r="B19" s="2435" t="s">
        <v>2146</v>
      </c>
      <c r="C19" s="143">
        <f ca="1">SUMIF(INDIRECT("'"&amp;C4&amp;"'"&amp;"!A:A"),结果表!B19,INDIRECT("'"&amp;C4&amp;"'"&amp;"!B:B"))</f>
        <v>886</v>
      </c>
      <c r="D19" s="144">
        <f ca="1">SUMIF(INDIRECT("'"&amp;D4&amp;"'"&amp;"!A:A"),结果表!B19,INDIRECT("'"&amp;D4&amp;"'"&amp;"!B:B"))</f>
        <v>886</v>
      </c>
      <c r="E19" s="2434" t="s">
        <v>2147</v>
      </c>
      <c r="F19" s="2435" t="s">
        <v>2146</v>
      </c>
      <c r="G19" s="145">
        <f ca="1">ROUND(C19*$C$18+D19*$D$18,0)</f>
        <v>886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12500</v>
      </c>
      <c r="D20" s="147">
        <f ca="1">SUMIF(INDIRECT("'"&amp;D4&amp;"'"&amp;"!A:A"),结果表!B20,INDIRECT("'"&amp;D4&amp;"'"&amp;"!B:B"))</f>
        <v>12500</v>
      </c>
      <c r="E20" s="2437"/>
      <c r="F20" s="1247" t="s">
        <v>2150</v>
      </c>
      <c r="G20" s="148">
        <f ca="1">ROUND(C20*$C$18+D20*$D$18,0)</f>
        <v>12500</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v>
      </c>
      <c r="E22" s="138"/>
      <c r="F22" s="138"/>
      <c r="G22" s="138"/>
      <c r="H22" s="138"/>
      <c r="I22" s="138"/>
    </row>
    <row r="23" spans="1:35" ht="13.5" thickBot="1">
      <c r="A23" s="2418"/>
      <c r="B23" s="2418"/>
      <c r="C23" s="2418"/>
      <c r="D23" s="2418"/>
      <c r="E23" s="138"/>
      <c r="F23" s="138"/>
      <c r="G23" s="138"/>
      <c r="H23" s="138"/>
      <c r="I23" s="138"/>
    </row>
    <row r="24" spans="1:35" ht="14.25">
      <c r="A24" s="3179" t="s">
        <v>2154</v>
      </c>
      <c r="B24" s="2435" t="s">
        <v>2146</v>
      </c>
      <c r="C24" s="145">
        <f>IF(B30=0,0,D30)</f>
        <v>0</v>
      </c>
      <c r="D24" s="2442"/>
      <c r="E24" s="138"/>
      <c r="F24" s="138"/>
      <c r="G24" s="138"/>
      <c r="H24" s="138"/>
      <c r="I24" s="138"/>
    </row>
    <row r="25" spans="1:35" ht="14.25">
      <c r="A25" s="3180"/>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886</v>
      </c>
      <c r="D32" s="2449" t="s">
        <v>2161</v>
      </c>
      <c r="E32" s="138"/>
      <c r="F32" s="138"/>
      <c r="G32" s="138"/>
      <c r="H32" s="138"/>
      <c r="I32" s="138"/>
    </row>
    <row r="33" spans="1:15" ht="15">
      <c r="A33" s="957" t="s">
        <v>2162</v>
      </c>
      <c r="B33" s="2450"/>
      <c r="C33" s="2451"/>
      <c r="D33" s="2452"/>
      <c r="E33" s="2453" t="s">
        <v>2163</v>
      </c>
      <c r="F33" s="2956"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81" t="s">
        <v>2168</v>
      </c>
      <c r="B36" s="2461" t="s">
        <v>2169</v>
      </c>
      <c r="C36" s="154"/>
      <c r="D36" s="2462"/>
      <c r="E36" s="2463"/>
      <c r="F36" s="2464"/>
      <c r="G36" s="138"/>
      <c r="H36" s="138"/>
      <c r="I36" s="138"/>
    </row>
    <row r="37" spans="1:15" ht="15.75" thickBot="1">
      <c r="A37" s="3182"/>
      <c r="B37" s="2267" t="s">
        <v>2170</v>
      </c>
      <c r="C37" s="156"/>
      <c r="D37" s="1392"/>
      <c r="E37" s="1392"/>
      <c r="F37" s="2464"/>
      <c r="G37" s="138"/>
      <c r="H37" s="138"/>
      <c r="I37" s="138"/>
    </row>
    <row r="38" spans="1:15" ht="15.75" thickBot="1">
      <c r="A38" s="3183"/>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84" t="s">
        <v>2182</v>
      </c>
      <c r="B45" s="3185"/>
      <c r="C45" s="3186"/>
      <c r="D45" s="164">
        <f ca="1">ROUND(H101*F45,0)</f>
        <v>886</v>
      </c>
      <c r="E45" s="165" t="s">
        <v>2183</v>
      </c>
      <c r="F45" s="166">
        <v>1</v>
      </c>
      <c r="G45" s="167" t="s">
        <v>2184</v>
      </c>
      <c r="H45" s="138"/>
      <c r="I45" s="138"/>
      <c r="J45" s="3172" t="s">
        <v>2185</v>
      </c>
      <c r="K45" s="3172"/>
      <c r="L45" s="3172"/>
      <c r="M45" s="3172"/>
      <c r="N45" s="3172"/>
      <c r="O45" s="3172"/>
    </row>
    <row r="46" spans="1:15" ht="14.25" customHeight="1">
      <c r="A46" s="3187" t="s">
        <v>2186</v>
      </c>
      <c r="B46" s="3188"/>
      <c r="C46" s="3188"/>
      <c r="D46" s="3188"/>
      <c r="E46" s="3188"/>
      <c r="F46" s="3188"/>
      <c r="G46" s="3189"/>
      <c r="H46" s="2480"/>
      <c r="I46" s="168"/>
      <c r="J46" s="2966">
        <v>1</v>
      </c>
      <c r="K46" s="3172" t="s">
        <v>2187</v>
      </c>
      <c r="L46" s="3172"/>
      <c r="M46" s="3190"/>
      <c r="N46" s="3190"/>
      <c r="O46" s="3190"/>
    </row>
    <row r="47" spans="1:15" ht="12" customHeight="1">
      <c r="A47" s="169" t="s">
        <v>2188</v>
      </c>
      <c r="B47" s="170"/>
      <c r="C47" s="171"/>
      <c r="D47" s="172" t="s">
        <v>2189</v>
      </c>
      <c r="E47" s="24" t="s">
        <v>2190</v>
      </c>
      <c r="F47" s="173" t="s">
        <v>2191</v>
      </c>
      <c r="G47" s="174" t="s">
        <v>2192</v>
      </c>
      <c r="H47" s="2480"/>
      <c r="I47" s="168"/>
      <c r="J47" s="2966">
        <v>2</v>
      </c>
      <c r="K47" s="3172" t="s">
        <v>2193</v>
      </c>
      <c r="L47" s="3172"/>
      <c r="M47" s="3173">
        <f>'数据-取费表'!B2</f>
        <v>43914</v>
      </c>
      <c r="N47" s="3173"/>
      <c r="O47" s="3173"/>
    </row>
    <row r="48" spans="1:15" ht="25.5">
      <c r="A48" s="3174" t="s">
        <v>2194</v>
      </c>
      <c r="B48" s="3169"/>
      <c r="C48" s="3169"/>
      <c r="D48" s="140">
        <f>IF(H48="情况1",0,IF(H48="情况2",D52,IF(H48="情况3",D53,IF(H48="情况4",D54))))</f>
        <v>0</v>
      </c>
      <c r="E48" s="2960" t="str">
        <f>IF(H48="情况4","(销售额-原购置价)×税（费）率","销售额×税（费）率")</f>
        <v>销售额×税（费）率</v>
      </c>
      <c r="F48" s="175" t="str">
        <f>IF(H48="情况1","免征",'数据-取费表'!B41)</f>
        <v>免征</v>
      </c>
      <c r="G48" s="2481" t="s">
        <v>2195</v>
      </c>
      <c r="H48" s="2482" t="s">
        <v>2196</v>
      </c>
      <c r="I48" s="2480"/>
      <c r="J48" s="2966">
        <v>3</v>
      </c>
      <c r="K48" s="3172" t="s">
        <v>2197</v>
      </c>
      <c r="L48" s="3172"/>
      <c r="M48" s="3175">
        <f ca="1">H101</f>
        <v>886</v>
      </c>
      <c r="N48" s="3175"/>
      <c r="O48" s="3175"/>
    </row>
    <row r="49" spans="1:35" ht="25.5" customHeight="1">
      <c r="A49" s="176" t="s">
        <v>2198</v>
      </c>
      <c r="B49" s="3149" t="s">
        <v>2199</v>
      </c>
      <c r="C49" s="3149"/>
      <c r="D49" s="177">
        <v>0</v>
      </c>
      <c r="E49" s="23" t="s">
        <v>2200</v>
      </c>
      <c r="F49" s="28" t="s">
        <v>34</v>
      </c>
      <c r="G49" s="3176"/>
      <c r="H49" s="138"/>
      <c r="I49" s="2483"/>
      <c r="J49" s="2966">
        <v>4</v>
      </c>
      <c r="K49" s="3172" t="str">
        <f>IF(项目基本情况!E8="房地产抵押价值","房地产抵押价值","抵押担保权已注销时的房地产抵押价值")</f>
        <v>房地产抵押价值</v>
      </c>
      <c r="L49" s="3172"/>
      <c r="M49" s="3175">
        <f ca="1">IF(项目基本情况!E8="房地产抵押价值",H107,H109)</f>
        <v>886</v>
      </c>
      <c r="N49" s="3175"/>
      <c r="O49" s="3175"/>
    </row>
    <row r="50" spans="1:35" ht="25.5" customHeight="1">
      <c r="A50" s="178"/>
      <c r="B50" s="3149" t="s">
        <v>2201</v>
      </c>
      <c r="C50" s="3149"/>
      <c r="D50" s="179"/>
      <c r="E50" s="31"/>
      <c r="F50" s="180"/>
      <c r="G50" s="3177"/>
      <c r="H50" s="138"/>
      <c r="I50" s="2483"/>
      <c r="J50" s="3172" t="s">
        <v>2202</v>
      </c>
      <c r="K50" s="3172"/>
      <c r="L50" s="3172"/>
      <c r="M50" s="3172"/>
      <c r="N50" s="3172"/>
      <c r="O50" s="3172"/>
    </row>
    <row r="51" spans="1:35" ht="12" customHeight="1">
      <c r="A51" s="181"/>
      <c r="B51" s="3149" t="s">
        <v>2203</v>
      </c>
      <c r="C51" s="3149"/>
      <c r="D51" s="182"/>
      <c r="E51" s="30"/>
      <c r="F51" s="180"/>
      <c r="G51" s="3178"/>
      <c r="H51" s="138"/>
      <c r="I51" s="2483"/>
      <c r="J51" s="2965" t="s">
        <v>2204</v>
      </c>
      <c r="K51" s="3172" t="s">
        <v>2205</v>
      </c>
      <c r="L51" s="3172"/>
      <c r="M51" s="2965" t="s">
        <v>2206</v>
      </c>
      <c r="N51" s="2965" t="s">
        <v>2207</v>
      </c>
      <c r="O51" s="2965" t="s">
        <v>2208</v>
      </c>
    </row>
    <row r="52" spans="1:35" ht="24" customHeight="1">
      <c r="A52" s="183" t="s">
        <v>2209</v>
      </c>
      <c r="B52" s="3149" t="s">
        <v>2210</v>
      </c>
      <c r="C52" s="3149"/>
      <c r="D52" s="182">
        <f ca="1">ROUND(D45*'数据-取费表'!B41/(1+'数据-取费表'!C42),0)</f>
        <v>47</v>
      </c>
      <c r="E52" s="11" t="s">
        <v>2211</v>
      </c>
      <c r="F52" s="184">
        <f>'数据-取费表'!B41</f>
        <v>5.6000000000000001E-2</v>
      </c>
      <c r="G52" s="2485"/>
      <c r="H52" s="138"/>
      <c r="I52" s="2483"/>
      <c r="J52" s="2966">
        <v>1</v>
      </c>
      <c r="K52" s="3156" t="s">
        <v>2212</v>
      </c>
      <c r="L52" s="3156"/>
      <c r="M52" s="1751">
        <f>D48</f>
        <v>0</v>
      </c>
      <c r="N52" s="2966" t="str">
        <f>E48</f>
        <v>销售额×税（费）率</v>
      </c>
      <c r="O52" s="1752" t="str">
        <f>F48</f>
        <v>免征</v>
      </c>
    </row>
    <row r="53" spans="1:35" ht="12" customHeight="1">
      <c r="A53" s="183" t="s">
        <v>2213</v>
      </c>
      <c r="B53" s="3148" t="s">
        <v>2214</v>
      </c>
      <c r="C53" s="3167"/>
      <c r="D53" s="182">
        <f ca="1">ROUND(D45*'数据-取费表'!B41/(1+'数据-取费表'!C42),0)</f>
        <v>47</v>
      </c>
      <c r="E53" s="11" t="s">
        <v>2211</v>
      </c>
      <c r="F53" s="184">
        <f>'数据-取费表'!B41</f>
        <v>5.6000000000000001E-2</v>
      </c>
      <c r="G53" s="2485"/>
      <c r="H53" s="138"/>
      <c r="I53" s="2483"/>
      <c r="J53" s="2966">
        <v>2</v>
      </c>
      <c r="K53" s="3156" t="s">
        <v>2215</v>
      </c>
      <c r="L53" s="3156"/>
      <c r="M53" s="1751">
        <f t="shared" ref="M53:O54" ca="1" si="0">D55</f>
        <v>0</v>
      </c>
      <c r="N53" s="2966" t="str">
        <f t="shared" si="0"/>
        <v>销售额×税（费）率</v>
      </c>
      <c r="O53" s="1752">
        <f t="shared" si="0"/>
        <v>5.0000000000000001E-4</v>
      </c>
    </row>
    <row r="54" spans="1:35" ht="12" customHeight="1">
      <c r="A54" s="183" t="s">
        <v>2216</v>
      </c>
      <c r="B54" s="3148" t="s">
        <v>2217</v>
      </c>
      <c r="C54" s="3167"/>
      <c r="D54" s="182">
        <f ca="1">C68</f>
        <v>47</v>
      </c>
      <c r="E54" s="30" t="s">
        <v>2218</v>
      </c>
      <c r="F54" s="184">
        <f>'数据-取费表'!B41</f>
        <v>5.6000000000000001E-2</v>
      </c>
      <c r="G54" s="2485"/>
      <c r="H54" s="2486"/>
      <c r="I54" s="2483"/>
      <c r="J54" s="2966">
        <v>3</v>
      </c>
      <c r="K54" s="3156" t="s">
        <v>2219</v>
      </c>
      <c r="L54" s="3156"/>
      <c r="M54" s="1751">
        <f t="shared" ca="1" si="0"/>
        <v>185</v>
      </c>
      <c r="N54" s="2966" t="str">
        <f t="shared" si="0"/>
        <v>增值额×税（费）率</v>
      </c>
      <c r="O54" s="1753" t="str">
        <f t="shared" si="0"/>
        <v>——</v>
      </c>
    </row>
    <row r="55" spans="1:35" ht="24" customHeight="1">
      <c r="A55" s="3168" t="s">
        <v>2220</v>
      </c>
      <c r="B55" s="3169"/>
      <c r="C55" s="3169"/>
      <c r="D55" s="185">
        <f ca="1">IF(H55="个人住宅",0,ROUND(D45*I55,0))</f>
        <v>0</v>
      </c>
      <c r="E55" s="11" t="s">
        <v>2221</v>
      </c>
      <c r="F55" s="184">
        <f>IF(H55="正常",I55,"免征")</f>
        <v>5.0000000000000001E-4</v>
      </c>
      <c r="G55" s="2485"/>
      <c r="H55" s="2482" t="s">
        <v>2222</v>
      </c>
      <c r="I55" s="186">
        <f>'数据-取费表'!B49</f>
        <v>5.0000000000000001E-4</v>
      </c>
      <c r="J55" s="2966" t="str">
        <f>IF(H59="非个人房产","",4)</f>
        <v/>
      </c>
      <c r="K55" s="3156" t="str">
        <f>IF(H59="非个人房产","——","个人所得税")</f>
        <v>——</v>
      </c>
      <c r="L55" s="3156"/>
      <c r="M55" s="1754" t="str">
        <f>D59</f>
        <v>——</v>
      </c>
      <c r="N55" s="2967" t="str">
        <f>E59</f>
        <v>——</v>
      </c>
      <c r="O55" s="1755" t="str">
        <f>F59</f>
        <v>——</v>
      </c>
    </row>
    <row r="56" spans="1:35" ht="24.75">
      <c r="A56" s="3168" t="s">
        <v>2223</v>
      </c>
      <c r="B56" s="3169"/>
      <c r="C56" s="3169"/>
      <c r="D56" s="185">
        <f ca="1">IF(H56="个人住宅",D57,D58)</f>
        <v>185</v>
      </c>
      <c r="E56" s="11" t="s">
        <v>2224</v>
      </c>
      <c r="F56" s="184" t="str">
        <f>IF(H56="正常",F58,"免征")</f>
        <v>——</v>
      </c>
      <c r="G56" s="2487" t="s">
        <v>2225</v>
      </c>
      <c r="H56" s="2488" t="s">
        <v>2222</v>
      </c>
      <c r="I56" s="2489"/>
      <c r="J56" s="2966" t="str">
        <f>IF(项目基本情况!K6="上海银行",IF(J55="",4,J55+1),"")</f>
        <v/>
      </c>
      <c r="K56" s="3170" t="str">
        <f>IF(项目基本情况!K6="上海银行","其他处置费用","")</f>
        <v/>
      </c>
      <c r="L56" s="3171"/>
      <c r="M56" s="1751" t="str">
        <f>IF(项目基本情况!K6="上海银行",M69,"")</f>
        <v/>
      </c>
      <c r="N56" s="3158" t="str">
        <f>IF(项目基本情况!K6="上海银行","包含处置中涉及的律师、诉讼、拍卖、评估等费用","")</f>
        <v/>
      </c>
      <c r="O56" s="3159"/>
    </row>
    <row r="57" spans="1:35" ht="12.75">
      <c r="A57" s="183" t="s">
        <v>2198</v>
      </c>
      <c r="B57" s="3160" t="s">
        <v>2226</v>
      </c>
      <c r="C57" s="3161"/>
      <c r="D57" s="187">
        <v>0</v>
      </c>
      <c r="E57" s="23" t="s">
        <v>2200</v>
      </c>
      <c r="F57" s="155"/>
      <c r="G57" s="2485"/>
      <c r="H57" s="2489"/>
      <c r="I57" s="2489"/>
      <c r="J57" s="3156">
        <f>IF(AND(J55="",J56=""),4,IF(项目基本情况!K6="上海银行",结果表!J56+1,结果表!J55+1))</f>
        <v>4</v>
      </c>
      <c r="K57" s="3156" t="s">
        <v>2227</v>
      </c>
      <c r="L57" s="2490" t="s">
        <v>2228</v>
      </c>
      <c r="M57" s="1756"/>
      <c r="N57" s="1757">
        <f ca="1">SUMIF(M52:M56,"&lt;9e307")</f>
        <v>185</v>
      </c>
      <c r="O57" s="2491"/>
      <c r="P57" s="1750">
        <f ca="1">N57/M49</f>
        <v>0.20880361173814899</v>
      </c>
    </row>
    <row r="58" spans="1:35" ht="24.75">
      <c r="A58" s="183" t="s">
        <v>2209</v>
      </c>
      <c r="B58" s="3160" t="s">
        <v>2229</v>
      </c>
      <c r="C58" s="3162"/>
      <c r="D58" s="185">
        <f ca="1">IF(H58="转让取得",C81,C97)</f>
        <v>185</v>
      </c>
      <c r="E58" s="11" t="s">
        <v>2224</v>
      </c>
      <c r="F58" s="24" t="s">
        <v>34</v>
      </c>
      <c r="G58" s="2485"/>
      <c r="H58" s="2488" t="s">
        <v>2230</v>
      </c>
      <c r="I58" s="2489"/>
      <c r="J58" s="3156"/>
      <c r="K58" s="3156"/>
      <c r="L58" s="2490" t="s">
        <v>2231</v>
      </c>
      <c r="M58" s="1758"/>
      <c r="N58" s="2492" t="str">
        <f ca="1">NUMBERSTRING(INT(N57*10000),2)&amp;"元整"</f>
        <v>壹佰捌拾伍万元整</v>
      </c>
      <c r="O58" s="2493"/>
    </row>
    <row r="59" spans="1:35" ht="24.75" thickBot="1">
      <c r="A59" s="3163" t="s">
        <v>2232</v>
      </c>
      <c r="B59" s="3164"/>
      <c r="C59" s="3164"/>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65">
        <f>J57+1</f>
        <v>5</v>
      </c>
      <c r="K59" s="3156" t="s">
        <v>2234</v>
      </c>
      <c r="L59" s="2966" t="s">
        <v>2228</v>
      </c>
      <c r="M59" s="1759"/>
      <c r="N59" s="1760">
        <f ca="1">M49-N57</f>
        <v>701</v>
      </c>
      <c r="O59" s="2495"/>
    </row>
    <row r="60" spans="1:35" ht="12" customHeight="1">
      <c r="A60" s="2496"/>
      <c r="B60" s="2418"/>
      <c r="C60" s="2418"/>
      <c r="D60" s="2418"/>
      <c r="E60" s="2166"/>
      <c r="F60" s="2489"/>
      <c r="G60" s="2489"/>
      <c r="H60" s="2497"/>
      <c r="I60" s="138"/>
      <c r="J60" s="3166"/>
      <c r="K60" s="3156"/>
      <c r="L60" s="2490" t="s">
        <v>2231</v>
      </c>
      <c r="M60" s="1758"/>
      <c r="N60" s="2492" t="str">
        <f ca="1">NUMBERSTRING(INT(N59*10000),2)&amp;"元整"</f>
        <v>柒佰零壹万元整</v>
      </c>
      <c r="O60" s="2493"/>
    </row>
    <row r="61" spans="1:35" ht="13.5" thickBot="1">
      <c r="A61" s="3155" t="s">
        <v>2235</v>
      </c>
      <c r="B61" s="3155"/>
      <c r="C61" s="3155"/>
      <c r="D61" s="3155"/>
      <c r="E61" s="3155"/>
      <c r="F61" s="2489"/>
      <c r="G61" s="2489"/>
      <c r="H61" s="2497"/>
      <c r="I61" s="138"/>
      <c r="J61" s="2966">
        <f>J59+1</f>
        <v>6</v>
      </c>
      <c r="K61" s="3156" t="s">
        <v>2236</v>
      </c>
      <c r="L61" s="3156"/>
      <c r="M61" s="1761"/>
      <c r="N61" s="1762">
        <f ca="1">ROUND(N59*10000/'数据-汇总表'!E3,0)</f>
        <v>9890</v>
      </c>
      <c r="O61" s="2498"/>
    </row>
    <row r="62" spans="1:35" ht="12.75">
      <c r="A62" s="3153" t="s">
        <v>2237</v>
      </c>
      <c r="B62" s="3154"/>
      <c r="C62" s="2963"/>
      <c r="D62" s="2963" t="s">
        <v>2238</v>
      </c>
      <c r="E62" s="192" t="s">
        <v>2239</v>
      </c>
      <c r="F62" s="2489"/>
      <c r="G62" s="2489"/>
      <c r="H62" s="2497"/>
      <c r="I62" s="138"/>
    </row>
    <row r="63" spans="1:35" ht="12.75">
      <c r="A63" s="203" t="s">
        <v>775</v>
      </c>
      <c r="B63" s="193" t="s">
        <v>2240</v>
      </c>
      <c r="C63" s="194">
        <f ca="1">ROUND((C64+C65)/(1+'数据-取费表'!C42),0)</f>
        <v>844</v>
      </c>
      <c r="D63" s="195"/>
      <c r="E63" s="196"/>
      <c r="F63" s="2489"/>
      <c r="G63" s="2489"/>
      <c r="H63" s="2497"/>
      <c r="I63" s="138"/>
      <c r="J63" s="3157" t="s">
        <v>2241</v>
      </c>
      <c r="K63" s="2968" t="s">
        <v>2242</v>
      </c>
      <c r="L63" s="1749">
        <f ca="1">IF(M49&gt;10000,M49*0.5%,IF(AND(M49&gt;1000,M49&lt;=10000),M49*1%,IF(AND(M49&gt;100,M49&lt;=1000),M49*3%,IF(AND(M49&gt;10,M49&lt;=100),M49*5%,M49*8%))))</f>
        <v>26.58</v>
      </c>
      <c r="M63" s="24">
        <f ca="1">ROUND(L63,1)</f>
        <v>26.6</v>
      </c>
      <c r="Z63" s="2423"/>
      <c r="AI63" s="2424"/>
    </row>
    <row r="64" spans="1:35" ht="14.25" customHeight="1">
      <c r="A64" s="197" t="s">
        <v>770</v>
      </c>
      <c r="B64" s="198" t="s">
        <v>2243</v>
      </c>
      <c r="C64" s="199">
        <f ca="1">D45</f>
        <v>886</v>
      </c>
      <c r="D64" s="200" t="s">
        <v>32</v>
      </c>
      <c r="E64" s="201"/>
      <c r="F64" s="2489"/>
      <c r="G64" s="2489"/>
      <c r="H64" s="2497"/>
      <c r="I64" s="138"/>
      <c r="J64" s="3157"/>
      <c r="K64" s="2968" t="s">
        <v>2244</v>
      </c>
      <c r="L64" s="1749">
        <f ca="1">IF(M49&gt;2000,M49*0.5%,IF(AND(M49&gt;1000,M49&lt;=2000),M49*0.6%,IF(AND(M49&gt;500,M49&lt;=1000),M49*0.7%,IF(AND(M49&gt;200,M49&lt;=500),M49*0.8%,IF(AND(M49&gt;100,M49&lt;=200),M49*0.9%,IF(AND(M49&gt;50,M49&lt;=100),M49*1%,IF(AND(M49&gt;20,M49&lt;=50),M49*1.5%,IF(AND(M49&gt;10,M49&lt;=20),M49*2%,IF(AND(M49&gt;1,M49&lt;=10),M49*2.5%)))))))))</f>
        <v>6.2019999999999991</v>
      </c>
      <c r="M64" s="24">
        <f t="shared" ref="M64:M65" ca="1" si="1">ROUND(L64,1)</f>
        <v>6.2</v>
      </c>
      <c r="N64" s="138" t="s">
        <v>2245</v>
      </c>
      <c r="Z64" s="2423"/>
      <c r="AI64" s="2424"/>
    </row>
    <row r="65" spans="1:35" ht="14.25" customHeight="1">
      <c r="A65" s="197" t="s">
        <v>771</v>
      </c>
      <c r="B65" s="198" t="s">
        <v>2246</v>
      </c>
      <c r="C65" s="202"/>
      <c r="D65" s="200"/>
      <c r="E65" s="201"/>
      <c r="F65" s="2489"/>
      <c r="G65" s="2489"/>
      <c r="H65" s="2497"/>
      <c r="I65" s="138"/>
      <c r="J65" s="3157"/>
      <c r="K65" s="2968" t="s">
        <v>2247</v>
      </c>
      <c r="L65" s="1749">
        <f ca="1">IF(M49&gt;1000,M49*0.1%,IF(AND(M49&gt;500,M49&lt;=1000),M49*0.5%,IF(AND(M49&gt;50,M49&lt;=500),M49*1%,IF(AND(M49&gt;1,M49&lt;=50),M49*1.5%))))</f>
        <v>4.43</v>
      </c>
      <c r="M65" s="24">
        <f t="shared" ca="1" si="1"/>
        <v>4.4000000000000004</v>
      </c>
      <c r="N65" s="138" t="s">
        <v>2245</v>
      </c>
      <c r="Z65" s="2423"/>
      <c r="AI65" s="2424"/>
    </row>
    <row r="66" spans="1:35" ht="14.25" customHeight="1">
      <c r="A66" s="203" t="s">
        <v>772</v>
      </c>
      <c r="B66" s="204" t="s">
        <v>2248</v>
      </c>
      <c r="C66" s="205"/>
      <c r="D66" s="206" t="s">
        <v>32</v>
      </c>
      <c r="E66" s="1773" t="s">
        <v>1366</v>
      </c>
      <c r="F66" s="2489"/>
      <c r="G66" s="2489"/>
      <c r="H66" s="2497"/>
      <c r="I66" s="138"/>
      <c r="J66" s="3157"/>
      <c r="K66" s="2968" t="s">
        <v>2249</v>
      </c>
      <c r="L66" s="1749">
        <f ca="1">M49*0.5%</f>
        <v>4.43</v>
      </c>
      <c r="M66" s="24">
        <f ca="1">IF(L66&gt;0.5,0.5,ROUND(L66,0))</f>
        <v>0.5</v>
      </c>
      <c r="N66" s="138" t="s">
        <v>2250</v>
      </c>
      <c r="Z66" s="2423"/>
      <c r="AI66" s="2424"/>
    </row>
    <row r="67" spans="1:35" ht="14.25" customHeight="1">
      <c r="A67" s="203" t="s">
        <v>773</v>
      </c>
      <c r="B67" s="204" t="s">
        <v>2251</v>
      </c>
      <c r="C67" s="207">
        <f ca="1">C63-C66</f>
        <v>844</v>
      </c>
      <c r="D67" s="200" t="s">
        <v>32</v>
      </c>
      <c r="E67" s="201"/>
      <c r="F67" s="2489"/>
      <c r="G67" s="2489"/>
      <c r="H67" s="2497"/>
      <c r="I67" s="138"/>
      <c r="J67" s="3157"/>
      <c r="K67" s="2968" t="s">
        <v>2252</v>
      </c>
      <c r="L67" s="1749">
        <f ca="1">IF(M49&gt;=10000,(8.25+(M49-10000)*0.01%),IF(AND(M49&gt;=8000,M49&lt;10000),(7.85+(M49-8000)*0.02%),IF(AND(M49&gt;=5000,M49&lt;8000),(6.65+(M49-5000)*0.04%),IF(AND(M49&gt;=2000,M49&lt;5000),(4.25+(PM49-2000)*0.08%),IF(AND(M49&gt;=1000,M49&lt;2000),(2.75+(M49-1000)*0.15%),IF(AND(M49&gt;=100,M49&lt;1000),(0.5+(M49-100)*0.25%),IF(AND(M49&gt;0,M49&lt;100),M49*0.5%)))))))</f>
        <v>2.4649999999999999</v>
      </c>
      <c r="M67" s="24">
        <f ca="1">ROUND(L67*0.9,1)</f>
        <v>2.2000000000000002</v>
      </c>
      <c r="Z67" s="2423"/>
      <c r="AI67" s="2424"/>
    </row>
    <row r="68" spans="1:35" ht="14.25" customHeight="1" thickBot="1">
      <c r="A68" s="208" t="s">
        <v>774</v>
      </c>
      <c r="B68" s="209" t="s">
        <v>2253</v>
      </c>
      <c r="C68" s="210">
        <f ca="1">IF(C67&lt;=0,0,ROUND(C67*D68,0))</f>
        <v>47</v>
      </c>
      <c r="D68" s="211">
        <f>'数据-取费表'!B41</f>
        <v>5.6000000000000001E-2</v>
      </c>
      <c r="E68" s="212"/>
      <c r="F68" s="2489"/>
      <c r="G68" s="2489"/>
      <c r="H68" s="2497"/>
      <c r="I68" s="138"/>
      <c r="J68" s="3157"/>
      <c r="K68" s="2968" t="s">
        <v>2254</v>
      </c>
      <c r="L68" s="1749">
        <f ca="1">IF(M49&gt;10000,M49*0.5%,IF(AND(M49&gt;5000,M49&lt;=10000),M49*1%,IF(AND(M49&gt;1000,M49&lt;=5000),M49*2%,IF(AND(M49&gt;200,M49&lt;=1000),M49*3%,M49*5%))))</f>
        <v>26.58</v>
      </c>
      <c r="M68" s="24">
        <f ca="1">ROUND(L68,1)</f>
        <v>26.6</v>
      </c>
      <c r="Z68" s="2423"/>
      <c r="AI68" s="2424"/>
    </row>
    <row r="69" spans="1:35" s="2446" customFormat="1" ht="16.5" customHeight="1">
      <c r="A69" s="2500"/>
      <c r="B69" s="2501"/>
      <c r="C69" s="2502"/>
      <c r="D69" s="2503"/>
      <c r="E69" s="2504"/>
      <c r="F69" s="2166"/>
      <c r="G69" s="2166"/>
      <c r="H69" s="2165"/>
      <c r="I69" s="2418"/>
      <c r="J69" s="3157"/>
      <c r="K69" s="2968" t="s">
        <v>2255</v>
      </c>
      <c r="L69" s="2505"/>
      <c r="M69" s="24">
        <f ca="1">ROUND(SUM(M63:M68),0)</f>
        <v>67</v>
      </c>
      <c r="N69" s="1750">
        <f ca="1">M69/M49</f>
        <v>7.5620767494356658E-2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1" t="s">
        <v>2256</v>
      </c>
      <c r="B70" s="3152"/>
      <c r="C70" s="3152"/>
      <c r="D70" s="3152"/>
      <c r="E70" s="3152"/>
      <c r="F70" s="3152"/>
      <c r="G70" s="3152"/>
      <c r="H70" s="315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3" t="s">
        <v>2237</v>
      </c>
      <c r="B71" s="3154"/>
      <c r="C71" s="2963"/>
      <c r="D71" s="2963"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844</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5</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48" t="s">
        <v>2265</v>
      </c>
      <c r="F76" s="3149"/>
      <c r="G76" s="3149"/>
      <c r="H76" s="315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2969" t="s">
        <v>2267</v>
      </c>
      <c r="F77" s="224"/>
      <c r="G77" s="2513" t="s">
        <v>2268</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5</v>
      </c>
      <c r="D78" s="226">
        <f>'数据-取费表'!B43</f>
        <v>6.000000000000001E-3</v>
      </c>
      <c r="E78" s="3136" t="s">
        <v>2270</v>
      </c>
      <c r="F78" s="3137"/>
      <c r="G78" s="3137"/>
      <c r="H78" s="313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839</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167.8</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502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1" t="s">
        <v>2274</v>
      </c>
      <c r="B83" s="3152"/>
      <c r="C83" s="3152"/>
      <c r="D83" s="3152"/>
      <c r="E83" s="3152"/>
      <c r="F83" s="3152"/>
      <c r="G83" s="3152"/>
      <c r="H83" s="315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3" t="s">
        <v>2237</v>
      </c>
      <c r="B84" s="3154"/>
      <c r="C84" s="2963"/>
      <c r="D84" s="2963"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844</v>
      </c>
      <c r="D85" s="200" t="s">
        <v>32</v>
      </c>
      <c r="E85" s="2962"/>
      <c r="F85" s="2957"/>
      <c r="G85" s="2957"/>
      <c r="H85" s="234"/>
      <c r="I85" s="2512"/>
      <c r="J85" s="2508">
        <v>32960.910000000003</v>
      </c>
      <c r="K85" s="2508">
        <v>133057.29</v>
      </c>
      <c r="L85" s="2508">
        <v>9841.5499999999993</v>
      </c>
      <c r="M85" s="2508">
        <v>10568.17</v>
      </c>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365</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178</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f>J90</f>
        <v>173</v>
      </c>
      <c r="D88" s="226"/>
      <c r="E88" s="237" t="s">
        <v>2277</v>
      </c>
      <c r="F88" s="2959"/>
      <c r="G88" s="238" t="s">
        <v>2278</v>
      </c>
      <c r="H88" s="2517" t="s">
        <v>3122</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5</v>
      </c>
      <c r="D89" s="226">
        <f>'数据-取费表'!B48+'数据-取费表'!B49</f>
        <v>3.0499999999999999E-2</v>
      </c>
      <c r="E89" s="237" t="s">
        <v>2279</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2959"/>
      <c r="G90" s="2959"/>
      <c r="H90" s="2961"/>
      <c r="I90" s="2512"/>
      <c r="J90" s="2508">
        <f>ROUND(J85*L85/K85*'数据-汇总表'!F27/10000,0)</f>
        <v>173</v>
      </c>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 ca="1">IF(H91="——",成本法!C33,I91)</f>
        <v>99</v>
      </c>
      <c r="D91" s="226"/>
      <c r="E91" s="3136" t="s">
        <v>2283</v>
      </c>
      <c r="F91" s="3137"/>
      <c r="G91" s="3137"/>
      <c r="H91" s="2518" t="s">
        <v>2284</v>
      </c>
      <c r="I91" s="2519">
        <f ca="1">收益法!C19</f>
        <v>99</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 ca="1">ROUND((C87+C90+C91)*D92,0)</f>
        <v>28</v>
      </c>
      <c r="D92" s="226">
        <v>0.1</v>
      </c>
      <c r="E92" s="3136" t="s">
        <v>2287</v>
      </c>
      <c r="F92" s="3137"/>
      <c r="G92" s="3137"/>
      <c r="H92" s="313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5</v>
      </c>
      <c r="D93" s="226">
        <f>'数据-取费表'!B43</f>
        <v>6.000000000000001E-3</v>
      </c>
      <c r="E93" s="3136" t="s">
        <v>2270</v>
      </c>
      <c r="F93" s="3137"/>
      <c r="G93" s="3137"/>
      <c r="H93" s="313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 ca="1">ROUND((C87+C90+C91)*D94,0)</f>
        <v>55</v>
      </c>
      <c r="D94" s="226">
        <v>0.2</v>
      </c>
      <c r="E94" s="3139" t="s">
        <v>2291</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479</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1.3123287671232877</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185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02" t="s">
        <v>2293</v>
      </c>
      <c r="B100" s="3103"/>
      <c r="C100" s="3103"/>
      <c r="D100" s="3142"/>
      <c r="E100" s="3103" t="s">
        <v>2294</v>
      </c>
      <c r="F100" s="3103"/>
      <c r="G100" s="3103"/>
      <c r="H100" s="3142"/>
      <c r="I100" s="138"/>
    </row>
    <row r="101" spans="1:35" ht="18.75" customHeight="1">
      <c r="A101" s="3143" t="s">
        <v>2295</v>
      </c>
      <c r="B101" s="3144"/>
      <c r="C101" s="736" t="str">
        <f>C4</f>
        <v>典型户型修正</v>
      </c>
      <c r="D101" s="737" t="str">
        <f>D4</f>
        <v>典型户型修正</v>
      </c>
      <c r="E101" s="3145" t="s">
        <v>2296</v>
      </c>
      <c r="F101" s="3127"/>
      <c r="G101" s="2520" t="s">
        <v>2297</v>
      </c>
      <c r="H101" s="1045">
        <f ca="1">H118</f>
        <v>886</v>
      </c>
      <c r="I101" s="138"/>
    </row>
    <row r="102" spans="1:35" ht="18.75" customHeight="1">
      <c r="A102" s="3124" t="s">
        <v>2298</v>
      </c>
      <c r="B102" s="2520" t="s">
        <v>2297</v>
      </c>
      <c r="C102" s="736">
        <f ca="1">C19</f>
        <v>886</v>
      </c>
      <c r="D102" s="737">
        <f ca="1">D19</f>
        <v>886</v>
      </c>
      <c r="E102" s="3145"/>
      <c r="F102" s="3127"/>
      <c r="G102" s="2520" t="s">
        <v>2299</v>
      </c>
      <c r="H102" s="371">
        <f ca="1">I118</f>
        <v>12500</v>
      </c>
      <c r="I102" s="138"/>
    </row>
    <row r="103" spans="1:35" ht="42.75" customHeight="1">
      <c r="A103" s="3124"/>
      <c r="B103" s="2520" t="s">
        <v>2299</v>
      </c>
      <c r="C103" s="738">
        <f ca="1">C20</f>
        <v>12500</v>
      </c>
      <c r="D103" s="739">
        <f ca="1">D20</f>
        <v>12500</v>
      </c>
      <c r="E103" s="3146" t="s">
        <v>2300</v>
      </c>
      <c r="F103" s="3147"/>
      <c r="G103" s="2521" t="s">
        <v>2301</v>
      </c>
      <c r="H103" s="1045">
        <f>IF(D36="正常操作",H104+H105+H106,H105+H106)</f>
        <v>0</v>
      </c>
      <c r="I103" s="138"/>
    </row>
    <row r="104" spans="1:35" ht="18.75" customHeight="1">
      <c r="A104" s="3124" t="s">
        <v>2302</v>
      </c>
      <c r="B104" s="2522" t="s">
        <v>2297</v>
      </c>
      <c r="C104" s="740">
        <f ca="1">H118</f>
        <v>886</v>
      </c>
      <c r="D104" s="741"/>
      <c r="E104" s="2267" t="s">
        <v>2303</v>
      </c>
      <c r="F104" s="2258"/>
      <c r="G104" s="2521" t="s">
        <v>2301</v>
      </c>
      <c r="H104" s="1046">
        <f>IF(D36="同一抵押权人同一抵押物续贷",C36&amp;"（未扣减，详见特别提示）",C36)</f>
        <v>0</v>
      </c>
      <c r="I104" s="138"/>
    </row>
    <row r="105" spans="1:35" ht="18.75" customHeight="1" thickBot="1">
      <c r="A105" s="3125"/>
      <c r="B105" s="2523" t="s">
        <v>2299</v>
      </c>
      <c r="C105" s="742">
        <f ca="1">I118</f>
        <v>12500</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26" t="str">
        <f>IF(项目基本情况!E8="已注销","——","3.房地产抵押价值")</f>
        <v>3.房地产抵押价值</v>
      </c>
      <c r="F107" s="3127"/>
      <c r="G107" s="2520" t="s">
        <v>2297</v>
      </c>
      <c r="H107" s="1045">
        <f ca="1">IF(E107="——","——",H101-H103)</f>
        <v>886</v>
      </c>
      <c r="I107" s="138"/>
    </row>
    <row r="108" spans="1:35" ht="18.75" customHeight="1">
      <c r="A108" s="138"/>
      <c r="B108" s="138"/>
      <c r="C108" s="138"/>
      <c r="D108" s="138"/>
      <c r="E108" s="3126"/>
      <c r="F108" s="3127"/>
      <c r="G108" s="2520" t="s">
        <v>2299</v>
      </c>
      <c r="H108" s="371">
        <f ca="1">ROUND(H107*10000/'数据-汇总表'!E3,0)</f>
        <v>12500</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20" t="s">
        <v>2297</v>
      </c>
      <c r="H109" s="348" t="str">
        <f>IF(E109="——","——",H101-H105-H106)</f>
        <v>——</v>
      </c>
      <c r="I109" s="138"/>
    </row>
    <row r="110" spans="1:35" ht="18.75" customHeight="1">
      <c r="A110" s="138"/>
      <c r="B110" s="138"/>
      <c r="C110" s="138"/>
      <c r="D110" s="138"/>
      <c r="E110" s="3126"/>
      <c r="F110" s="3127"/>
      <c r="G110" s="2520" t="s">
        <v>2299</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20" t="s">
        <v>2297</v>
      </c>
      <c r="H111" s="1045">
        <f ca="1">IF(E111="——","——",N59)</f>
        <v>701</v>
      </c>
      <c r="I111" s="138"/>
    </row>
    <row r="112" spans="1:35" ht="18.75" customHeight="1" thickBot="1">
      <c r="A112" s="138"/>
      <c r="B112" s="138"/>
      <c r="C112" s="138"/>
      <c r="D112" s="138"/>
      <c r="E112" s="3130"/>
      <c r="F112" s="3131"/>
      <c r="G112" s="2525" t="s">
        <v>2299</v>
      </c>
      <c r="H112" s="790">
        <f ca="1">IF(E111="——","——",N61)</f>
        <v>9890</v>
      </c>
      <c r="I112" s="138"/>
    </row>
    <row r="113" spans="1:11" ht="18.75" customHeight="1">
      <c r="A113" s="138"/>
      <c r="B113" s="138"/>
      <c r="C113" s="138"/>
      <c r="D113" s="138"/>
      <c r="E113" s="3132" t="s">
        <v>2305</v>
      </c>
      <c r="F113" s="3132"/>
      <c r="G113" s="3132"/>
      <c r="H113" s="3132"/>
      <c r="I113" s="138"/>
    </row>
    <row r="114" spans="1:11" ht="3.75" customHeight="1">
      <c r="A114" s="2418"/>
      <c r="B114" s="2418"/>
      <c r="C114" s="2418"/>
      <c r="D114" s="2418"/>
      <c r="E114" s="2496"/>
      <c r="F114" s="2496"/>
      <c r="G114" s="2496"/>
      <c r="H114" s="2496"/>
      <c r="I114" s="2418"/>
    </row>
    <row r="115" spans="1:11" ht="18.75" customHeight="1">
      <c r="A115" s="3133" t="s">
        <v>2307</v>
      </c>
      <c r="B115" s="3134"/>
      <c r="C115" s="3134"/>
      <c r="D115" s="3134"/>
      <c r="E115" s="3134"/>
      <c r="F115" s="3134"/>
      <c r="G115" s="3134"/>
      <c r="H115" s="3134"/>
      <c r="I115" s="3135"/>
    </row>
    <row r="116" spans="1:11" ht="27" customHeight="1">
      <c r="A116" s="3059" t="s">
        <v>2308</v>
      </c>
      <c r="B116" s="3119" t="s">
        <v>2309</v>
      </c>
      <c r="C116" s="3119" t="s">
        <v>2310</v>
      </c>
      <c r="D116" s="3121" t="s">
        <v>2311</v>
      </c>
      <c r="E116" s="3122"/>
      <c r="F116" s="3123" t="s">
        <v>2312</v>
      </c>
      <c r="G116" s="3123"/>
      <c r="H116" s="3059" t="s">
        <v>2313</v>
      </c>
      <c r="I116" s="3059"/>
    </row>
    <row r="117" spans="1:11" ht="18.75" customHeight="1">
      <c r="A117" s="3059"/>
      <c r="B117" s="3120"/>
      <c r="C117" s="3120"/>
      <c r="D117" s="2955" t="s">
        <v>2314</v>
      </c>
      <c r="E117" s="2955" t="s">
        <v>2315</v>
      </c>
      <c r="F117" s="2955" t="s">
        <v>2314</v>
      </c>
      <c r="G117" s="2955" t="s">
        <v>2316</v>
      </c>
      <c r="H117" s="2955" t="s">
        <v>2314</v>
      </c>
      <c r="I117" s="2955" t="s">
        <v>2316</v>
      </c>
    </row>
    <row r="118" spans="1:11" ht="24.75" customHeight="1">
      <c r="A118" s="2526" t="str">
        <f>项目基本情况!S2</f>
        <v>北京市出让国有建设用地使用权及在建建筑物房地产</v>
      </c>
      <c r="B118" s="2955">
        <f>M18</f>
        <v>708.8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886</v>
      </c>
      <c r="I118" s="2955">
        <f ca="1">ROUND(IF(D32="楼面单价",C32,H118*10000/B118),0)</f>
        <v>12500</v>
      </c>
    </row>
    <row r="119" spans="1:11" ht="18.75" customHeight="1">
      <c r="A119" s="3059" t="s">
        <v>2317</v>
      </c>
      <c r="B119" s="3059"/>
      <c r="C119" s="3059"/>
      <c r="D119" s="3108" t="e">
        <f ca="1">NUMBERSTRING(INT(D118*10000),2)&amp;"元整"</f>
        <v>#REF!</v>
      </c>
      <c r="E119" s="3110"/>
      <c r="F119" s="3108" t="e">
        <f ca="1">NUMBERSTRING(INT(F118*10000),2)&amp;"元整"</f>
        <v>#REF!</v>
      </c>
      <c r="G119" s="3110"/>
      <c r="H119" s="3108" t="str">
        <f ca="1">NUMBERSTRING(INT(H118*10000),2)&amp;"元整"</f>
        <v>捌佰捌拾陆万元整</v>
      </c>
      <c r="I119" s="3110"/>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3" t="str">
        <f>IF(D120=0,"故，本次评估不存在"&amp;A120,"故，本次评估"&amp;A120&amp;"为人民币"&amp;D120&amp;"万元整。")</f>
        <v>故，本次评估不存在估价师知悉的法定优先受偿款</v>
      </c>
    </row>
    <row r="121" spans="1:11" ht="18.75" customHeight="1">
      <c r="A121" s="3116" t="s">
        <v>2317</v>
      </c>
      <c r="B121" s="3117"/>
      <c r="C121" s="3118"/>
      <c r="D121" s="3108" t="str">
        <f>IF(D120=0,"零元整",NUMBERSTRING(INT(D120*10000),2)&amp;"元整")</f>
        <v>零元整</v>
      </c>
      <c r="E121" s="3109"/>
      <c r="F121" s="3109"/>
      <c r="G121" s="3109"/>
      <c r="H121" s="3109"/>
      <c r="I121" s="3110"/>
    </row>
    <row r="122" spans="1:11" ht="18.75" customHeight="1">
      <c r="A122" s="3112" t="str">
        <f>IF(项目基本情况!B9="房地产市场价值","",MID(E107,3,LEN(E107)-2))</f>
        <v>房地产抵押价值</v>
      </c>
      <c r="B122" s="3112"/>
      <c r="C122" s="3112"/>
      <c r="D122" s="3113">
        <f ca="1">H107</f>
        <v>886</v>
      </c>
      <c r="E122" s="3114"/>
      <c r="F122" s="3114"/>
      <c r="G122" s="3114"/>
      <c r="H122" s="3114"/>
      <c r="I122" s="3115"/>
    </row>
    <row r="123" spans="1:11" ht="18.75" customHeight="1">
      <c r="A123" s="3059" t="s">
        <v>2317</v>
      </c>
      <c r="B123" s="3059"/>
      <c r="C123" s="3059"/>
      <c r="D123" s="3108" t="str">
        <f ca="1">NUMBERSTRING(INT(D122*10000),2)&amp;"元整"</f>
        <v>捌佰捌拾陆万元整</v>
      </c>
      <c r="E123" s="3109"/>
      <c r="F123" s="3109"/>
      <c r="G123" s="3109"/>
      <c r="H123" s="3109"/>
      <c r="I123" s="3110"/>
    </row>
    <row r="124" spans="1:11" ht="18.75" customHeight="1">
      <c r="A124" s="3112" t="str">
        <f>IF(项目基本情况!B9="房地产市场价值","",MID(E109,3,LEN(E109)-2))</f>
        <v/>
      </c>
      <c r="B124" s="3112"/>
      <c r="C124" s="3112"/>
      <c r="D124" s="3113" t="str">
        <f>H109</f>
        <v>——</v>
      </c>
      <c r="E124" s="3114"/>
      <c r="F124" s="3114"/>
      <c r="G124" s="3114"/>
      <c r="H124" s="3114"/>
      <c r="I124" s="3115"/>
    </row>
    <row r="125" spans="1:11" ht="18.75" customHeight="1">
      <c r="A125" s="3059" t="s">
        <v>2317</v>
      </c>
      <c r="B125" s="3059"/>
      <c r="C125" s="3059"/>
      <c r="D125" s="3108" t="e">
        <f>NUMBERSTRING(INT(D124*10000),2)&amp;"元整"</f>
        <v>#VALUE!</v>
      </c>
      <c r="E125" s="3109"/>
      <c r="F125" s="3109"/>
      <c r="G125" s="3109"/>
      <c r="H125" s="3109"/>
      <c r="I125" s="3110"/>
    </row>
    <row r="126" spans="1:11" ht="18.75" customHeight="1">
      <c r="A126" s="3112" t="str">
        <f>IF(项目基本情况!B9="房地产市场价值","",MID(E111,3,LEN(E111)-2))</f>
        <v>抵押净值</v>
      </c>
      <c r="B126" s="3112"/>
      <c r="C126" s="3112"/>
      <c r="D126" s="3113">
        <f ca="1">H111</f>
        <v>701</v>
      </c>
      <c r="E126" s="3114"/>
      <c r="F126" s="3114"/>
      <c r="G126" s="3114"/>
      <c r="H126" s="3114"/>
      <c r="I126" s="3115"/>
    </row>
    <row r="127" spans="1:11" ht="18.75" customHeight="1">
      <c r="A127" s="3059" t="s">
        <v>2317</v>
      </c>
      <c r="B127" s="3059"/>
      <c r="C127" s="3059"/>
      <c r="D127" s="3108" t="str">
        <f ca="1">NUMBERSTRING(INT(D126*10000),2)&amp;"元整"</f>
        <v>柒佰零壹万元整</v>
      </c>
      <c r="E127" s="3109"/>
      <c r="F127" s="3109"/>
      <c r="G127" s="3109"/>
      <c r="H127" s="3109"/>
      <c r="I127" s="3110"/>
    </row>
    <row r="128" spans="1:11" ht="21.75" customHeight="1">
      <c r="A128" s="3111" t="s">
        <v>2318</v>
      </c>
      <c r="B128" s="3111"/>
      <c r="C128" s="3111"/>
      <c r="D128" s="3111"/>
      <c r="E128" s="3111"/>
      <c r="F128" s="3111"/>
      <c r="G128" s="3111"/>
      <c r="H128" s="3111"/>
      <c r="I128" s="3111"/>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96" t="str">
        <f>项目基本情况!S2</f>
        <v>北京市出让国有建设用地使用权及在建建筑物房地产</v>
      </c>
      <c r="B2" s="3197"/>
      <c r="C2" s="3197"/>
      <c r="D2" s="3197"/>
      <c r="E2" s="3197"/>
      <c r="F2" s="3197"/>
      <c r="G2" s="3197"/>
      <c r="H2" s="3197"/>
      <c r="I2" s="3198"/>
    </row>
    <row r="3" spans="1:12" ht="12.75">
      <c r="A3" s="3199" t="s">
        <v>2119</v>
      </c>
      <c r="B3" s="3200"/>
      <c r="C3" s="3200"/>
      <c r="D3" s="3200"/>
      <c r="E3" s="3200"/>
      <c r="F3" s="3200"/>
      <c r="G3" s="3200"/>
      <c r="H3" s="3200"/>
      <c r="I3" s="3200"/>
    </row>
    <row r="4" spans="1:12" ht="14.25">
      <c r="A4" s="2425" t="s">
        <v>2120</v>
      </c>
      <c r="B4" s="2426" t="s">
        <v>2121</v>
      </c>
      <c r="C4" s="2427" t="s">
        <v>3110</v>
      </c>
      <c r="D4" s="2427" t="s">
        <v>3118</v>
      </c>
      <c r="E4" s="3160" t="s">
        <v>2122</v>
      </c>
      <c r="F4" s="3162"/>
      <c r="G4" s="3162"/>
      <c r="H4" s="3162"/>
      <c r="I4" s="3161"/>
      <c r="K4" s="2428" t="str">
        <f>IF(ISNUMBER(FIND("比较法",'结果表（1）'!C4)),"比较法",IF(ISNUMBER(FIND("成本法",'结果表（1）'!C4)),"成本法",IF(ISNUMBER(FIND("假设开发法",'结果表（1）'!C4)),"假设开发法",IF(ISNUMBER(FIND("收益法",'结果表（1）'!C4)),"收益法","基准地价系数修正法"))))</f>
        <v>收益法</v>
      </c>
      <c r="L4" s="2428" t="str">
        <f>IF(ISNUMBER(FIND("比较法",'结果表（1）'!D4)),"比较法",IF(ISNUMBER(FIND("成本法",'结果表（1）'!D4)),"成本法",IF(ISNUMBER(FIND("假设开发法",'结果表（1）'!D4)),"假设开发法",IF(ISNUMBER(FIND("收益法",'结果表（1）'!D4)),"收益法","基准地价系数修正法"))))</f>
        <v>比较法</v>
      </c>
    </row>
    <row r="5" spans="1:12" ht="12.75">
      <c r="A5" s="3191" t="s">
        <v>2123</v>
      </c>
      <c r="B5" s="3059">
        <v>25</v>
      </c>
      <c r="C5" s="3192"/>
      <c r="D5" s="3194"/>
      <c r="E5" s="140" t="s">
        <v>2124</v>
      </c>
      <c r="F5" s="2429"/>
      <c r="G5" s="2429"/>
      <c r="H5" s="2429"/>
      <c r="I5" s="1831"/>
    </row>
    <row r="6" spans="1:12" ht="12.75">
      <c r="A6" s="3191"/>
      <c r="B6" s="3059"/>
      <c r="C6" s="3195"/>
      <c r="D6" s="3194"/>
      <c r="E6" s="140" t="s">
        <v>2125</v>
      </c>
      <c r="F6" s="2429"/>
      <c r="G6" s="2429"/>
      <c r="H6" s="2429"/>
      <c r="I6" s="1831"/>
    </row>
    <row r="7" spans="1:12" ht="12.75">
      <c r="A7" s="3191"/>
      <c r="B7" s="3059"/>
      <c r="C7" s="3193"/>
      <c r="D7" s="3194"/>
      <c r="E7" s="140" t="s">
        <v>2126</v>
      </c>
      <c r="F7" s="2429"/>
      <c r="G7" s="2429"/>
      <c r="H7" s="2429"/>
      <c r="I7" s="1831"/>
    </row>
    <row r="8" spans="1:12" ht="12.75">
      <c r="A8" s="3191" t="s">
        <v>2127</v>
      </c>
      <c r="B8" s="3059">
        <v>15</v>
      </c>
      <c r="C8" s="3192"/>
      <c r="D8" s="3194"/>
      <c r="E8" s="140" t="s">
        <v>2128</v>
      </c>
      <c r="F8" s="2429"/>
      <c r="G8" s="2429"/>
      <c r="H8" s="2429"/>
      <c r="I8" s="1831"/>
    </row>
    <row r="9" spans="1:12" ht="12.75">
      <c r="A9" s="3191"/>
      <c r="B9" s="3059"/>
      <c r="C9" s="3193"/>
      <c r="D9" s="3194"/>
      <c r="E9" s="140" t="s">
        <v>2129</v>
      </c>
      <c r="F9" s="2429"/>
      <c r="G9" s="2429"/>
      <c r="H9" s="2429"/>
      <c r="I9" s="1831"/>
    </row>
    <row r="10" spans="1:12" ht="12.75">
      <c r="A10" s="3191" t="s">
        <v>2130</v>
      </c>
      <c r="B10" s="3059">
        <v>15</v>
      </c>
      <c r="C10" s="3192"/>
      <c r="D10" s="3194"/>
      <c r="E10" s="140" t="s">
        <v>2131</v>
      </c>
      <c r="F10" s="2429"/>
      <c r="G10" s="2429"/>
      <c r="H10" s="2429"/>
      <c r="I10" s="1831"/>
    </row>
    <row r="11" spans="1:12" ht="12.75">
      <c r="A11" s="3191"/>
      <c r="B11" s="3059"/>
      <c r="C11" s="3193"/>
      <c r="D11" s="3194"/>
      <c r="E11" s="140" t="s">
        <v>2132</v>
      </c>
      <c r="F11" s="2429"/>
      <c r="G11" s="2429"/>
      <c r="H11" s="2429"/>
      <c r="I11" s="1831"/>
    </row>
    <row r="12" spans="1:12" ht="12.75">
      <c r="A12" s="3191" t="s">
        <v>2133</v>
      </c>
      <c r="B12" s="3059">
        <v>15</v>
      </c>
      <c r="C12" s="3192"/>
      <c r="D12" s="3194"/>
      <c r="E12" s="140" t="s">
        <v>2134</v>
      </c>
      <c r="F12" s="2429"/>
      <c r="G12" s="2429"/>
      <c r="H12" s="2429"/>
      <c r="I12" s="1831"/>
    </row>
    <row r="13" spans="1:12" ht="12.75">
      <c r="A13" s="3191"/>
      <c r="B13" s="3059"/>
      <c r="C13" s="3193"/>
      <c r="D13" s="3194"/>
      <c r="E13" s="140" t="s">
        <v>2135</v>
      </c>
      <c r="F13" s="2429"/>
      <c r="G13" s="2429"/>
      <c r="H13" s="2429"/>
      <c r="I13" s="1831"/>
    </row>
    <row r="14" spans="1:12" ht="12.75">
      <c r="A14" s="3191" t="s">
        <v>2136</v>
      </c>
      <c r="B14" s="3059">
        <v>30</v>
      </c>
      <c r="C14" s="3192">
        <v>4</v>
      </c>
      <c r="D14" s="3194">
        <v>6</v>
      </c>
      <c r="E14" s="140" t="s">
        <v>2137</v>
      </c>
      <c r="F14" s="2429"/>
      <c r="G14" s="2429"/>
      <c r="H14" s="2429"/>
      <c r="I14" s="1831"/>
    </row>
    <row r="15" spans="1:12" ht="12.75">
      <c r="A15" s="3191"/>
      <c r="B15" s="3059"/>
      <c r="C15" s="3195"/>
      <c r="D15" s="3194"/>
      <c r="E15" s="140" t="s">
        <v>2138</v>
      </c>
      <c r="F15" s="2429"/>
      <c r="G15" s="2429"/>
      <c r="H15" s="2429"/>
      <c r="I15" s="1831"/>
    </row>
    <row r="16" spans="1:12" ht="12.75">
      <c r="A16" s="3191"/>
      <c r="B16" s="3059"/>
      <c r="C16" s="3193"/>
      <c r="D16" s="3194"/>
      <c r="E16" s="140" t="s">
        <v>2139</v>
      </c>
      <c r="F16" s="2429"/>
      <c r="G16" s="2429"/>
      <c r="H16" s="2429"/>
      <c r="I16" s="1831"/>
    </row>
    <row r="17" spans="1:35" ht="15">
      <c r="A17" s="2430" t="s">
        <v>2140</v>
      </c>
      <c r="B17" s="64"/>
      <c r="C17" s="141">
        <f>SUM(C5:C16)</f>
        <v>4</v>
      </c>
      <c r="D17" s="141">
        <f>SUM(D5:D16)</f>
        <v>6</v>
      </c>
      <c r="E17" s="138"/>
      <c r="F17" s="138"/>
      <c r="G17" s="138"/>
      <c r="H17" s="138"/>
      <c r="I17" s="138"/>
      <c r="K17" s="2428"/>
      <c r="L17" s="2431" t="s">
        <v>2141</v>
      </c>
      <c r="M17" s="2431" t="s">
        <v>2142</v>
      </c>
    </row>
    <row r="18" spans="1:35" ht="15.75" thickBot="1">
      <c r="A18" s="2432" t="s">
        <v>2143</v>
      </c>
      <c r="B18" s="2433"/>
      <c r="C18" s="142">
        <f>ROUND(C17/SUM(C17:D17),2)</f>
        <v>0.4</v>
      </c>
      <c r="D18" s="142">
        <f>1-C18</f>
        <v>0.6</v>
      </c>
      <c r="E18" s="138"/>
      <c r="F18" s="138"/>
      <c r="G18" s="138"/>
      <c r="H18" s="138"/>
      <c r="I18" s="138"/>
      <c r="K18" s="2428" t="s">
        <v>2144</v>
      </c>
      <c r="L18" s="2428">
        <f>IF(C1="",'数据-汇总表'!E3,SUMIF(项目类型,C1,'数据-汇总表'!E17:E26)+SUMIF(项目类型,C1,'数据-汇总表'!I17:I26))</f>
        <v>708.8</v>
      </c>
      <c r="M18" s="2428">
        <f>IF(C1="",'数据-汇总表'!E3,SUMIF(项目类型,C1,'数据-汇总表'!E17:E26))</f>
        <v>708.8</v>
      </c>
    </row>
    <row r="19" spans="1:35" ht="15">
      <c r="A19" s="2434" t="s">
        <v>2145</v>
      </c>
      <c r="B19" s="2435" t="s">
        <v>2146</v>
      </c>
      <c r="C19" s="143">
        <f ca="1">SUMIF(INDIRECT("'"&amp;C4&amp;"'"&amp;"!A:A"),'结果表（1）'!B19,INDIRECT("'"&amp;C4&amp;"'"&amp;"!B:B"))</f>
        <v>521</v>
      </c>
      <c r="D19" s="144">
        <f ca="1">SUMIF(INDIRECT("'"&amp;D4&amp;"'"&amp;"!A:A"),'结果表（1）'!B19,INDIRECT("'"&amp;D4&amp;"'"&amp;"!B:B"))</f>
        <v>930</v>
      </c>
      <c r="E19" s="2434" t="s">
        <v>2147</v>
      </c>
      <c r="F19" s="2435" t="s">
        <v>2146</v>
      </c>
      <c r="G19" s="145">
        <f ca="1">ROUND(C19*$C$18+D19*$D$18,0)</f>
        <v>766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SUMIF(INDIRECT("'"&amp;C4&amp;"'"&amp;"!A:A"),'结果表（1）'!B20,INDIRECT("'"&amp;C4&amp;"'"&amp;"!B:B"))</f>
        <v>17544</v>
      </c>
      <c r="D20" s="147">
        <f ca="1">SUMIF(INDIRECT("'"&amp;D4&amp;"'"&amp;"!A:A"),'结果表（1）'!B20,INDIRECT("'"&amp;D4&amp;"'"&amp;"!B:B"))</f>
        <v>31333</v>
      </c>
      <c r="E20" s="2437"/>
      <c r="F20" s="1247" t="s">
        <v>2150</v>
      </c>
      <c r="G20" s="148">
        <f ca="1">ROUND(C20*$C$18+D20*$D$18,0)</f>
        <v>25817</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0.78502879078694821</v>
      </c>
      <c r="E22" s="138"/>
      <c r="F22" s="138"/>
      <c r="G22" s="138"/>
      <c r="H22" s="138"/>
      <c r="I22" s="138"/>
    </row>
    <row r="23" spans="1:35" ht="13.5" thickBot="1">
      <c r="A23" s="2418"/>
      <c r="B23" s="2418"/>
      <c r="C23" s="2418"/>
      <c r="D23" s="2418"/>
      <c r="E23" s="138"/>
      <c r="F23" s="138"/>
      <c r="G23" s="138"/>
      <c r="H23" s="138"/>
      <c r="I23" s="138"/>
    </row>
    <row r="24" spans="1:35" ht="14.25">
      <c r="A24" s="3179" t="s">
        <v>2154</v>
      </c>
      <c r="B24" s="2435" t="s">
        <v>2146</v>
      </c>
      <c r="C24" s="145">
        <f>IF(B30=0,0,D30)</f>
        <v>0</v>
      </c>
      <c r="D24" s="2442"/>
      <c r="E24" s="138"/>
      <c r="F24" s="138"/>
      <c r="G24" s="138"/>
      <c r="H24" s="138"/>
      <c r="I24" s="138"/>
    </row>
    <row r="25" spans="1:35" ht="14.25">
      <c r="A25" s="3180"/>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766</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81" t="s">
        <v>2168</v>
      </c>
      <c r="B36" s="2461" t="s">
        <v>2169</v>
      </c>
      <c r="C36" s="154"/>
      <c r="D36" s="2462"/>
      <c r="E36" s="2463"/>
      <c r="F36" s="2464"/>
      <c r="G36" s="138"/>
      <c r="H36" s="138"/>
      <c r="I36" s="138"/>
    </row>
    <row r="37" spans="1:15" ht="15.75" thickBot="1">
      <c r="A37" s="3182"/>
      <c r="B37" s="2267" t="s">
        <v>2170</v>
      </c>
      <c r="C37" s="156"/>
      <c r="D37" s="1392"/>
      <c r="E37" s="1392"/>
      <c r="F37" s="2464"/>
      <c r="G37" s="138"/>
      <c r="H37" s="138"/>
      <c r="I37" s="138"/>
    </row>
    <row r="38" spans="1:15" ht="15.75" thickBot="1">
      <c r="A38" s="3183"/>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84" t="s">
        <v>2182</v>
      </c>
      <c r="B45" s="3185"/>
      <c r="C45" s="3186"/>
      <c r="D45" s="164">
        <f ca="1">ROUND(H101*F45,0)</f>
        <v>766</v>
      </c>
      <c r="E45" s="165" t="s">
        <v>2183</v>
      </c>
      <c r="F45" s="166">
        <v>1</v>
      </c>
      <c r="G45" s="167" t="s">
        <v>2184</v>
      </c>
      <c r="H45" s="138"/>
      <c r="I45" s="138"/>
      <c r="J45" s="3172" t="s">
        <v>2185</v>
      </c>
      <c r="K45" s="3172"/>
      <c r="L45" s="3172"/>
      <c r="M45" s="3172"/>
      <c r="N45" s="3172"/>
      <c r="O45" s="3172"/>
    </row>
    <row r="46" spans="1:15" ht="14.25" customHeight="1">
      <c r="A46" s="3187" t="s">
        <v>2186</v>
      </c>
      <c r="B46" s="3188"/>
      <c r="C46" s="3188"/>
      <c r="D46" s="3188"/>
      <c r="E46" s="3188"/>
      <c r="F46" s="3188"/>
      <c r="G46" s="3189"/>
      <c r="H46" s="2480"/>
      <c r="I46" s="168"/>
      <c r="J46" s="1809">
        <v>1</v>
      </c>
      <c r="K46" s="3172" t="s">
        <v>2187</v>
      </c>
      <c r="L46" s="3172"/>
      <c r="M46" s="3190"/>
      <c r="N46" s="3190"/>
      <c r="O46" s="3190"/>
    </row>
    <row r="47" spans="1:15" ht="12" customHeight="1">
      <c r="A47" s="169" t="s">
        <v>2188</v>
      </c>
      <c r="B47" s="170"/>
      <c r="C47" s="171"/>
      <c r="D47" s="172" t="s">
        <v>2189</v>
      </c>
      <c r="E47" s="24" t="s">
        <v>2190</v>
      </c>
      <c r="F47" s="173" t="s">
        <v>2191</v>
      </c>
      <c r="G47" s="174" t="s">
        <v>2192</v>
      </c>
      <c r="H47" s="2480"/>
      <c r="I47" s="168"/>
      <c r="J47" s="1809">
        <v>2</v>
      </c>
      <c r="K47" s="3172" t="s">
        <v>2193</v>
      </c>
      <c r="L47" s="3172"/>
      <c r="M47" s="3173">
        <f>'数据-取费表'!B2</f>
        <v>43914</v>
      </c>
      <c r="N47" s="3173"/>
      <c r="O47" s="3173"/>
    </row>
    <row r="48" spans="1:15" ht="25.5">
      <c r="A48" s="3174" t="s">
        <v>2194</v>
      </c>
      <c r="B48" s="3169"/>
      <c r="C48" s="3169"/>
      <c r="D48" s="140">
        <f>IF(H48="情况1",0,IF(H48="情况2",D52,IF(H48="情况3",D53,IF(H48="情况4",D54))))</f>
        <v>0</v>
      </c>
      <c r="E48" s="1798" t="str">
        <f>IF(H48="情况4","(销售额-原购置价)×税（费）率","销售额×税（费）率")</f>
        <v>销售额×税（费）率</v>
      </c>
      <c r="F48" s="175" t="str">
        <f>IF(H48="情况1","免征",'数据-取费表'!B41)</f>
        <v>免征</v>
      </c>
      <c r="G48" s="2481" t="s">
        <v>2195</v>
      </c>
      <c r="H48" s="2482" t="s">
        <v>2196</v>
      </c>
      <c r="I48" s="2480"/>
      <c r="J48" s="1809">
        <v>3</v>
      </c>
      <c r="K48" s="3172" t="s">
        <v>2197</v>
      </c>
      <c r="L48" s="3172"/>
      <c r="M48" s="3175">
        <f ca="1">H101</f>
        <v>766</v>
      </c>
      <c r="N48" s="3175"/>
      <c r="O48" s="3175"/>
    </row>
    <row r="49" spans="1:35" ht="25.5" customHeight="1">
      <c r="A49" s="176" t="s">
        <v>2198</v>
      </c>
      <c r="B49" s="3149" t="s">
        <v>2199</v>
      </c>
      <c r="C49" s="3149"/>
      <c r="D49" s="177">
        <v>0</v>
      </c>
      <c r="E49" s="23" t="s">
        <v>2200</v>
      </c>
      <c r="F49" s="28" t="s">
        <v>34</v>
      </c>
      <c r="G49" s="3176"/>
      <c r="H49" s="138"/>
      <c r="I49" s="2483"/>
      <c r="J49" s="1809">
        <v>4</v>
      </c>
      <c r="K49" s="3172" t="str">
        <f>IF(项目基本情况!E8="房地产抵押价值","房地产抵押价值","抵押担保权已注销时的房地产抵押价值")</f>
        <v>房地产抵押价值</v>
      </c>
      <c r="L49" s="3172"/>
      <c r="M49" s="3175">
        <f ca="1">IF(项目基本情况!E8="房地产抵押价值",H107,H109)</f>
        <v>766</v>
      </c>
      <c r="N49" s="3175"/>
      <c r="O49" s="3175"/>
    </row>
    <row r="50" spans="1:35" ht="25.5" customHeight="1">
      <c r="A50" s="178"/>
      <c r="B50" s="3149" t="s">
        <v>2201</v>
      </c>
      <c r="C50" s="3149"/>
      <c r="D50" s="179"/>
      <c r="E50" s="31"/>
      <c r="F50" s="180"/>
      <c r="G50" s="3177"/>
      <c r="H50" s="138"/>
      <c r="I50" s="2483"/>
      <c r="J50" s="3172" t="s">
        <v>2202</v>
      </c>
      <c r="K50" s="3172"/>
      <c r="L50" s="3172"/>
      <c r="M50" s="3172"/>
      <c r="N50" s="3172"/>
      <c r="O50" s="3172"/>
    </row>
    <row r="51" spans="1:35" ht="12" customHeight="1">
      <c r="A51" s="181"/>
      <c r="B51" s="3149" t="s">
        <v>2203</v>
      </c>
      <c r="C51" s="3149"/>
      <c r="D51" s="182"/>
      <c r="E51" s="30"/>
      <c r="F51" s="180"/>
      <c r="G51" s="3178"/>
      <c r="H51" s="138"/>
      <c r="I51" s="2483"/>
      <c r="J51" s="2484" t="s">
        <v>2204</v>
      </c>
      <c r="K51" s="3172" t="s">
        <v>2205</v>
      </c>
      <c r="L51" s="3172"/>
      <c r="M51" s="2484" t="s">
        <v>2206</v>
      </c>
      <c r="N51" s="2484" t="s">
        <v>2207</v>
      </c>
      <c r="O51" s="2484" t="s">
        <v>2208</v>
      </c>
    </row>
    <row r="52" spans="1:35" ht="24" customHeight="1">
      <c r="A52" s="183" t="s">
        <v>2209</v>
      </c>
      <c r="B52" s="3149" t="s">
        <v>2210</v>
      </c>
      <c r="C52" s="3149"/>
      <c r="D52" s="182">
        <f ca="1">ROUND(D45*'数据-取费表'!B41/(1+'数据-取费表'!C42),0)</f>
        <v>41</v>
      </c>
      <c r="E52" s="11" t="s">
        <v>2211</v>
      </c>
      <c r="F52" s="184">
        <f>'数据-取费表'!B41</f>
        <v>5.6000000000000001E-2</v>
      </c>
      <c r="G52" s="2485"/>
      <c r="H52" s="138"/>
      <c r="I52" s="2483"/>
      <c r="J52" s="1809">
        <v>1</v>
      </c>
      <c r="K52" s="3156" t="s">
        <v>2212</v>
      </c>
      <c r="L52" s="3156"/>
      <c r="M52" s="1751">
        <f>D48</f>
        <v>0</v>
      </c>
      <c r="N52" s="1809" t="str">
        <f>E48</f>
        <v>销售额×税（费）率</v>
      </c>
      <c r="O52" s="1752" t="str">
        <f>F48</f>
        <v>免征</v>
      </c>
    </row>
    <row r="53" spans="1:35" ht="12" customHeight="1">
      <c r="A53" s="183" t="s">
        <v>2213</v>
      </c>
      <c r="B53" s="3148" t="s">
        <v>2214</v>
      </c>
      <c r="C53" s="3167"/>
      <c r="D53" s="182">
        <f ca="1">ROUND(D45*'数据-取费表'!B41/(1+'数据-取费表'!C42),0)</f>
        <v>41</v>
      </c>
      <c r="E53" s="11" t="s">
        <v>2211</v>
      </c>
      <c r="F53" s="184">
        <f>'数据-取费表'!B41</f>
        <v>5.6000000000000001E-2</v>
      </c>
      <c r="G53" s="2485"/>
      <c r="H53" s="138"/>
      <c r="I53" s="2483"/>
      <c r="J53" s="1809">
        <v>2</v>
      </c>
      <c r="K53" s="3156" t="s">
        <v>2215</v>
      </c>
      <c r="L53" s="3156"/>
      <c r="M53" s="1751">
        <f t="shared" ref="M53:O54" ca="1" si="0">D55</f>
        <v>0</v>
      </c>
      <c r="N53" s="1809" t="str">
        <f t="shared" si="0"/>
        <v>销售额×税（费）率</v>
      </c>
      <c r="O53" s="1752">
        <f t="shared" si="0"/>
        <v>5.0000000000000001E-4</v>
      </c>
    </row>
    <row r="54" spans="1:35" ht="12" customHeight="1">
      <c r="A54" s="183" t="s">
        <v>2216</v>
      </c>
      <c r="B54" s="3148" t="s">
        <v>2217</v>
      </c>
      <c r="C54" s="3167"/>
      <c r="D54" s="182">
        <f ca="1">C68</f>
        <v>41</v>
      </c>
      <c r="E54" s="30" t="s">
        <v>2218</v>
      </c>
      <c r="F54" s="184">
        <f>'数据-取费表'!B41</f>
        <v>5.6000000000000001E-2</v>
      </c>
      <c r="G54" s="2485"/>
      <c r="H54" s="2486"/>
      <c r="I54" s="2483"/>
      <c r="J54" s="1809">
        <v>3</v>
      </c>
      <c r="K54" s="3156" t="s">
        <v>2219</v>
      </c>
      <c r="L54" s="3156"/>
      <c r="M54" s="1751">
        <f t="shared" ca="1" si="0"/>
        <v>434</v>
      </c>
      <c r="N54" s="1809" t="str">
        <f t="shared" si="0"/>
        <v>增值额×税（费）率</v>
      </c>
      <c r="O54" s="1753" t="str">
        <f t="shared" si="0"/>
        <v>——</v>
      </c>
    </row>
    <row r="55" spans="1:35" ht="24" customHeight="1">
      <c r="A55" s="3168" t="s">
        <v>2220</v>
      </c>
      <c r="B55" s="3169"/>
      <c r="C55" s="3169"/>
      <c r="D55" s="185">
        <f ca="1">IF(H55="个人住宅",0,ROUND(D45*I55,0))</f>
        <v>0</v>
      </c>
      <c r="E55" s="11" t="s">
        <v>2221</v>
      </c>
      <c r="F55" s="184">
        <f>IF(H55="正常",I55,"免征")</f>
        <v>5.0000000000000001E-4</v>
      </c>
      <c r="G55" s="2485"/>
      <c r="H55" s="2482" t="s">
        <v>2222</v>
      </c>
      <c r="I55" s="186">
        <f>'数据-取费表'!B49</f>
        <v>5.0000000000000001E-4</v>
      </c>
      <c r="J55" s="1809" t="str">
        <f>IF(H59="非个人房产","",4)</f>
        <v/>
      </c>
      <c r="K55" s="3156" t="str">
        <f>IF(H59="非个人房产","——","个人所得税")</f>
        <v>——</v>
      </c>
      <c r="L55" s="3156"/>
      <c r="M55" s="1754" t="str">
        <f>D59</f>
        <v>——</v>
      </c>
      <c r="N55" s="1807" t="str">
        <f>E59</f>
        <v>——</v>
      </c>
      <c r="O55" s="1755" t="str">
        <f>F59</f>
        <v>——</v>
      </c>
    </row>
    <row r="56" spans="1:35" ht="24.75">
      <c r="A56" s="3168" t="s">
        <v>2223</v>
      </c>
      <c r="B56" s="3169"/>
      <c r="C56" s="3169"/>
      <c r="D56" s="185">
        <f ca="1">IF(H56="个人住宅",D57,D58)</f>
        <v>434</v>
      </c>
      <c r="E56" s="11" t="s">
        <v>2224</v>
      </c>
      <c r="F56" s="184" t="str">
        <f>IF(H56="正常",F58,"免征")</f>
        <v>——</v>
      </c>
      <c r="G56" s="2487" t="s">
        <v>2225</v>
      </c>
      <c r="H56" s="2488" t="s">
        <v>2222</v>
      </c>
      <c r="I56" s="2489"/>
      <c r="J56" s="1809" t="str">
        <f>IF(项目基本情况!K6="上海银行",IF(J55="",4,J55+1),"")</f>
        <v/>
      </c>
      <c r="K56" s="3170" t="str">
        <f>IF(项目基本情况!K6="上海银行","其他处置费用","")</f>
        <v/>
      </c>
      <c r="L56" s="3171"/>
      <c r="M56" s="1751" t="str">
        <f>IF(项目基本情况!K6="上海银行",M69,"")</f>
        <v/>
      </c>
      <c r="N56" s="3158" t="str">
        <f>IF(项目基本情况!K6="上海银行","包含处置中涉及的律师、诉讼、拍卖、评估等费用","")</f>
        <v/>
      </c>
      <c r="O56" s="3159"/>
    </row>
    <row r="57" spans="1:35" ht="12.75">
      <c r="A57" s="183" t="s">
        <v>2198</v>
      </c>
      <c r="B57" s="3160" t="s">
        <v>2226</v>
      </c>
      <c r="C57" s="3161"/>
      <c r="D57" s="187">
        <v>0</v>
      </c>
      <c r="E57" s="23" t="s">
        <v>2200</v>
      </c>
      <c r="F57" s="155"/>
      <c r="G57" s="2485"/>
      <c r="H57" s="2489"/>
      <c r="I57" s="2489"/>
      <c r="J57" s="3156">
        <f>IF(AND(J55="",J56=""),4,IF(项目基本情况!K6="上海银行",'结果表（1）'!J56+1,'结果表（1）'!J55+1))</f>
        <v>4</v>
      </c>
      <c r="K57" s="3156" t="s">
        <v>2227</v>
      </c>
      <c r="L57" s="2490" t="s">
        <v>2228</v>
      </c>
      <c r="M57" s="1756"/>
      <c r="N57" s="1757">
        <f ca="1">SUMIF(M52:M56,"&lt;9e307")</f>
        <v>434</v>
      </c>
      <c r="O57" s="2491"/>
      <c r="P57" s="1750">
        <f ca="1">N57/M49</f>
        <v>0.56657963446475201</v>
      </c>
    </row>
    <row r="58" spans="1:35" ht="24.75">
      <c r="A58" s="183" t="s">
        <v>2209</v>
      </c>
      <c r="B58" s="3160" t="s">
        <v>2229</v>
      </c>
      <c r="C58" s="3162"/>
      <c r="D58" s="185">
        <f ca="1">IF(H58="转让取得",C81,C97)</f>
        <v>434</v>
      </c>
      <c r="E58" s="11" t="s">
        <v>2224</v>
      </c>
      <c r="F58" s="24" t="s">
        <v>34</v>
      </c>
      <c r="G58" s="2485"/>
      <c r="H58" s="2488" t="s">
        <v>2230</v>
      </c>
      <c r="I58" s="2489"/>
      <c r="J58" s="3156"/>
      <c r="K58" s="3156"/>
      <c r="L58" s="2490" t="s">
        <v>2231</v>
      </c>
      <c r="M58" s="1758"/>
      <c r="N58" s="2492" t="str">
        <f ca="1">NUMBERSTRING(INT(N57*10000),2)&amp;"元整"</f>
        <v>肆佰叁拾肆万元整</v>
      </c>
      <c r="O58" s="2493"/>
    </row>
    <row r="59" spans="1:35" ht="24.75" thickBot="1">
      <c r="A59" s="3163" t="s">
        <v>2232</v>
      </c>
      <c r="B59" s="3164"/>
      <c r="C59" s="3164"/>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65">
        <f>J57+1</f>
        <v>5</v>
      </c>
      <c r="K59" s="3156" t="s">
        <v>2234</v>
      </c>
      <c r="L59" s="1809" t="s">
        <v>2228</v>
      </c>
      <c r="M59" s="1759"/>
      <c r="N59" s="1760">
        <f ca="1">M49-N57</f>
        <v>332</v>
      </c>
      <c r="O59" s="2495"/>
    </row>
    <row r="60" spans="1:35" ht="12" customHeight="1">
      <c r="A60" s="2496"/>
      <c r="B60" s="2418"/>
      <c r="C60" s="2418"/>
      <c r="D60" s="2418"/>
      <c r="E60" s="2166"/>
      <c r="F60" s="2489"/>
      <c r="G60" s="2489"/>
      <c r="H60" s="2497"/>
      <c r="I60" s="138"/>
      <c r="J60" s="3166"/>
      <c r="K60" s="3156"/>
      <c r="L60" s="2490" t="s">
        <v>2231</v>
      </c>
      <c r="M60" s="1758"/>
      <c r="N60" s="2492" t="str">
        <f ca="1">NUMBERSTRING(INT(N59*10000),2)&amp;"元整"</f>
        <v>叁佰叁拾贰万元整</v>
      </c>
      <c r="O60" s="2493"/>
    </row>
    <row r="61" spans="1:35" ht="13.5" thickBot="1">
      <c r="A61" s="3155" t="s">
        <v>2235</v>
      </c>
      <c r="B61" s="3155"/>
      <c r="C61" s="3155"/>
      <c r="D61" s="3155"/>
      <c r="E61" s="3155"/>
      <c r="F61" s="2489"/>
      <c r="G61" s="2489"/>
      <c r="H61" s="2497"/>
      <c r="I61" s="138"/>
      <c r="J61" s="1809">
        <f>J59+1</f>
        <v>6</v>
      </c>
      <c r="K61" s="3156" t="s">
        <v>2236</v>
      </c>
      <c r="L61" s="3156"/>
      <c r="M61" s="1761"/>
      <c r="N61" s="1762">
        <f ca="1">ROUND(N59*10000/'数据-汇总表'!E3,0)</f>
        <v>4684</v>
      </c>
      <c r="O61" s="2498"/>
    </row>
    <row r="62" spans="1:35" ht="12.75">
      <c r="A62" s="3153" t="s">
        <v>2237</v>
      </c>
      <c r="B62" s="3154"/>
      <c r="C62" s="1801"/>
      <c r="D62" s="1801" t="s">
        <v>2238</v>
      </c>
      <c r="E62" s="192" t="s">
        <v>2239</v>
      </c>
      <c r="F62" s="2489"/>
      <c r="G62" s="2489"/>
      <c r="H62" s="2497"/>
      <c r="I62" s="138"/>
    </row>
    <row r="63" spans="1:35" ht="12.75">
      <c r="A63" s="203" t="s">
        <v>775</v>
      </c>
      <c r="B63" s="193" t="s">
        <v>2240</v>
      </c>
      <c r="C63" s="194">
        <f ca="1">ROUND((C64+C65)/(1+'数据-取费表'!C42),0)</f>
        <v>730</v>
      </c>
      <c r="D63" s="195"/>
      <c r="E63" s="196"/>
      <c r="F63" s="2489"/>
      <c r="G63" s="2489"/>
      <c r="H63" s="2497"/>
      <c r="I63" s="138"/>
      <c r="J63" s="3157" t="s">
        <v>2241</v>
      </c>
      <c r="K63" s="2499" t="s">
        <v>2242</v>
      </c>
      <c r="L63" s="1749">
        <f ca="1">IF(M49&gt;10000,M49*0.5%,IF(AND(M49&gt;1000,M49&lt;=10000),M49*1%,IF(AND(M49&gt;100,M49&lt;=1000),M49*3%,IF(AND(M49&gt;10,M49&lt;=100),M49*5%,M49*8%))))</f>
        <v>22.98</v>
      </c>
      <c r="M63" s="24">
        <f ca="1">ROUND(L63,1)</f>
        <v>23</v>
      </c>
      <c r="Z63" s="2423"/>
      <c r="AI63" s="2424"/>
    </row>
    <row r="64" spans="1:35" ht="14.25" customHeight="1">
      <c r="A64" s="197" t="s">
        <v>770</v>
      </c>
      <c r="B64" s="198" t="s">
        <v>2243</v>
      </c>
      <c r="C64" s="199">
        <f ca="1">D45</f>
        <v>766</v>
      </c>
      <c r="D64" s="200" t="s">
        <v>32</v>
      </c>
      <c r="E64" s="201"/>
      <c r="F64" s="2489"/>
      <c r="G64" s="2489"/>
      <c r="H64" s="2497"/>
      <c r="I64" s="138"/>
      <c r="J64" s="3157"/>
      <c r="K64" s="2499" t="s">
        <v>2244</v>
      </c>
      <c r="L64" s="1749">
        <f ca="1">IF(M49&gt;2000,M49*0.5%,IF(AND(M49&gt;1000,M49&lt;=2000),M49*0.6%,IF(AND(M49&gt;500,M49&lt;=1000),M49*0.7%,IF(AND(M49&gt;200,M49&lt;=500),M49*0.8%,IF(AND(M49&gt;100,M49&lt;=200),M49*0.9%,IF(AND(M49&gt;50,M49&lt;=100),M49*1%,IF(AND(M49&gt;20,M49&lt;=50),M49*1.5%,IF(AND(M49&gt;10,M49&lt;=20),M49*2%,IF(AND(M49&gt;1,M49&lt;=10),M49*2.5%)))))))))</f>
        <v>5.3619999999999992</v>
      </c>
      <c r="M64" s="24">
        <f t="shared" ref="M64:M65" ca="1" si="1">ROUND(L64,1)</f>
        <v>5.4</v>
      </c>
      <c r="N64" s="138" t="s">
        <v>2245</v>
      </c>
      <c r="Z64" s="2423"/>
      <c r="AI64" s="2424"/>
    </row>
    <row r="65" spans="1:35" ht="14.25" customHeight="1">
      <c r="A65" s="197" t="s">
        <v>771</v>
      </c>
      <c r="B65" s="198" t="s">
        <v>2246</v>
      </c>
      <c r="C65" s="202"/>
      <c r="D65" s="200"/>
      <c r="E65" s="201"/>
      <c r="F65" s="2489"/>
      <c r="G65" s="2489"/>
      <c r="H65" s="2497"/>
      <c r="I65" s="138"/>
      <c r="J65" s="3157"/>
      <c r="K65" s="2499" t="s">
        <v>2247</v>
      </c>
      <c r="L65" s="1749">
        <f ca="1">IF(M49&gt;1000,M49*0.1%,IF(AND(M49&gt;500,M49&lt;=1000),M49*0.5%,IF(AND(M49&gt;50,M49&lt;=500),M49*1%,IF(AND(M49&gt;1,M49&lt;=50),M49*1.5%))))</f>
        <v>3.83</v>
      </c>
      <c r="M65" s="24">
        <f t="shared" ca="1" si="1"/>
        <v>3.8</v>
      </c>
      <c r="N65" s="138" t="s">
        <v>2245</v>
      </c>
      <c r="Z65" s="2423"/>
      <c r="AI65" s="2424"/>
    </row>
    <row r="66" spans="1:35" ht="14.25" customHeight="1">
      <c r="A66" s="203" t="s">
        <v>772</v>
      </c>
      <c r="B66" s="204" t="s">
        <v>2248</v>
      </c>
      <c r="C66" s="205"/>
      <c r="D66" s="206" t="s">
        <v>32</v>
      </c>
      <c r="E66" s="1773" t="s">
        <v>1366</v>
      </c>
      <c r="F66" s="2489"/>
      <c r="G66" s="2489"/>
      <c r="H66" s="2497"/>
      <c r="I66" s="138"/>
      <c r="J66" s="3157"/>
      <c r="K66" s="2499" t="s">
        <v>2249</v>
      </c>
      <c r="L66" s="1749">
        <f ca="1">M49*0.5%</f>
        <v>3.83</v>
      </c>
      <c r="M66" s="24">
        <f ca="1">IF(L66&gt;0.5,0.5,ROUND(L66,0))</f>
        <v>0.5</v>
      </c>
      <c r="N66" s="138" t="s">
        <v>2250</v>
      </c>
      <c r="Z66" s="2423"/>
      <c r="AI66" s="2424"/>
    </row>
    <row r="67" spans="1:35" ht="14.25" customHeight="1">
      <c r="A67" s="203" t="s">
        <v>773</v>
      </c>
      <c r="B67" s="204" t="s">
        <v>2251</v>
      </c>
      <c r="C67" s="207">
        <f ca="1">C63-C66</f>
        <v>730</v>
      </c>
      <c r="D67" s="200" t="s">
        <v>32</v>
      </c>
      <c r="E67" s="201"/>
      <c r="F67" s="2489"/>
      <c r="G67" s="2489"/>
      <c r="H67" s="2497"/>
      <c r="I67" s="138"/>
      <c r="J67" s="3157"/>
      <c r="K67" s="2499" t="s">
        <v>2252</v>
      </c>
      <c r="L67" s="1749">
        <f ca="1">IF(M49&gt;=10000,(8.25+(M49-10000)*0.01%),IF(AND(M49&gt;=8000,M49&lt;10000),(7.85+(M49-8000)*0.02%),IF(AND(M49&gt;=5000,M49&lt;8000),(6.65+(M49-5000)*0.04%),IF(AND(M49&gt;=2000,M49&lt;5000),(4.25+(PM49-2000)*0.08%),IF(AND(M49&gt;=1000,M49&lt;2000),(2.75+(M49-1000)*0.15%),IF(AND(M49&gt;=100,M49&lt;1000),(0.5+(M49-100)*0.25%),IF(AND(M49&gt;0,M49&lt;100),M49*0.5%)))))))</f>
        <v>2.165</v>
      </c>
      <c r="M67" s="24">
        <f ca="1">ROUND(L67*0.9,1)</f>
        <v>1.9</v>
      </c>
      <c r="Z67" s="2423"/>
      <c r="AI67" s="2424"/>
    </row>
    <row r="68" spans="1:35" ht="14.25" customHeight="1" thickBot="1">
      <c r="A68" s="208" t="s">
        <v>774</v>
      </c>
      <c r="B68" s="209" t="s">
        <v>2253</v>
      </c>
      <c r="C68" s="210">
        <f ca="1">IF(C67&lt;=0,0,ROUND(C67*D68,0))</f>
        <v>41</v>
      </c>
      <c r="D68" s="211">
        <f>'数据-取费表'!B41</f>
        <v>5.6000000000000001E-2</v>
      </c>
      <c r="E68" s="212"/>
      <c r="F68" s="2489"/>
      <c r="G68" s="2489"/>
      <c r="H68" s="2497"/>
      <c r="I68" s="138"/>
      <c r="J68" s="3157"/>
      <c r="K68" s="2499" t="s">
        <v>2254</v>
      </c>
      <c r="L68" s="1749">
        <f ca="1">IF(M49&gt;10000,M49*0.5%,IF(AND(M49&gt;5000,M49&lt;=10000),M49*1%,IF(AND(M49&gt;1000,M49&lt;=5000),M49*2%,IF(AND(M49&gt;200,M49&lt;=1000),M49*3%,M49*5%))))</f>
        <v>22.98</v>
      </c>
      <c r="M68" s="24">
        <f ca="1">ROUND(L68,1)</f>
        <v>23</v>
      </c>
      <c r="Z68" s="2423"/>
      <c r="AI68" s="2424"/>
    </row>
    <row r="69" spans="1:35" s="2446" customFormat="1" ht="16.5" customHeight="1">
      <c r="A69" s="2500"/>
      <c r="B69" s="2501"/>
      <c r="C69" s="2502"/>
      <c r="D69" s="2503"/>
      <c r="E69" s="2504"/>
      <c r="F69" s="2166"/>
      <c r="G69" s="2166"/>
      <c r="H69" s="2165"/>
      <c r="I69" s="2418"/>
      <c r="J69" s="3157"/>
      <c r="K69" s="2499" t="s">
        <v>2255</v>
      </c>
      <c r="L69" s="2505"/>
      <c r="M69" s="24">
        <f ca="1">ROUND(SUM(M63:M68),0)</f>
        <v>58</v>
      </c>
      <c r="N69" s="1750">
        <f ca="1">M69/M49</f>
        <v>7.5718015665796348E-2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1" t="s">
        <v>2256</v>
      </c>
      <c r="B70" s="3152"/>
      <c r="C70" s="3152"/>
      <c r="D70" s="3152"/>
      <c r="E70" s="3152"/>
      <c r="F70" s="3152"/>
      <c r="G70" s="3152"/>
      <c r="H70" s="315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3" t="s">
        <v>2237</v>
      </c>
      <c r="B71" s="3154"/>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730</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4</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48" t="s">
        <v>2265</v>
      </c>
      <c r="F76" s="3149"/>
      <c r="G76" s="3149"/>
      <c r="H76" s="315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4</v>
      </c>
      <c r="D78" s="226">
        <f>'数据-取费表'!B43</f>
        <v>6.000000000000001E-3</v>
      </c>
      <c r="E78" s="3136" t="s">
        <v>2270</v>
      </c>
      <c r="F78" s="3137"/>
      <c r="G78" s="3137"/>
      <c r="H78" s="313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726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181.5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1" t="s">
        <v>2274</v>
      </c>
      <c r="B83" s="3152"/>
      <c r="C83" s="3152"/>
      <c r="D83" s="3152"/>
      <c r="E83" s="3152"/>
      <c r="F83" s="3152"/>
      <c r="G83" s="3152"/>
      <c r="H83" s="315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3" t="s">
        <v>2237</v>
      </c>
      <c r="B84" s="3154"/>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730</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4</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7"/>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36" t="s">
        <v>2283</v>
      </c>
      <c r="F91" s="3137"/>
      <c r="G91" s="3137"/>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36" t="s">
        <v>2287</v>
      </c>
      <c r="F92" s="3137"/>
      <c r="G92" s="3137"/>
      <c r="H92" s="313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4</v>
      </c>
      <c r="D93" s="226">
        <f>'数据-取费表'!B43</f>
        <v>6.000000000000001E-3</v>
      </c>
      <c r="E93" s="3136" t="s">
        <v>2270</v>
      </c>
      <c r="F93" s="3137"/>
      <c r="G93" s="3137"/>
      <c r="H93" s="313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39" t="s">
        <v>2291</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726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181.5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02" t="s">
        <v>2293</v>
      </c>
      <c r="B100" s="3103"/>
      <c r="C100" s="3103"/>
      <c r="D100" s="3142"/>
      <c r="E100" s="3103" t="s">
        <v>2294</v>
      </c>
      <c r="F100" s="3103"/>
      <c r="G100" s="3103"/>
      <c r="H100" s="3142"/>
      <c r="I100" s="138"/>
    </row>
    <row r="101" spans="1:35" ht="18.75" customHeight="1">
      <c r="A101" s="3143" t="s">
        <v>2295</v>
      </c>
      <c r="B101" s="3144"/>
      <c r="C101" s="736" t="str">
        <f>C4</f>
        <v>收益法</v>
      </c>
      <c r="D101" s="737" t="str">
        <f>D4</f>
        <v>比较法-商业</v>
      </c>
      <c r="E101" s="3145" t="s">
        <v>2296</v>
      </c>
      <c r="F101" s="3127"/>
      <c r="G101" s="2520" t="s">
        <v>2297</v>
      </c>
      <c r="H101" s="1045">
        <f ca="1">H118</f>
        <v>766</v>
      </c>
      <c r="I101" s="138"/>
    </row>
    <row r="102" spans="1:35" ht="18.75" customHeight="1">
      <c r="A102" s="3124" t="s">
        <v>2298</v>
      </c>
      <c r="B102" s="2520" t="s">
        <v>2297</v>
      </c>
      <c r="C102" s="736">
        <f ca="1">C19</f>
        <v>521</v>
      </c>
      <c r="D102" s="737">
        <f ca="1">D19</f>
        <v>930</v>
      </c>
      <c r="E102" s="3145"/>
      <c r="F102" s="3127"/>
      <c r="G102" s="2520" t="s">
        <v>2299</v>
      </c>
      <c r="H102" s="371">
        <f ca="1">I118</f>
        <v>10807</v>
      </c>
      <c r="I102" s="138"/>
    </row>
    <row r="103" spans="1:35" ht="42.75" customHeight="1">
      <c r="A103" s="3124"/>
      <c r="B103" s="2520" t="s">
        <v>2299</v>
      </c>
      <c r="C103" s="738">
        <f ca="1">C20</f>
        <v>17544</v>
      </c>
      <c r="D103" s="739">
        <f ca="1">D20</f>
        <v>31333</v>
      </c>
      <c r="E103" s="3146" t="s">
        <v>2300</v>
      </c>
      <c r="F103" s="3147"/>
      <c r="G103" s="2521" t="s">
        <v>2301</v>
      </c>
      <c r="H103" s="1045">
        <f>IF(D36="正常操作",H104+H105+H106,H105+H106)</f>
        <v>0</v>
      </c>
      <c r="I103" s="138"/>
    </row>
    <row r="104" spans="1:35" ht="18.75" customHeight="1">
      <c r="A104" s="3124" t="s">
        <v>2302</v>
      </c>
      <c r="B104" s="2522" t="s">
        <v>2297</v>
      </c>
      <c r="C104" s="740">
        <f ca="1">H118</f>
        <v>766</v>
      </c>
      <c r="D104" s="741"/>
      <c r="E104" s="2267" t="s">
        <v>2303</v>
      </c>
      <c r="F104" s="2258"/>
      <c r="G104" s="2521" t="s">
        <v>2301</v>
      </c>
      <c r="H104" s="1046">
        <f>IF(D36="同一抵押权人同一抵押物续贷",C36&amp;"（未扣减，详见特别提示）",C36)</f>
        <v>0</v>
      </c>
      <c r="I104" s="138"/>
    </row>
    <row r="105" spans="1:35" ht="18.75" customHeight="1" thickBot="1">
      <c r="A105" s="3125"/>
      <c r="B105" s="2523" t="s">
        <v>2299</v>
      </c>
      <c r="C105" s="742">
        <f ca="1">I118</f>
        <v>10807</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26" t="str">
        <f>IF(项目基本情况!E8="已注销","——","3.房地产抵押价值")</f>
        <v>3.房地产抵押价值</v>
      </c>
      <c r="F107" s="3127"/>
      <c r="G107" s="2520" t="s">
        <v>2297</v>
      </c>
      <c r="H107" s="1045">
        <f ca="1">IF(E107="——","——",H101-H103)</f>
        <v>766</v>
      </c>
      <c r="I107" s="138"/>
    </row>
    <row r="108" spans="1:35" ht="18.75" customHeight="1">
      <c r="A108" s="138"/>
      <c r="B108" s="138"/>
      <c r="C108" s="138"/>
      <c r="D108" s="138"/>
      <c r="E108" s="3126"/>
      <c r="F108" s="3127"/>
      <c r="G108" s="2520" t="s">
        <v>2299</v>
      </c>
      <c r="H108" s="371">
        <f ca="1">ROUND(H107*10000/'数据-汇总表'!E3,0)</f>
        <v>10807</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20" t="s">
        <v>2297</v>
      </c>
      <c r="H109" s="348" t="str">
        <f>IF(E109="——","——",H101-H105-H106)</f>
        <v>——</v>
      </c>
      <c r="I109" s="138"/>
    </row>
    <row r="110" spans="1:35" ht="18.75" customHeight="1">
      <c r="A110" s="138"/>
      <c r="B110" s="138"/>
      <c r="C110" s="138"/>
      <c r="D110" s="138"/>
      <c r="E110" s="3126"/>
      <c r="F110" s="3127"/>
      <c r="G110" s="2520" t="s">
        <v>2299</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20" t="s">
        <v>2297</v>
      </c>
      <c r="H111" s="1045">
        <f ca="1">IF(E111="——","——",N59)</f>
        <v>332</v>
      </c>
      <c r="I111" s="138"/>
    </row>
    <row r="112" spans="1:35" ht="18.75" customHeight="1" thickBot="1">
      <c r="A112" s="138"/>
      <c r="B112" s="138"/>
      <c r="C112" s="138"/>
      <c r="D112" s="138"/>
      <c r="E112" s="3130"/>
      <c r="F112" s="3131"/>
      <c r="G112" s="2525" t="s">
        <v>2299</v>
      </c>
      <c r="H112" s="790">
        <f ca="1">IF(E111="——","——",N61)</f>
        <v>4684</v>
      </c>
      <c r="I112" s="138"/>
    </row>
    <row r="113" spans="1:11" ht="18.75" customHeight="1">
      <c r="A113" s="138"/>
      <c r="B113" s="138"/>
      <c r="C113" s="138"/>
      <c r="D113" s="138"/>
      <c r="E113" s="3132" t="s">
        <v>2305</v>
      </c>
      <c r="F113" s="3132"/>
      <c r="G113" s="3132"/>
      <c r="H113" s="3132"/>
      <c r="I113" s="138"/>
    </row>
    <row r="114" spans="1:11" ht="3.75" customHeight="1">
      <c r="A114" s="2418"/>
      <c r="B114" s="2418"/>
      <c r="C114" s="2418"/>
      <c r="D114" s="2418"/>
      <c r="E114" s="2496"/>
      <c r="F114" s="2496"/>
      <c r="G114" s="2496"/>
      <c r="H114" s="2496"/>
      <c r="I114" s="2418"/>
    </row>
    <row r="115" spans="1:11" ht="18.75" customHeight="1">
      <c r="A115" s="3133" t="s">
        <v>2307</v>
      </c>
      <c r="B115" s="3134"/>
      <c r="C115" s="3134"/>
      <c r="D115" s="3134"/>
      <c r="E115" s="3134"/>
      <c r="F115" s="3134"/>
      <c r="G115" s="3134"/>
      <c r="H115" s="3134"/>
      <c r="I115" s="3135"/>
    </row>
    <row r="116" spans="1:11" ht="27" customHeight="1">
      <c r="A116" s="3059" t="s">
        <v>2308</v>
      </c>
      <c r="B116" s="3119" t="s">
        <v>2309</v>
      </c>
      <c r="C116" s="3119" t="s">
        <v>2310</v>
      </c>
      <c r="D116" s="3121" t="s">
        <v>2311</v>
      </c>
      <c r="E116" s="3122"/>
      <c r="F116" s="3123" t="s">
        <v>2312</v>
      </c>
      <c r="G116" s="3123"/>
      <c r="H116" s="3059" t="s">
        <v>2313</v>
      </c>
      <c r="I116" s="3059"/>
    </row>
    <row r="117" spans="1:11" ht="18.75" customHeight="1">
      <c r="A117" s="3059"/>
      <c r="B117" s="3120"/>
      <c r="C117" s="3120"/>
      <c r="D117" s="1795" t="s">
        <v>2314</v>
      </c>
      <c r="E117" s="1795" t="s">
        <v>2315</v>
      </c>
      <c r="F117" s="1795" t="s">
        <v>2314</v>
      </c>
      <c r="G117" s="1795" t="s">
        <v>2316</v>
      </c>
      <c r="H117" s="1795" t="s">
        <v>2314</v>
      </c>
      <c r="I117" s="1795" t="s">
        <v>2316</v>
      </c>
    </row>
    <row r="118" spans="1:11" ht="24.75" customHeight="1">
      <c r="A118" s="2526" t="str">
        <f>项目基本情况!S2</f>
        <v>北京市出让国有建设用地使用权及在建建筑物房地产</v>
      </c>
      <c r="B118" s="1795">
        <f>M18</f>
        <v>708.8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766</v>
      </c>
      <c r="I118" s="1795">
        <f ca="1">ROUND(IF(D32="楼面单价",C32,H118*10000/B118),0)</f>
        <v>10807</v>
      </c>
    </row>
    <row r="119" spans="1:11" ht="18.75" customHeight="1">
      <c r="A119" s="3059" t="s">
        <v>2317</v>
      </c>
      <c r="B119" s="3059"/>
      <c r="C119" s="3059"/>
      <c r="D119" s="3108" t="e">
        <f ca="1">NUMBERSTRING(INT(D118*10000),2)&amp;"元整"</f>
        <v>#REF!</v>
      </c>
      <c r="E119" s="3110"/>
      <c r="F119" s="3108" t="e">
        <f ca="1">NUMBERSTRING(INT(F118*10000),2)&amp;"元整"</f>
        <v>#REF!</v>
      </c>
      <c r="G119" s="3110"/>
      <c r="H119" s="3108" t="str">
        <f ca="1">NUMBERSTRING(INT(H118*10000),2)&amp;"元整"</f>
        <v>柒佰陆拾陆万元整</v>
      </c>
      <c r="I119" s="3110"/>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3" t="str">
        <f>IF(D120=0,"故，本次评估不存在"&amp;A120,"故，本次评估"&amp;A120&amp;"为人民币"&amp;D120&amp;"万元整。")</f>
        <v>故，本次评估不存在估价师知悉的法定优先受偿款</v>
      </c>
    </row>
    <row r="121" spans="1:11" ht="18.75" customHeight="1">
      <c r="A121" s="3116" t="s">
        <v>2317</v>
      </c>
      <c r="B121" s="3117"/>
      <c r="C121" s="3118"/>
      <c r="D121" s="3108" t="str">
        <f>IF(D120=0,"零元整",NUMBERSTRING(INT(D120*10000),2)&amp;"元整")</f>
        <v>零元整</v>
      </c>
      <c r="E121" s="3109"/>
      <c r="F121" s="3109"/>
      <c r="G121" s="3109"/>
      <c r="H121" s="3109"/>
      <c r="I121" s="3110"/>
    </row>
    <row r="122" spans="1:11" ht="18.75" customHeight="1">
      <c r="A122" s="3112" t="str">
        <f>IF(项目基本情况!B9="房地产市场价值","",MID(E107,3,LEN(E107)-2))</f>
        <v>房地产抵押价值</v>
      </c>
      <c r="B122" s="3112"/>
      <c r="C122" s="3112"/>
      <c r="D122" s="3113">
        <f ca="1">H107</f>
        <v>766</v>
      </c>
      <c r="E122" s="3114"/>
      <c r="F122" s="3114"/>
      <c r="G122" s="3114"/>
      <c r="H122" s="3114"/>
      <c r="I122" s="3115"/>
    </row>
    <row r="123" spans="1:11" ht="18.75" customHeight="1">
      <c r="A123" s="3059" t="s">
        <v>2317</v>
      </c>
      <c r="B123" s="3059"/>
      <c r="C123" s="3059"/>
      <c r="D123" s="3108" t="str">
        <f ca="1">NUMBERSTRING(INT(D122*10000),2)&amp;"元整"</f>
        <v>柒佰陆拾陆万元整</v>
      </c>
      <c r="E123" s="3109"/>
      <c r="F123" s="3109"/>
      <c r="G123" s="3109"/>
      <c r="H123" s="3109"/>
      <c r="I123" s="3110"/>
    </row>
    <row r="124" spans="1:11" ht="18.75" customHeight="1">
      <c r="A124" s="3112" t="str">
        <f>IF(项目基本情况!B9="房地产市场价值","",MID(E109,3,LEN(E109)-2))</f>
        <v/>
      </c>
      <c r="B124" s="3112"/>
      <c r="C124" s="3112"/>
      <c r="D124" s="3113" t="str">
        <f>H109</f>
        <v>——</v>
      </c>
      <c r="E124" s="3114"/>
      <c r="F124" s="3114"/>
      <c r="G124" s="3114"/>
      <c r="H124" s="3114"/>
      <c r="I124" s="3115"/>
    </row>
    <row r="125" spans="1:11" ht="18.75" customHeight="1">
      <c r="A125" s="3059" t="s">
        <v>2317</v>
      </c>
      <c r="B125" s="3059"/>
      <c r="C125" s="3059"/>
      <c r="D125" s="3108" t="e">
        <f>NUMBERSTRING(INT(D124*10000),2)&amp;"元整"</f>
        <v>#VALUE!</v>
      </c>
      <c r="E125" s="3109"/>
      <c r="F125" s="3109"/>
      <c r="G125" s="3109"/>
      <c r="H125" s="3109"/>
      <c r="I125" s="3110"/>
    </row>
    <row r="126" spans="1:11" ht="18.75" customHeight="1">
      <c r="A126" s="3112" t="str">
        <f>IF(项目基本情况!B9="房地产市场价值","",MID(E111,3,LEN(E111)-2))</f>
        <v>抵押净值</v>
      </c>
      <c r="B126" s="3112"/>
      <c r="C126" s="3112"/>
      <c r="D126" s="3113">
        <f ca="1">H111</f>
        <v>332</v>
      </c>
      <c r="E126" s="3114"/>
      <c r="F126" s="3114"/>
      <c r="G126" s="3114"/>
      <c r="H126" s="3114"/>
      <c r="I126" s="3115"/>
    </row>
    <row r="127" spans="1:11" ht="18.75" customHeight="1">
      <c r="A127" s="3059" t="s">
        <v>2317</v>
      </c>
      <c r="B127" s="3059"/>
      <c r="C127" s="3059"/>
      <c r="D127" s="3108" t="str">
        <f ca="1">NUMBERSTRING(INT(D126*10000),2)&amp;"元整"</f>
        <v>叁佰叁拾贰万元整</v>
      </c>
      <c r="E127" s="3109"/>
      <c r="F127" s="3109"/>
      <c r="G127" s="3109"/>
      <c r="H127" s="3109"/>
      <c r="I127" s="3110"/>
    </row>
    <row r="128" spans="1:11" ht="21.75" customHeight="1">
      <c r="A128" s="3111" t="s">
        <v>2318</v>
      </c>
      <c r="B128" s="3111"/>
      <c r="C128" s="3111"/>
      <c r="D128" s="3111"/>
      <c r="E128" s="3111"/>
      <c r="F128" s="3111"/>
      <c r="G128" s="3111"/>
      <c r="H128" s="3111"/>
      <c r="I128" s="3111"/>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5" t="str">
        <f>项目基本情况!B1</f>
        <v>北京市出让国有建设用地使用权及在建建筑物房地产抵押价值预评估</v>
      </c>
      <c r="C37" s="3015"/>
      <c r="D37" s="3015"/>
      <c r="E37" s="3015"/>
      <c r="F37" s="3015"/>
      <c r="G37" s="3015"/>
      <c r="H37" s="3015"/>
      <c r="I37" s="301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8</v>
      </c>
    </row>
    <row r="2" spans="1:9" s="244" customFormat="1" ht="18" customHeight="1">
      <c r="A2" s="245" t="s">
        <v>2327</v>
      </c>
      <c r="B2" s="246">
        <f ca="1">IF(D2="——",C52,C52-E2)</f>
        <v>289</v>
      </c>
      <c r="C2" s="243" t="s">
        <v>2328</v>
      </c>
      <c r="D2" s="2549" t="s">
        <v>70</v>
      </c>
      <c r="E2" s="1440"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4077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90"/>
      <c r="I9" s="2554"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708.8</v>
      </c>
      <c r="E10" s="269">
        <f>'数据-取费表'!B28</f>
        <v>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14</v>
      </c>
      <c r="D19" s="1036">
        <f ca="1">D9+D10</f>
        <v>708.8</v>
      </c>
      <c r="E19" s="255">
        <f>'数据-取费表'!B31</f>
        <v>200</v>
      </c>
      <c r="F19" s="275"/>
      <c r="G19" s="2552"/>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1</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1</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2</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236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213</v>
      </c>
      <c r="D34" s="261"/>
      <c r="E34" s="264"/>
      <c r="F34" s="301">
        <f ca="1">IF('数据-取费表'!B24=0,1,IF(B1="",'数据-取费表'!N16,INDIRECT("'数据-取费表'!n"&amp;$G$1)))</f>
        <v>1</v>
      </c>
      <c r="G34" s="263" t="s">
        <v>2391</v>
      </c>
    </row>
    <row r="35" spans="1:7" ht="13.5" customHeight="1">
      <c r="A35" s="951" t="s">
        <v>796</v>
      </c>
      <c r="B35" s="259" t="s">
        <v>2392</v>
      </c>
      <c r="C35" s="264">
        <f ca="1">ROUND(C34*F35,0)</f>
        <v>6</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14</v>
      </c>
      <c r="D37" s="261">
        <f ca="1">D19</f>
        <v>708.8</v>
      </c>
      <c r="E37" s="293">
        <f>'数据-取费表'!B35</f>
        <v>200</v>
      </c>
      <c r="F37" s="303"/>
      <c r="G37" s="305" t="s">
        <v>2397</v>
      </c>
    </row>
    <row r="38" spans="1:7" ht="13.5" customHeight="1">
      <c r="A38" s="951" t="s">
        <v>799</v>
      </c>
      <c r="B38" s="259" t="s">
        <v>2398</v>
      </c>
      <c r="C38" s="264">
        <f ca="1">ROUND(C34*F38,0)</f>
        <v>3</v>
      </c>
      <c r="D38" s="264"/>
      <c r="E38" s="264"/>
      <c r="F38" s="303">
        <f>'数据-取费表'!B36</f>
        <v>1.4999999999999999E-2</v>
      </c>
      <c r="G38" s="263" t="s">
        <v>2393</v>
      </c>
    </row>
    <row r="39" spans="1:7" s="258" customFormat="1" ht="13.5" customHeight="1">
      <c r="A39" s="299" t="s">
        <v>2399</v>
      </c>
      <c r="B39" s="254" t="s">
        <v>2400</v>
      </c>
      <c r="C39" s="276">
        <f ca="1">ROUND(C33*F20,0)</f>
        <v>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11</v>
      </c>
      <c r="D42" s="282"/>
      <c r="E42" s="282"/>
      <c r="F42" s="283"/>
      <c r="G42" s="3201" t="s">
        <v>2409</v>
      </c>
    </row>
    <row r="43" spans="1:7" ht="13.5" customHeight="1">
      <c r="A43" s="951" t="s">
        <v>792</v>
      </c>
      <c r="B43" s="259" t="s">
        <v>2410</v>
      </c>
      <c r="C43" s="282">
        <f ca="1">ROUND(IF('数据-取费表'!B22&lt;=1,C39*F22*'数据-取费表'!B21/2,C39*(POWER((1+F22),'数据-取费表'!B21/2)-1)),0)</f>
        <v>0</v>
      </c>
      <c r="D43" s="282"/>
      <c r="E43" s="282"/>
      <c r="F43" s="283"/>
      <c r="G43" s="3202"/>
    </row>
    <row r="44" spans="1:7" ht="13.5" customHeight="1">
      <c r="A44" s="951" t="s">
        <v>793</v>
      </c>
      <c r="B44" s="259" t="s">
        <v>2411</v>
      </c>
      <c r="C44" s="282">
        <f ca="1">ROUND(IF('数据-取费表'!B22&lt;=1,C40*F22*'数据-取费表'!B21/2,C40*(POWER((1+F22),'数据-取费表'!B21/2)-1)),4)</f>
        <v>1E-3</v>
      </c>
      <c r="D44" s="282"/>
      <c r="E44" s="282"/>
      <c r="F44" s="283"/>
      <c r="G44" s="3203"/>
    </row>
    <row r="45" spans="1:7" s="258" customFormat="1" ht="13.5" customHeight="1">
      <c r="A45" s="299" t="s">
        <v>2412</v>
      </c>
      <c r="B45" s="288" t="s">
        <v>2378</v>
      </c>
      <c r="C45" s="289">
        <f ca="1">C46</f>
        <v>36</v>
      </c>
      <c r="D45" s="279">
        <f ca="1">C47</f>
        <v>3.0000000000000001E-3</v>
      </c>
      <c r="E45" s="280" t="s">
        <v>2404</v>
      </c>
      <c r="F45" s="290"/>
      <c r="G45" s="291" t="s">
        <v>2413</v>
      </c>
    </row>
    <row r="46" spans="1:7" s="258" customFormat="1" ht="13.5" customHeight="1">
      <c r="A46" s="951" t="s">
        <v>791</v>
      </c>
      <c r="B46" s="292" t="s">
        <v>2414</v>
      </c>
      <c r="C46" s="293">
        <f ca="1">ROUND((C33+C39)*F27,0)</f>
        <v>36</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312</v>
      </c>
      <c r="D49" s="276"/>
      <c r="E49" s="276"/>
      <c r="F49" s="308"/>
      <c r="G49" s="278" t="s">
        <v>2419</v>
      </c>
    </row>
    <row r="50" spans="1:7" s="302" customFormat="1" ht="24">
      <c r="A50" s="299" t="s">
        <v>2420</v>
      </c>
      <c r="B50" s="254" t="s">
        <v>2421</v>
      </c>
      <c r="C50" s="276"/>
      <c r="D50" s="276"/>
      <c r="E50" s="276"/>
      <c r="F50" s="308">
        <f>IF('数据-取费表'!B24=0,'数据-取费表'!N16,1)</f>
        <v>0.86699999999999999</v>
      </c>
      <c r="G50" s="291" t="s">
        <v>2422</v>
      </c>
    </row>
    <row r="51" spans="1:7" ht="16.5" customHeight="1">
      <c r="A51" s="299" t="s">
        <v>2423</v>
      </c>
      <c r="B51" s="254" t="s">
        <v>2424</v>
      </c>
      <c r="C51" s="276">
        <f ca="1">ROUND(C49*F50,0)</f>
        <v>271</v>
      </c>
      <c r="D51" s="276"/>
      <c r="E51" s="276"/>
      <c r="F51" s="308"/>
      <c r="G51" s="278" t="s">
        <v>2425</v>
      </c>
    </row>
    <row r="52" spans="1:7" s="252" customFormat="1" ht="16.5" thickBot="1">
      <c r="A52" s="309" t="s">
        <v>2426</v>
      </c>
      <c r="B52" s="310"/>
      <c r="C52" s="311">
        <f ca="1">C31+C51</f>
        <v>289</v>
      </c>
      <c r="D52" s="310"/>
      <c r="E52" s="310"/>
      <c r="F52" s="310"/>
      <c r="G52" s="312"/>
    </row>
    <row r="55" spans="1:7" ht="15">
      <c r="B55" s="314" t="s">
        <v>2427</v>
      </c>
      <c r="C55" s="315"/>
    </row>
    <row r="56" spans="1:7">
      <c r="B56" s="317" t="s">
        <v>1507</v>
      </c>
      <c r="C56" s="319">
        <f ca="1">1-C57</f>
        <v>6.2000000000000055E-2</v>
      </c>
    </row>
    <row r="57" spans="1:7">
      <c r="B57" s="317" t="s">
        <v>1508</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291</v>
      </c>
      <c r="C2" s="243" t="s">
        <v>2328</v>
      </c>
      <c r="D2" s="2549" t="s">
        <v>70</v>
      </c>
      <c r="E2" s="1440"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4106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0</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708.8</v>
      </c>
      <c r="E10" s="269">
        <f>'数据-取费表'!B28</f>
        <v>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141760</v>
      </c>
      <c r="D19" s="1036">
        <f ca="1">D9+D10</f>
        <v>708.8</v>
      </c>
      <c r="E19" s="255">
        <f>'数据-取费表'!B31</f>
        <v>200</v>
      </c>
      <c r="F19" s="275"/>
      <c r="G19" s="2552"/>
    </row>
    <row r="20" spans="1:7" s="258" customFormat="1" ht="13.5" customHeight="1">
      <c r="A20" s="299" t="s">
        <v>2439</v>
      </c>
      <c r="B20" s="254" t="s">
        <v>2440</v>
      </c>
      <c r="C20" s="276">
        <f ca="1">ROUND((C5+C19)*F20,0)</f>
        <v>2835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13922</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13787</v>
      </c>
      <c r="D24" s="282"/>
      <c r="E24" s="282"/>
      <c r="F24" s="283"/>
      <c r="G24" s="284" t="s">
        <v>2451</v>
      </c>
    </row>
    <row r="25" spans="1:7" s="258" customFormat="1" ht="24">
      <c r="A25" s="951" t="s">
        <v>2341</v>
      </c>
      <c r="B25" s="259" t="s">
        <v>2452</v>
      </c>
      <c r="C25" s="1381">
        <f ca="1">ROUND(IF('数据-取费表'!B22&lt;=1,C20*F22*'数据-取费表'!B22/2,C20*(POWER((1+F22),'数据-取费表'!B22/2)-1)),0)</f>
        <v>135</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21689</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21689</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195303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2363848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2126400</v>
      </c>
      <c r="D34" s="261"/>
      <c r="E34" s="264"/>
      <c r="F34" s="301"/>
      <c r="G34" s="263"/>
    </row>
    <row r="35" spans="1:7" ht="13.5" customHeight="1">
      <c r="A35" s="951" t="s">
        <v>796</v>
      </c>
      <c r="B35" s="259" t="s">
        <v>2392</v>
      </c>
      <c r="C35" s="264">
        <f ca="1">ROUND(C34*F35,0)</f>
        <v>63792</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141760</v>
      </c>
      <c r="D37" s="261">
        <f ca="1">D19</f>
        <v>708.8</v>
      </c>
      <c r="E37" s="293">
        <f>'数据-取费表'!B35</f>
        <v>200</v>
      </c>
      <c r="F37" s="303"/>
      <c r="G37" s="305"/>
    </row>
    <row r="38" spans="1:7" ht="13.5" customHeight="1">
      <c r="A38" s="951" t="s">
        <v>799</v>
      </c>
      <c r="B38" s="259" t="s">
        <v>2398</v>
      </c>
      <c r="C38" s="264">
        <f ca="1">ROUND(C34*F38,0)</f>
        <v>31896</v>
      </c>
      <c r="D38" s="264"/>
      <c r="E38" s="264"/>
      <c r="F38" s="303">
        <f>'数据-取费表'!B36</f>
        <v>1.4999999999999999E-2</v>
      </c>
      <c r="G38" s="263" t="s">
        <v>2393</v>
      </c>
    </row>
    <row r="39" spans="1:7" s="258" customFormat="1" ht="13.5" customHeight="1">
      <c r="A39" s="299" t="s">
        <v>2399</v>
      </c>
      <c r="B39" s="254" t="s">
        <v>2400</v>
      </c>
      <c r="C39" s="276">
        <f ca="1">ROUND(C33*F20,0)</f>
        <v>47277</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114529</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112283</v>
      </c>
      <c r="D42" s="282"/>
      <c r="E42" s="282"/>
      <c r="F42" s="283"/>
      <c r="G42" s="3201" t="s">
        <v>2456</v>
      </c>
    </row>
    <row r="43" spans="1:7" ht="13.5" customHeight="1">
      <c r="A43" s="951" t="s">
        <v>792</v>
      </c>
      <c r="B43" s="259" t="s">
        <v>2410</v>
      </c>
      <c r="C43" s="282">
        <f ca="1">ROUND(IF('数据-取费表'!B22&lt;=1,C39*F22*'数据-取费表'!B20/2,C39*(POWER((1+F22),'数据-取费表'!B20/2)-1)),0)</f>
        <v>2246</v>
      </c>
      <c r="D43" s="282"/>
      <c r="E43" s="282"/>
      <c r="F43" s="283"/>
      <c r="G43" s="3202"/>
    </row>
    <row r="44" spans="1:7" ht="13.5" customHeight="1">
      <c r="A44" s="951" t="s">
        <v>793</v>
      </c>
      <c r="B44" s="259" t="s">
        <v>2411</v>
      </c>
      <c r="C44" s="282">
        <f ca="1">ROUND(IF('数据-取费表'!B22&lt;=1,C40*F22*'数据-取费表'!B20/2,C40*(POWER((1+F22),'数据-取费表'!B20/2)-1)),4)</f>
        <v>1E-3</v>
      </c>
      <c r="D44" s="282"/>
      <c r="E44" s="282"/>
      <c r="F44" s="283"/>
      <c r="G44" s="3203"/>
    </row>
    <row r="45" spans="1:7" s="258" customFormat="1" ht="13.5" customHeight="1">
      <c r="A45" s="299" t="s">
        <v>2412</v>
      </c>
      <c r="B45" s="288" t="s">
        <v>2378</v>
      </c>
      <c r="C45" s="289">
        <f ca="1">C46</f>
        <v>361669</v>
      </c>
      <c r="D45" s="279">
        <f ca="1">C47</f>
        <v>3.0000000000000001E-3</v>
      </c>
      <c r="E45" s="280" t="s">
        <v>2404</v>
      </c>
      <c r="F45" s="290"/>
      <c r="G45" s="291" t="s">
        <v>2413</v>
      </c>
    </row>
    <row r="46" spans="1:7" s="258" customFormat="1" ht="13.5" customHeight="1">
      <c r="A46" s="951" t="s">
        <v>791</v>
      </c>
      <c r="B46" s="292" t="s">
        <v>2414</v>
      </c>
      <c r="C46" s="293">
        <f ca="1">ROUND((C33+C39)*F27,0)</f>
        <v>361669</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3129211</v>
      </c>
      <c r="D49" s="276"/>
      <c r="E49" s="276"/>
      <c r="F49" s="308"/>
      <c r="G49" s="278" t="s">
        <v>2419</v>
      </c>
    </row>
    <row r="50" spans="1:7" s="302" customFormat="1">
      <c r="A50" s="299" t="s">
        <v>2420</v>
      </c>
      <c r="B50" s="254" t="s">
        <v>2421</v>
      </c>
      <c r="C50" s="276"/>
      <c r="D50" s="276"/>
      <c r="E50" s="276"/>
      <c r="F50" s="308">
        <f>IF('数据-取费表'!B24=0,'数据-取费表'!N16,1)</f>
        <v>0.86699999999999999</v>
      </c>
      <c r="G50" s="291"/>
    </row>
    <row r="51" spans="1:7" ht="16.5" customHeight="1">
      <c r="A51" s="299" t="s">
        <v>2423</v>
      </c>
      <c r="B51" s="254" t="s">
        <v>2458</v>
      </c>
      <c r="C51" s="276">
        <f ca="1">ROUND(C49*F50,0)</f>
        <v>2713026</v>
      </c>
      <c r="D51" s="276"/>
      <c r="E51" s="276"/>
      <c r="F51" s="308"/>
      <c r="G51" s="278" t="s">
        <v>2425</v>
      </c>
    </row>
    <row r="52" spans="1:7" s="252" customFormat="1" ht="16.5" thickBot="1">
      <c r="A52" s="309" t="s">
        <v>2426</v>
      </c>
      <c r="B52" s="310"/>
      <c r="C52" s="311">
        <f ca="1">C31+C51</f>
        <v>2908329</v>
      </c>
      <c r="D52" s="310"/>
      <c r="E52" s="310"/>
      <c r="F52" s="310"/>
      <c r="G52" s="312"/>
    </row>
    <row r="55" spans="1:7" ht="15">
      <c r="B55" s="314" t="s">
        <v>2427</v>
      </c>
      <c r="C55" s="315"/>
    </row>
    <row r="56" spans="1:7">
      <c r="B56" s="317" t="s">
        <v>1507</v>
      </c>
      <c r="C56" s="319">
        <f ca="1">1-C57</f>
        <v>6.6999999999999948E-2</v>
      </c>
    </row>
    <row r="57" spans="1:7">
      <c r="B57" s="317" t="s">
        <v>1508</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708.8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708.8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0</v>
      </c>
      <c r="D18" s="1033"/>
      <c r="E18" s="24"/>
      <c r="F18" s="976"/>
      <c r="G18" s="2558"/>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708.8</v>
      </c>
      <c r="E20" s="24">
        <f>'数据-取费表'!B28</f>
        <v>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-201</v>
      </c>
      <c r="D1" s="1820"/>
      <c r="E1" s="1821" t="s">
        <v>1381</v>
      </c>
      <c r="F1" s="1283">
        <f ca="1">J53</f>
        <v>31.84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521</v>
      </c>
      <c r="C2" s="1845" t="s">
        <v>1510</v>
      </c>
      <c r="D2" s="1845"/>
      <c r="E2" s="1846"/>
      <c r="F2" s="1847"/>
      <c r="G2" s="1848"/>
      <c r="H2" s="1840"/>
      <c r="I2" s="1840"/>
      <c r="J2" s="1840"/>
      <c r="K2" s="1841"/>
      <c r="L2" s="1840"/>
      <c r="M2" s="1840"/>
    </row>
    <row r="3" spans="1:37" ht="18" customHeight="1" thickBot="1">
      <c r="A3" s="1849" t="s">
        <v>1511</v>
      </c>
      <c r="B3" s="1850">
        <f ca="1">IF(ISERROR(B2*10000/F43),0,ROUND(B2*10000/F43,0))</f>
        <v>17544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34</v>
      </c>
      <c r="D5" s="1822" t="s">
        <v>1396</v>
      </c>
      <c r="E5" s="1293"/>
      <c r="F5" s="1294"/>
      <c r="G5" s="1851"/>
      <c r="H5" s="344">
        <v>1</v>
      </c>
      <c r="I5" s="345" t="s">
        <v>1395</v>
      </c>
      <c r="J5" s="1292">
        <f ca="1">J6+J10+J12</f>
        <v>0</v>
      </c>
      <c r="K5" s="1822" t="s">
        <v>1396</v>
      </c>
      <c r="L5" s="1293"/>
      <c r="M5" s="1294"/>
    </row>
    <row r="6" spans="1:37" ht="18" customHeight="1">
      <c r="A6" s="1291" t="s">
        <v>1031</v>
      </c>
      <c r="B6" s="3206" t="s">
        <v>1397</v>
      </c>
      <c r="C6" s="1296">
        <f ca="1">ROUND(F6*F8*F7*(1-F9)/10000,0)</f>
        <v>34</v>
      </c>
      <c r="D6" s="164" t="s">
        <v>3031</v>
      </c>
      <c r="E6" s="347" t="s">
        <v>1399</v>
      </c>
      <c r="F6" s="348">
        <f ca="1">INDIRECT("'数据-取费表'!u"&amp;$G$1)</f>
        <v>3.5</v>
      </c>
      <c r="G6" s="1851"/>
      <c r="H6" s="1291" t="s">
        <v>1031</v>
      </c>
      <c r="I6" s="3206" t="s">
        <v>1397</v>
      </c>
      <c r="J6" s="346">
        <f ca="1">ROUND(M6*M8*M7*(1-M9)/10000,0)</f>
        <v>0</v>
      </c>
      <c r="K6" s="164" t="s">
        <v>3030</v>
      </c>
      <c r="L6" s="347" t="s">
        <v>1399</v>
      </c>
      <c r="M6" s="348">
        <f ca="1">INDIRECT("'数据-取费表'!z"&amp;$G$1)</f>
        <v>0</v>
      </c>
    </row>
    <row r="7" spans="1:37" ht="18" customHeight="1">
      <c r="A7" s="1295"/>
      <c r="B7" s="3207"/>
      <c r="C7" s="1297"/>
      <c r="D7" s="352"/>
      <c r="E7" s="1298" t="s">
        <v>1400</v>
      </c>
      <c r="F7" s="348">
        <f ca="1">IF(INDIRECT("'数据-取费表'!ah"&amp;$G$1)="",INDIRECT("'数据-取费表'!k"&amp;$G$1),INDIRECT("'数据-取费表'!ah"&amp;$G$1))</f>
        <v>296.95999999999998</v>
      </c>
      <c r="G7" s="1851"/>
      <c r="H7" s="349"/>
      <c r="I7" s="3207"/>
      <c r="J7" s="351"/>
      <c r="K7" s="352"/>
      <c r="L7" s="347" t="s">
        <v>1400</v>
      </c>
      <c r="M7" s="348">
        <f ca="1">F7</f>
        <v>296.95999999999998</v>
      </c>
    </row>
    <row r="8" spans="1:37" ht="18" customHeight="1">
      <c r="A8" s="349"/>
      <c r="B8" s="3207"/>
      <c r="C8" s="351"/>
      <c r="D8" s="352"/>
      <c r="E8" s="347" t="s">
        <v>1401</v>
      </c>
      <c r="F8" s="348">
        <f ca="1">INDIRECT("'数据-取费表'!ai"&amp;$G$1)</f>
        <v>365</v>
      </c>
      <c r="G8" s="1851"/>
      <c r="H8" s="349"/>
      <c r="I8" s="3207"/>
      <c r="J8" s="351"/>
      <c r="K8" s="352"/>
      <c r="L8" s="347" t="s">
        <v>1401</v>
      </c>
      <c r="M8" s="348">
        <f ca="1">INDIRECT("'数据-取费表'!ai"&amp;$G$1)</f>
        <v>365</v>
      </c>
    </row>
    <row r="9" spans="1:37" ht="18" customHeight="1">
      <c r="A9" s="349"/>
      <c r="B9" s="3208"/>
      <c r="C9" s="351"/>
      <c r="D9" s="352"/>
      <c r="E9" s="347" t="s">
        <v>1402</v>
      </c>
      <c r="F9" s="357">
        <f ca="1">INDIRECT("'数据-取费表'!w"&amp;$G$1)</f>
        <v>0.1</v>
      </c>
      <c r="G9" s="1851"/>
      <c r="H9" s="349"/>
      <c r="I9" s="320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t="s">
        <v>3113</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114</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89</v>
      </c>
      <c r="D14" s="1800" t="s">
        <v>1412</v>
      </c>
      <c r="E14" s="1794"/>
      <c r="F14" s="364"/>
      <c r="G14" s="1851"/>
      <c r="H14" s="1201" t="s">
        <v>1031</v>
      </c>
      <c r="I14" s="347" t="s">
        <v>1413</v>
      </c>
      <c r="J14" s="24">
        <f ca="1">C29</f>
        <v>131</v>
      </c>
      <c r="K14" s="15"/>
      <c r="L14" s="979"/>
      <c r="M14" s="980"/>
    </row>
    <row r="15" spans="1:37" s="1858" customFormat="1" ht="18" customHeight="1" thickBot="1">
      <c r="A15" s="1201" t="s">
        <v>1032</v>
      </c>
      <c r="B15" s="347" t="s">
        <v>1414</v>
      </c>
      <c r="C15" s="24">
        <f ca="1">ROUND(C14*F15,0)</f>
        <v>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v>
      </c>
      <c r="K16" s="1337" t="s">
        <v>1419</v>
      </c>
      <c r="L16" s="1338"/>
      <c r="M16" s="1294"/>
    </row>
    <row r="17" spans="1:37" s="1858" customFormat="1" ht="18" customHeight="1">
      <c r="A17" s="1201" t="s">
        <v>1384</v>
      </c>
      <c r="B17" s="347" t="s">
        <v>1420</v>
      </c>
      <c r="C17" s="24">
        <f ca="1">ROUND(F17*(F43+INDIRECT("'数据-取费表'!S"&amp;$G$1))/10000,0)</f>
        <v>6</v>
      </c>
      <c r="D17" s="347" t="s">
        <v>1421</v>
      </c>
      <c r="E17" s="347" t="s">
        <v>1422</v>
      </c>
      <c r="F17" s="26">
        <f>'数据-取费表'!B35</f>
        <v>200</v>
      </c>
      <c r="G17" s="1854"/>
      <c r="H17" s="1201" t="s">
        <v>1031</v>
      </c>
      <c r="I17" s="347" t="s">
        <v>1423</v>
      </c>
      <c r="J17" s="24">
        <f ca="1">ROUND(IF(项目基本情况!B11="自然人",J6*M17/(1+'数据-取费表'!C42),J18+J19+J20),1)</f>
        <v>1.1000000000000001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99</v>
      </c>
      <c r="D19" s="140" t="s">
        <v>1430</v>
      </c>
      <c r="E19" s="1818"/>
      <c r="F19" s="26"/>
      <c r="G19" s="1851"/>
      <c r="H19" s="1201" t="s">
        <v>1032</v>
      </c>
      <c r="I19" s="347" t="s">
        <v>1431</v>
      </c>
      <c r="J19" s="24">
        <f ca="1">IF(K19="按租金收入计税",ROUND(J6*M19/(1+'数据-取费表'!C42),2),ROUND(C29*M19*0.7,2))</f>
        <v>1.1000000000000001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v>
      </c>
      <c r="K25" s="1345" t="s">
        <v>1458</v>
      </c>
      <c r="L25" s="1346"/>
      <c r="M25" s="1347"/>
    </row>
    <row r="26" spans="1:37">
      <c r="A26" s="1201" t="s">
        <v>1030</v>
      </c>
      <c r="B26" s="347" t="s">
        <v>1459</v>
      </c>
      <c r="C26" s="24">
        <f ca="1">ROUND((C19+C20)*F26,0)</f>
        <v>15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131</v>
      </c>
      <c r="D29" s="1342"/>
      <c r="E29" s="1340"/>
      <c r="F29" s="1343"/>
      <c r="G29" s="1854"/>
      <c r="H29" s="380" t="s">
        <v>1029</v>
      </c>
      <c r="I29" s="381" t="s">
        <v>1473</v>
      </c>
      <c r="J29" s="382">
        <f ca="1">ROUND(J26/(1+F40)^F41,0)</f>
        <v>0</v>
      </c>
      <c r="K29" s="383" t="s">
        <v>1474</v>
      </c>
      <c r="L29" s="384"/>
      <c r="M29" s="385">
        <f ca="1">INDIRECT("'数据-取费表'!k"&amp;$G$1)</f>
        <v>296.95999999999998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1.81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3.89</v>
      </c>
      <c r="D33" s="1828" t="s">
        <v>3114</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0.3</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26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521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31.84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17544</v>
      </c>
      <c r="D43" s="383" t="s">
        <v>1482</v>
      </c>
      <c r="E43" s="384" t="s">
        <v>1483</v>
      </c>
      <c r="F43" s="385">
        <f ca="1">INDIRECT("'数据-取费表'!k"&amp;$G$1)</f>
        <v>296.95999999999998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-714</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3115</v>
      </c>
      <c r="K47" s="1882" t="s">
        <v>1521</v>
      </c>
      <c r="L47" s="1883">
        <f ca="1">INDIRECT("'数据-取费表'!d"&amp;$G$1)</f>
        <v>40</v>
      </c>
      <c r="M47" s="1838" t="str">
        <f>IF(ISNUMBER(FIND("住宅",C1)),"住宅","非住宅")</f>
        <v>非住宅</v>
      </c>
      <c r="O47" s="1884" t="s">
        <v>1036</v>
      </c>
      <c r="P47" s="1885" t="s">
        <v>1522</v>
      </c>
      <c r="Q47" s="1886">
        <f ca="1">C40+J29</f>
        <v>521</v>
      </c>
      <c r="R47" s="1886" t="s">
        <v>1523</v>
      </c>
    </row>
    <row r="48" spans="1:18" s="1842" customFormat="1" ht="28.5" thickBot="1">
      <c r="A48" s="1360" t="s">
        <v>1131</v>
      </c>
      <c r="B48" s="345" t="s">
        <v>1395</v>
      </c>
      <c r="C48" s="1817">
        <f ca="1">C49+C53+C55</f>
        <v>0</v>
      </c>
      <c r="D48" s="1362"/>
      <c r="E48" s="1363"/>
      <c r="F48" s="1181"/>
      <c r="G48" s="792"/>
      <c r="H48" s="793"/>
      <c r="I48" s="1887" t="s">
        <v>1524</v>
      </c>
      <c r="J48" s="1888" t="s">
        <v>3116</v>
      </c>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v>2012</v>
      </c>
      <c r="K49" s="1889" t="s">
        <v>1529</v>
      </c>
      <c r="L49" s="1893"/>
      <c r="O49" s="1894" t="s">
        <v>1038</v>
      </c>
      <c r="P49" s="1885" t="s">
        <v>1530</v>
      </c>
      <c r="Q49" s="1886">
        <f ca="1">C29</f>
        <v>131</v>
      </c>
      <c r="R49" s="1886" t="s">
        <v>1523</v>
      </c>
    </row>
    <row r="50" spans="1:18" s="1842" customFormat="1" ht="13.5" thickBot="1">
      <c r="A50" s="1195"/>
      <c r="B50" s="1198"/>
      <c r="C50" s="1368"/>
      <c r="D50" s="1172"/>
      <c r="E50" s="1277" t="s">
        <v>1400</v>
      </c>
      <c r="F50" s="1278">
        <f ca="1">F7</f>
        <v>296.95999999999998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257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31.84</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31.84</v>
      </c>
      <c r="K53" s="3204" t="s">
        <v>1542</v>
      </c>
      <c r="L53" s="3205"/>
      <c r="O53" s="1884" t="s">
        <v>1042</v>
      </c>
      <c r="P53" s="1885" t="s">
        <v>1543</v>
      </c>
      <c r="Q53" s="1886">
        <f ca="1">Q47+Q48</f>
        <v>521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114</v>
      </c>
      <c r="D56" s="1913"/>
      <c r="E56" s="1914"/>
      <c r="F56" s="1906"/>
      <c r="I56" s="1915" t="s">
        <v>1548</v>
      </c>
      <c r="J56" s="1916" t="s">
        <v>3109</v>
      </c>
      <c r="K56" s="1887" t="s">
        <v>1549</v>
      </c>
      <c r="L56" s="1890" t="str">
        <f ca="1">IF(L48&lt;J51,"——",L48-J53)</f>
        <v>——</v>
      </c>
      <c r="O56" s="1884" t="s">
        <v>1036</v>
      </c>
      <c r="P56" s="1885" t="s">
        <v>1522</v>
      </c>
      <c r="Q56" s="1886">
        <f ca="1">C40+J29</f>
        <v>521</v>
      </c>
      <c r="R56" s="1886" t="s">
        <v>1523</v>
      </c>
    </row>
    <row r="57" spans="1:18" s="1842" customFormat="1" ht="24.75" thickBot="1">
      <c r="A57" s="1917"/>
      <c r="B57" s="1169" t="s">
        <v>1472</v>
      </c>
      <c r="C57" s="282">
        <f ca="1">C29</f>
        <v>131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521</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0.2</v>
      </c>
      <c r="D65" s="1183" t="s">
        <v>1448</v>
      </c>
      <c r="E65" s="1169" t="s">
        <v>1449</v>
      </c>
      <c r="F65" s="376">
        <f t="shared" ca="1" si="0"/>
        <v>1.5E-3</v>
      </c>
      <c r="I65" s="1928" t="s">
        <v>1573</v>
      </c>
      <c r="J65" s="1929">
        <v>40</v>
      </c>
      <c r="K65" s="1929">
        <v>30</v>
      </c>
      <c r="L65" s="1929">
        <v>50</v>
      </c>
      <c r="M65" s="1931">
        <v>0.02</v>
      </c>
      <c r="O65" s="1884" t="s">
        <v>1036</v>
      </c>
      <c r="P65" s="1885" t="s">
        <v>1574</v>
      </c>
      <c r="Q65" s="1886">
        <f ca="1">C40+J29</f>
        <v>521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-13</v>
      </c>
      <c r="D67" s="1182" t="s">
        <v>1458</v>
      </c>
      <c r="E67" s="1187"/>
      <c r="F67" s="1188"/>
      <c r="O67" s="1894" t="s">
        <v>1038</v>
      </c>
      <c r="P67" s="1885" t="s">
        <v>1556</v>
      </c>
      <c r="Q67" s="1932">
        <f ca="1">L51</f>
        <v>257</v>
      </c>
      <c r="R67" s="1886" t="s">
        <v>1576</v>
      </c>
    </row>
    <row r="68" spans="1:18" s="1842" customFormat="1" ht="16.5" thickBot="1">
      <c r="A68" s="1166" t="s">
        <v>1028</v>
      </c>
      <c r="B68" s="1167" t="s">
        <v>1479</v>
      </c>
      <c r="C68" s="346">
        <f ca="1">ROUND(C67*(1-((1+F70)/(1+F68))^F69)/(F68-F70),0)</f>
        <v>-193</v>
      </c>
      <c r="D68" s="1184" t="s">
        <v>1463</v>
      </c>
      <c r="E68" s="1169" t="s">
        <v>1464</v>
      </c>
      <c r="F68" s="357">
        <f ca="1">F40</f>
        <v>5.5E-2</v>
      </c>
      <c r="O68" s="1894" t="s">
        <v>1039</v>
      </c>
      <c r="P68" s="1933" t="s">
        <v>1577</v>
      </c>
      <c r="Q68" s="1886">
        <f ca="1">ROUND(Q69-Q70*Q71,0)</f>
        <v>16</v>
      </c>
      <c r="R68" s="1886" t="s">
        <v>1047</v>
      </c>
    </row>
    <row r="69" spans="1:18" s="1842" customFormat="1" ht="13.5" thickBot="1">
      <c r="A69" s="1170"/>
      <c r="B69" s="1171"/>
      <c r="C69" s="351"/>
      <c r="D69" s="1189" t="s">
        <v>1467</v>
      </c>
      <c r="E69" s="1169" t="s">
        <v>1468</v>
      </c>
      <c r="F69" s="379">
        <f ca="1">F41</f>
        <v>31.84</v>
      </c>
      <c r="O69" s="1894" t="s">
        <v>1044</v>
      </c>
      <c r="P69" s="1933" t="s">
        <v>1578</v>
      </c>
      <c r="Q69" s="1886">
        <f ca="1">C39</f>
        <v>26</v>
      </c>
      <c r="R69" s="1886" t="s">
        <v>1523</v>
      </c>
    </row>
    <row r="70" spans="1:18" s="1842" customFormat="1" ht="13.5" thickBot="1">
      <c r="A70" s="1173"/>
      <c r="B70" s="1174"/>
      <c r="C70" s="355"/>
      <c r="D70" s="1185"/>
      <c r="E70" s="1169" t="s">
        <v>1471</v>
      </c>
      <c r="F70" s="1275"/>
      <c r="O70" s="1894" t="s">
        <v>1045</v>
      </c>
      <c r="P70" s="1933" t="s">
        <v>1579</v>
      </c>
      <c r="Q70" s="1886">
        <f ca="1">C13</f>
        <v>114</v>
      </c>
      <c r="R70" s="1886" t="s">
        <v>1523</v>
      </c>
    </row>
    <row r="71" spans="1:18" s="1842" customFormat="1" ht="13.5" thickBot="1">
      <c r="A71" s="1190" t="s">
        <v>1029</v>
      </c>
      <c r="B71" s="1191" t="s">
        <v>1481</v>
      </c>
      <c r="C71" s="382">
        <f ca="1">ROUND(C68*10000/F71,0)</f>
        <v>-6499</v>
      </c>
      <c r="D71" s="1192" t="s">
        <v>1482</v>
      </c>
      <c r="E71" s="1193" t="s">
        <v>1483</v>
      </c>
      <c r="F71" s="385">
        <f ca="1">F43</f>
        <v>296.95999999999998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10</v>
      </c>
      <c r="D75" s="1842"/>
      <c r="E75" s="1842"/>
      <c r="F75" s="1842"/>
      <c r="K75" s="1868"/>
      <c r="L75" s="1842"/>
      <c r="O75" s="1884" t="s">
        <v>1042</v>
      </c>
      <c r="P75" s="1885" t="s">
        <v>1543</v>
      </c>
      <c r="Q75" s="1886">
        <f ca="1">Q65+Q66</f>
        <v>521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0.61499999999999999</v>
      </c>
    </row>
    <row r="80" spans="1:18">
      <c r="B80" s="386" t="s">
        <v>1505</v>
      </c>
      <c r="C80" s="318">
        <f ca="1">ROUND(C75/C39,3)</f>
        <v>0.38500000000000001</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6" t="s">
        <v>1397</v>
      </c>
      <c r="C6" s="1296">
        <f ca="1">ROUND(F6*F8*F7*(1-F9),0)</f>
        <v>0</v>
      </c>
      <c r="D6" s="164" t="s">
        <v>3028</v>
      </c>
      <c r="E6" s="347" t="s">
        <v>1399</v>
      </c>
      <c r="F6" s="348">
        <f ca="1">INDIRECT("'数据-取费表'!u"&amp;$G$1)</f>
        <v>0</v>
      </c>
      <c r="G6" s="1851"/>
      <c r="H6" s="1291" t="s">
        <v>1031</v>
      </c>
      <c r="I6" s="3206" t="s">
        <v>1397</v>
      </c>
      <c r="J6" s="346">
        <f ca="1">ROUND(M6*M8*M7*(1-M9),0)</f>
        <v>0</v>
      </c>
      <c r="K6" s="1834" t="s">
        <v>3029</v>
      </c>
      <c r="L6" s="347" t="s">
        <v>1399</v>
      </c>
      <c r="M6" s="348">
        <f ca="1">INDIRECT("'数据-取费表'!z"&amp;$G$1)</f>
        <v>0</v>
      </c>
    </row>
    <row r="7" spans="1:37" ht="18" customHeight="1">
      <c r="A7" s="1295"/>
      <c r="B7" s="3207"/>
      <c r="C7" s="1297"/>
      <c r="D7" s="352"/>
      <c r="E7" s="1298" t="s">
        <v>1400</v>
      </c>
      <c r="F7" s="348">
        <f ca="1">IF(INDIRECT("'数据-取费表'!ah"&amp;$G$1)="",INDIRECT("'数据-取费表'!k"&amp;$G$1),INDIRECT("'数据-取费表'!ah"&amp;$G$1))</f>
        <v>0</v>
      </c>
      <c r="G7" s="1851"/>
      <c r="H7" s="349"/>
      <c r="I7" s="3207"/>
      <c r="J7" s="351"/>
      <c r="K7" s="352"/>
      <c r="L7" s="347" t="s">
        <v>1400</v>
      </c>
      <c r="M7" s="348">
        <f ca="1">F7</f>
        <v>0</v>
      </c>
    </row>
    <row r="8" spans="1:37" ht="18" customHeight="1">
      <c r="A8" s="349"/>
      <c r="B8" s="3207"/>
      <c r="C8" s="351"/>
      <c r="D8" s="352"/>
      <c r="E8" s="347" t="s">
        <v>1401</v>
      </c>
      <c r="F8" s="348">
        <f ca="1">INDIRECT("'数据-取费表'!ai"&amp;$G$1)</f>
        <v>0</v>
      </c>
      <c r="G8" s="1851"/>
      <c r="H8" s="349"/>
      <c r="I8" s="3207"/>
      <c r="J8" s="351"/>
      <c r="K8" s="352"/>
      <c r="L8" s="347" t="s">
        <v>1401</v>
      </c>
      <c r="M8" s="348">
        <f ca="1">INDIRECT("'数据-取费表'!ai"&amp;$G$1)</f>
        <v>0</v>
      </c>
    </row>
    <row r="9" spans="1:37" ht="18" customHeight="1">
      <c r="A9" s="349"/>
      <c r="B9" s="3208"/>
      <c r="C9" s="351"/>
      <c r="D9" s="352"/>
      <c r="E9" s="347" t="s">
        <v>1402</v>
      </c>
      <c r="F9" s="357">
        <f ca="1">INDIRECT("'数据-取费表'!w"&amp;$G$1)</f>
        <v>0</v>
      </c>
      <c r="G9" s="1851"/>
      <c r="H9" s="349"/>
      <c r="I9" s="320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1598</v>
      </c>
      <c r="E45" s="1866"/>
      <c r="F45" s="1866"/>
      <c r="O45" s="1869" t="s">
        <v>1513</v>
      </c>
      <c r="P45" s="1839"/>
      <c r="Q45" s="1839"/>
      <c r="R45" s="1839"/>
    </row>
    <row r="46" spans="1:18" s="1842" customFormat="1" ht="13.5" thickBot="1">
      <c r="A46" s="1870" t="s">
        <v>1514</v>
      </c>
      <c r="C46" s="1871">
        <f ca="1">ROUND(C45/10000,0)</f>
        <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40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52">
        <f ca="1">IF(M47="住宅",IF(D1="——",MAX(J51,L48),MAX(J51,L48-'数据-取费表'!B24)),IF(D1="——",MIN(J51,L48),MIN(J51,L48-'数据-取费表'!B24)))</f>
        <v>0</v>
      </c>
      <c r="K53" s="3204" t="s">
        <v>1542</v>
      </c>
      <c r="L53" s="3205"/>
      <c r="O53" s="1884" t="s">
        <v>1042</v>
      </c>
      <c r="P53" s="1885" t="s">
        <v>1543</v>
      </c>
      <c r="Q53" s="1886">
        <f ca="1">Q47+Q48</f>
        <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31.84</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5.5E-2</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521</v>
      </c>
      <c r="C2" s="2568" t="s">
        <v>2519</v>
      </c>
      <c r="D2" s="2569" t="s">
        <v>2520</v>
      </c>
      <c r="E2" s="2570">
        <f>SUM(E6:E13)</f>
        <v>296.95999999999998</v>
      </c>
    </row>
    <row r="3" spans="1:6" ht="15.75">
      <c r="A3" s="2566" t="s">
        <v>1389</v>
      </c>
      <c r="B3" s="2567">
        <f ca="1">ROUND(B2*10000/E2,0)</f>
        <v>17544</v>
      </c>
      <c r="C3" s="2568" t="s">
        <v>2527</v>
      </c>
      <c r="D3" s="2571"/>
      <c r="E3" s="2572"/>
    </row>
    <row r="4" spans="1:6" ht="15.75">
      <c r="A4" s="2573"/>
      <c r="B4" s="2571"/>
      <c r="C4" s="2571"/>
      <c r="D4" s="2571"/>
      <c r="E4" s="2572"/>
    </row>
    <row r="5" spans="1:6" ht="15">
      <c r="A5" s="2574" t="s">
        <v>2521</v>
      </c>
      <c r="B5" s="3209" t="s">
        <v>2522</v>
      </c>
      <c r="C5" s="3209"/>
      <c r="D5" s="2575"/>
      <c r="E5" s="2576" t="s">
        <v>2523</v>
      </c>
      <c r="F5" s="2577" t="s">
        <v>2524</v>
      </c>
    </row>
    <row r="6" spans="1:6">
      <c r="A6" s="2578" t="str">
        <f>'数据-取费表'!AN6</f>
        <v>收益法</v>
      </c>
      <c r="B6" s="2577">
        <f ca="1">IF(F6="是",'数据-取费表'!AO6,0)</f>
        <v>521</v>
      </c>
      <c r="C6" s="2568" t="s">
        <v>2519</v>
      </c>
      <c r="D6" s="2571"/>
      <c r="E6" s="2579">
        <f>IF(OR(A6=0,F6="否"),0,'数据-取费表'!K6+'数据-取费表'!S6)</f>
        <v>296.95999999999998</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1072</v>
      </c>
      <c r="B1" s="3227"/>
      <c r="C1" s="3228"/>
      <c r="D1" s="3229">
        <f>SUM(I10,I15,I20,I21,I23)</f>
        <v>0</v>
      </c>
      <c r="E1" s="3229"/>
      <c r="F1" s="3229"/>
      <c r="G1" s="3229"/>
      <c r="H1" s="3229"/>
      <c r="I1" s="3230"/>
    </row>
    <row r="2" spans="1:9">
      <c r="A2" s="3216" t="s">
        <v>1073</v>
      </c>
      <c r="B2" s="3217" t="s">
        <v>1074</v>
      </c>
      <c r="C2" s="3217"/>
      <c r="D2" s="1301" t="s">
        <v>1075</v>
      </c>
      <c r="E2" s="1301" t="s">
        <v>1076</v>
      </c>
      <c r="F2" s="1301" t="s">
        <v>1077</v>
      </c>
      <c r="G2" s="1301" t="s">
        <v>1078</v>
      </c>
      <c r="H2" s="1301" t="s">
        <v>1079</v>
      </c>
      <c r="I2" s="1302" t="s">
        <v>1080</v>
      </c>
    </row>
    <row r="3" spans="1:9">
      <c r="A3" s="3216"/>
      <c r="B3" s="3217" t="s">
        <v>1081</v>
      </c>
      <c r="C3" s="3217"/>
      <c r="D3" s="1303"/>
      <c r="E3" s="1301"/>
      <c r="F3" s="1304"/>
      <c r="G3" s="1304"/>
      <c r="H3" s="1305"/>
      <c r="I3" s="1306">
        <f>ROUND(D3*E3*F3*G3*H3/10000,0)</f>
        <v>0</v>
      </c>
    </row>
    <row r="4" spans="1:9">
      <c r="A4" s="3216"/>
      <c r="B4" s="3217" t="s">
        <v>1082</v>
      </c>
      <c r="C4" s="3217"/>
      <c r="D4" s="1303"/>
      <c r="E4" s="1301"/>
      <c r="F4" s="1304"/>
      <c r="G4" s="1304"/>
      <c r="H4" s="1305"/>
      <c r="I4" s="1306">
        <f t="shared" ref="I4:I9" si="0">ROUND(D4*E4*F4*G4*H4/10000,0)</f>
        <v>0</v>
      </c>
    </row>
    <row r="5" spans="1:9">
      <c r="A5" s="3216"/>
      <c r="B5" s="3217" t="s">
        <v>1083</v>
      </c>
      <c r="C5" s="3217"/>
      <c r="D5" s="1303"/>
      <c r="E5" s="1301"/>
      <c r="F5" s="1304"/>
      <c r="G5" s="1304"/>
      <c r="H5" s="1305"/>
      <c r="I5" s="1306">
        <f t="shared" si="0"/>
        <v>0</v>
      </c>
    </row>
    <row r="6" spans="1:9">
      <c r="A6" s="3216"/>
      <c r="B6" s="3217" t="s">
        <v>1084</v>
      </c>
      <c r="C6" s="3217"/>
      <c r="D6" s="1303"/>
      <c r="E6" s="1301"/>
      <c r="F6" s="1304"/>
      <c r="G6" s="1304"/>
      <c r="H6" s="1305"/>
      <c r="I6" s="1306">
        <f t="shared" si="0"/>
        <v>0</v>
      </c>
    </row>
    <row r="7" spans="1:9">
      <c r="A7" s="3216"/>
      <c r="B7" s="3217" t="s">
        <v>1085</v>
      </c>
      <c r="C7" s="3217"/>
      <c r="D7" s="1303"/>
      <c r="E7" s="1301"/>
      <c r="F7" s="1304"/>
      <c r="G7" s="1304"/>
      <c r="H7" s="1305"/>
      <c r="I7" s="1306">
        <f t="shared" si="0"/>
        <v>0</v>
      </c>
    </row>
    <row r="8" spans="1:9">
      <c r="A8" s="3216"/>
      <c r="B8" s="3217" t="s">
        <v>1086</v>
      </c>
      <c r="C8" s="3217"/>
      <c r="D8" s="1303"/>
      <c r="E8" s="1301"/>
      <c r="F8" s="1304"/>
      <c r="G8" s="1304"/>
      <c r="H8" s="1305"/>
      <c r="I8" s="1306">
        <f t="shared" si="0"/>
        <v>0</v>
      </c>
    </row>
    <row r="9" spans="1:9">
      <c r="A9" s="3216"/>
      <c r="B9" s="3217" t="s">
        <v>1087</v>
      </c>
      <c r="C9" s="3217"/>
      <c r="D9" s="1303"/>
      <c r="E9" s="1301"/>
      <c r="F9" s="1304"/>
      <c r="G9" s="1304"/>
      <c r="H9" s="1305"/>
      <c r="I9" s="1306">
        <f t="shared" si="0"/>
        <v>0</v>
      </c>
    </row>
    <row r="10" spans="1:9">
      <c r="A10" s="3216"/>
      <c r="B10" s="3218" t="s">
        <v>1088</v>
      </c>
      <c r="C10" s="3218"/>
      <c r="D10" s="1307"/>
      <c r="E10" s="1307" t="e">
        <f>ROUND(D1*10000/D10/H9,0)</f>
        <v>#DIV/0!</v>
      </c>
      <c r="F10" s="1308"/>
      <c r="G10" s="1308"/>
      <c r="H10" s="1309"/>
      <c r="I10" s="1310">
        <f>SUM(I3:I9)</f>
        <v>0</v>
      </c>
    </row>
    <row r="11" spans="1:9" ht="14.25">
      <c r="A11" s="3216" t="s">
        <v>1089</v>
      </c>
      <c r="B11" s="3217" t="s">
        <v>1090</v>
      </c>
      <c r="C11" s="3217"/>
      <c r="D11" s="1303" t="s">
        <v>1091</v>
      </c>
      <c r="E11" s="1303" t="s">
        <v>1092</v>
      </c>
      <c r="F11" s="1304" t="s">
        <v>1093</v>
      </c>
      <c r="G11" s="1304" t="s">
        <v>1079</v>
      </c>
      <c r="H11" s="1311" t="s">
        <v>1094</v>
      </c>
      <c r="I11" s="1302" t="s">
        <v>1080</v>
      </c>
    </row>
    <row r="12" spans="1:9">
      <c r="A12" s="3216"/>
      <c r="B12" s="3217" t="s">
        <v>1095</v>
      </c>
      <c r="C12" s="3217"/>
      <c r="D12" s="1303"/>
      <c r="E12" s="1303"/>
      <c r="F12" s="1304"/>
      <c r="G12" s="1305"/>
      <c r="H12" s="1312"/>
      <c r="I12" s="1302">
        <f>ROUND(D12*E12*F12*G12/10000,0)</f>
        <v>0</v>
      </c>
    </row>
    <row r="13" spans="1:9">
      <c r="A13" s="3216"/>
      <c r="B13" s="3217" t="s">
        <v>1096</v>
      </c>
      <c r="C13" s="3217"/>
      <c r="D13" s="1303"/>
      <c r="E13" s="1303"/>
      <c r="F13" s="1304"/>
      <c r="G13" s="1305"/>
      <c r="H13" s="1312"/>
      <c r="I13" s="1302">
        <f>ROUND(D13*E13*F13*G13/10000,0)</f>
        <v>0</v>
      </c>
    </row>
    <row r="14" spans="1:9">
      <c r="A14" s="3216"/>
      <c r="B14" s="3217" t="s">
        <v>1097</v>
      </c>
      <c r="C14" s="3217"/>
      <c r="D14" s="1303"/>
      <c r="E14" s="1303"/>
      <c r="F14" s="1304"/>
      <c r="G14" s="1305"/>
      <c r="H14" s="1312"/>
      <c r="I14" s="1302">
        <f>ROUND(D14*E14*F14*G14/10000,0)</f>
        <v>0</v>
      </c>
    </row>
    <row r="15" spans="1:9">
      <c r="A15" s="3216"/>
      <c r="B15" s="3218" t="s">
        <v>1088</v>
      </c>
      <c r="C15" s="3218"/>
      <c r="D15" s="1307"/>
      <c r="E15" s="1307">
        <f>SUM(E12:E14)</f>
        <v>0</v>
      </c>
      <c r="F15" s="1308"/>
      <c r="G15" s="1305"/>
      <c r="H15" s="1312"/>
      <c r="I15" s="1313">
        <f>SUM(I12:I14)</f>
        <v>0</v>
      </c>
    </row>
    <row r="16" spans="1:9" ht="24">
      <c r="A16" s="3216" t="s">
        <v>1098</v>
      </c>
      <c r="B16" s="3217" t="s">
        <v>1099</v>
      </c>
      <c r="C16" s="3217"/>
      <c r="D16" s="1303" t="s">
        <v>1075</v>
      </c>
      <c r="E16" s="1314" t="s">
        <v>1100</v>
      </c>
      <c r="F16" s="1304" t="s">
        <v>1101</v>
      </c>
      <c r="G16" s="1305" t="s">
        <v>1079</v>
      </c>
      <c r="H16" s="1311" t="s">
        <v>1094</v>
      </c>
      <c r="I16" s="1302" t="s">
        <v>1080</v>
      </c>
    </row>
    <row r="17" spans="1:9" ht="14.25">
      <c r="A17" s="3216"/>
      <c r="B17" s="3217" t="s">
        <v>1102</v>
      </c>
      <c r="C17" s="3217"/>
      <c r="D17" s="1303"/>
      <c r="E17" s="1303"/>
      <c r="F17" s="1304"/>
      <c r="G17" s="1305"/>
      <c r="H17" s="1315"/>
      <c r="I17" s="1316">
        <f>ROUND(D17*E17*F17*G17/10000,0)</f>
        <v>0</v>
      </c>
    </row>
    <row r="18" spans="1:9" ht="14.25">
      <c r="A18" s="3216"/>
      <c r="B18" s="3217" t="s">
        <v>1103</v>
      </c>
      <c r="C18" s="3217"/>
      <c r="D18" s="1303"/>
      <c r="E18" s="1303"/>
      <c r="F18" s="1304"/>
      <c r="G18" s="1305"/>
      <c r="H18" s="1315"/>
      <c r="I18" s="1316">
        <f>ROUND(D18*E18*F18*G18/10000,0)</f>
        <v>0</v>
      </c>
    </row>
    <row r="19" spans="1:9" ht="14.25">
      <c r="A19" s="3216"/>
      <c r="B19" s="3217" t="s">
        <v>1104</v>
      </c>
      <c r="C19" s="3217"/>
      <c r="D19" s="1303"/>
      <c r="E19" s="1303"/>
      <c r="F19" s="1304"/>
      <c r="G19" s="1305"/>
      <c r="H19" s="1315"/>
      <c r="I19" s="1316">
        <f>ROUND(D19*E19*F19*G19/10000,0)</f>
        <v>0</v>
      </c>
    </row>
    <row r="20" spans="1:9">
      <c r="A20" s="3216"/>
      <c r="B20" s="3218" t="s">
        <v>1088</v>
      </c>
      <c r="C20" s="3218"/>
      <c r="D20" s="1307">
        <f>SUM(D17:D19)</f>
        <v>0</v>
      </c>
      <c r="E20" s="1307"/>
      <c r="F20" s="1308"/>
      <c r="G20" s="1305"/>
      <c r="H20" s="1312"/>
      <c r="I20" s="1313">
        <f>SUM(I17:I19)</f>
        <v>0</v>
      </c>
    </row>
    <row r="21" spans="1:9">
      <c r="A21" s="3216" t="s">
        <v>1105</v>
      </c>
      <c r="B21" s="3219"/>
      <c r="C21" s="3219"/>
      <c r="D21" s="3219"/>
      <c r="E21" s="3219"/>
      <c r="F21" s="3219"/>
      <c r="G21" s="3219"/>
      <c r="H21" s="1765">
        <v>0.1</v>
      </c>
      <c r="I21" s="1310">
        <f>ROUND(I10*H21,0)</f>
        <v>0</v>
      </c>
    </row>
    <row r="22" spans="1:9" ht="14.25">
      <c r="A22" s="3220" t="s">
        <v>1106</v>
      </c>
      <c r="B22" s="3221"/>
      <c r="C22" s="3222"/>
      <c r="D22" s="1317" t="s">
        <v>1107</v>
      </c>
      <c r="E22" s="1317" t="s">
        <v>1108</v>
      </c>
      <c r="F22" s="1318" t="s">
        <v>1109</v>
      </c>
      <c r="G22" s="1318" t="s">
        <v>1110</v>
      </c>
      <c r="H22" s="1311" t="s">
        <v>1111</v>
      </c>
      <c r="I22" s="1302" t="s">
        <v>1112</v>
      </c>
    </row>
    <row r="23" spans="1:9" ht="14.25" thickBot="1">
      <c r="A23" s="3223"/>
      <c r="B23" s="3224"/>
      <c r="C23" s="3225"/>
      <c r="D23" s="1319"/>
      <c r="E23" s="1319"/>
      <c r="F23" s="1319"/>
      <c r="G23" s="1320"/>
      <c r="H23" s="1321"/>
      <c r="I23" s="1322">
        <f>ROUND(E23*D23*F23*(1-G23)/10000,0)</f>
        <v>0</v>
      </c>
    </row>
    <row r="26" spans="1:9">
      <c r="A26" s="1323" t="s">
        <v>1113</v>
      </c>
      <c r="B26" s="1323"/>
      <c r="C26" s="1323"/>
      <c r="D26" s="1323"/>
      <c r="E26" s="3213">
        <f>C27-C30-C31-C32</f>
        <v>0</v>
      </c>
      <c r="F26" s="3213"/>
      <c r="G26" s="3213"/>
      <c r="H26" s="1737" t="s">
        <v>1335</v>
      </c>
    </row>
    <row r="27" spans="1:9">
      <c r="A27" s="1324">
        <v>1</v>
      </c>
      <c r="B27" s="1325" t="s">
        <v>1114</v>
      </c>
      <c r="C27" s="1325">
        <f>C28+C29</f>
        <v>0</v>
      </c>
      <c r="D27" s="1325"/>
      <c r="E27" s="3214"/>
      <c r="F27" s="3214"/>
      <c r="G27" s="3214"/>
    </row>
    <row r="28" spans="1:9">
      <c r="A28" s="1326" t="s">
        <v>1115</v>
      </c>
      <c r="B28" s="1325" t="s">
        <v>1116</v>
      </c>
      <c r="C28" s="1325"/>
      <c r="D28" s="1325"/>
      <c r="E28" s="3214"/>
      <c r="F28" s="3214"/>
      <c r="G28" s="321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5"/>
      <c r="F32" s="3215"/>
      <c r="G32" s="3215"/>
    </row>
    <row r="33" spans="1:7" hidden="1">
      <c r="A33" s="3210" t="s">
        <v>1125</v>
      </c>
      <c r="B33" s="3211"/>
      <c r="C33" s="3211"/>
      <c r="D33" s="3212"/>
      <c r="E33" s="3213"/>
      <c r="F33" s="3213"/>
      <c r="G33" s="3213"/>
    </row>
    <row r="34" spans="1:7" hidden="1">
      <c r="A34" s="1328">
        <v>1</v>
      </c>
      <c r="B34" s="1325" t="s">
        <v>1126</v>
      </c>
      <c r="C34" s="1325"/>
      <c r="D34" s="1325"/>
      <c r="E34" s="3214"/>
      <c r="F34" s="3214"/>
      <c r="G34" s="3214"/>
    </row>
    <row r="35" spans="1:7" hidden="1">
      <c r="A35" s="1328">
        <v>2</v>
      </c>
      <c r="B35" s="1325" t="s">
        <v>1127</v>
      </c>
      <c r="C35" s="1325"/>
      <c r="D35" s="1325"/>
      <c r="E35" s="3214"/>
      <c r="F35" s="3214"/>
      <c r="G35" s="3214"/>
    </row>
    <row r="36" spans="1:7" hidden="1">
      <c r="A36" s="1328">
        <v>3</v>
      </c>
      <c r="B36" s="1325" t="s">
        <v>1128</v>
      </c>
      <c r="C36" s="1325"/>
      <c r="D36" s="1325"/>
      <c r="E36" s="3214"/>
      <c r="F36" s="3214"/>
      <c r="G36" s="3214"/>
    </row>
    <row r="37" spans="1:7" hidden="1">
      <c r="A37" s="1328">
        <v>4</v>
      </c>
      <c r="B37" s="1325" t="s">
        <v>1129</v>
      </c>
      <c r="C37" s="1325"/>
      <c r="D37" s="1325"/>
      <c r="E37" s="3214"/>
      <c r="F37" s="3214"/>
      <c r="G37" s="3214"/>
    </row>
    <row r="38" spans="1:7" hidden="1">
      <c r="A38" s="3210" t="s">
        <v>1130</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2534</v>
      </c>
      <c r="D3" s="399">
        <f>IF(D1="",'数据-汇总表'!E3,SUMIF('数据-汇总表'!$C19:$C33,D1,'数据-汇总表'!$E19:$E33))</f>
        <v>708.8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249" t="s">
        <v>2536</v>
      </c>
      <c r="D4" s="3250"/>
      <c r="E4" s="3251" t="s">
        <v>2537</v>
      </c>
      <c r="F4" s="3252"/>
      <c r="G4" s="3249" t="s">
        <v>2538</v>
      </c>
      <c r="H4" s="3250"/>
      <c r="I4" s="3249" t="s">
        <v>2539</v>
      </c>
      <c r="J4" s="3250"/>
      <c r="K4" s="2598" t="s">
        <v>2540</v>
      </c>
      <c r="L4" s="1130"/>
      <c r="M4" s="1131"/>
      <c r="N4" s="1131"/>
      <c r="O4" s="1131"/>
      <c r="P4" s="3253" t="s">
        <v>2541</v>
      </c>
      <c r="Q4" s="3254"/>
      <c r="R4" s="3259" t="s">
        <v>2537</v>
      </c>
      <c r="S4" s="3260"/>
      <c r="T4" s="3259" t="s">
        <v>2538</v>
      </c>
      <c r="U4" s="3260"/>
      <c r="V4" s="3265" t="s">
        <v>2539</v>
      </c>
      <c r="W4" s="3265"/>
      <c r="X4" s="1813"/>
      <c r="Y4" s="3259" t="s">
        <v>2541</v>
      </c>
      <c r="Z4" s="3260"/>
      <c r="AA4" s="3246" t="s">
        <v>2537</v>
      </c>
      <c r="AB4" s="3246" t="s">
        <v>2538</v>
      </c>
      <c r="AC4" s="3246" t="s">
        <v>2539</v>
      </c>
    </row>
    <row r="5" spans="1:29" ht="15">
      <c r="A5" s="404"/>
      <c r="B5" s="405"/>
      <c r="C5" s="3268" t="s">
        <v>2542</v>
      </c>
      <c r="D5" s="3269"/>
      <c r="E5" s="3275" t="s">
        <v>2543</v>
      </c>
      <c r="F5" s="3276"/>
      <c r="G5" s="3268" t="s">
        <v>2544</v>
      </c>
      <c r="H5" s="3269"/>
      <c r="I5" s="3268" t="s">
        <v>2545</v>
      </c>
      <c r="J5" s="3269"/>
      <c r="K5" s="2599"/>
      <c r="L5" s="1130"/>
      <c r="M5" s="1131"/>
      <c r="N5" s="1131"/>
      <c r="O5" s="1131"/>
      <c r="P5" s="3255"/>
      <c r="Q5" s="3256"/>
      <c r="R5" s="3261"/>
      <c r="S5" s="3262"/>
      <c r="T5" s="3261"/>
      <c r="U5" s="3262"/>
      <c r="V5" s="3265"/>
      <c r="W5" s="3265"/>
      <c r="X5" s="1813"/>
      <c r="Y5" s="3261"/>
      <c r="Z5" s="3262"/>
      <c r="AA5" s="3247"/>
      <c r="AB5" s="3247"/>
      <c r="AC5" s="3247"/>
    </row>
    <row r="6" spans="1:29" ht="15.75" thickBot="1">
      <c r="A6" s="406"/>
      <c r="B6" s="407"/>
      <c r="C6" s="3266" t="s">
        <v>2546</v>
      </c>
      <c r="D6" s="3267"/>
      <c r="E6" s="3273" t="s">
        <v>2546</v>
      </c>
      <c r="F6" s="3274"/>
      <c r="G6" s="3266" t="s">
        <v>2546</v>
      </c>
      <c r="H6" s="3267"/>
      <c r="I6" s="3266" t="s">
        <v>2546</v>
      </c>
      <c r="J6" s="3267"/>
      <c r="K6" s="2599" t="s">
        <v>2547</v>
      </c>
      <c r="L6" s="1130"/>
      <c r="M6" s="1131"/>
      <c r="N6" s="1131"/>
      <c r="O6" s="1131"/>
      <c r="P6" s="3257"/>
      <c r="Q6" s="3258"/>
      <c r="R6" s="3261"/>
      <c r="S6" s="3262"/>
      <c r="T6" s="3263"/>
      <c r="U6" s="3264"/>
      <c r="V6" s="3265"/>
      <c r="W6" s="3265"/>
      <c r="X6" s="1813"/>
      <c r="Y6" s="3263"/>
      <c r="Z6" s="3264"/>
      <c r="AA6" s="3248"/>
      <c r="AB6" s="3248"/>
      <c r="AC6" s="3248"/>
    </row>
    <row r="7" spans="1:29" s="117" customFormat="1" ht="15.75" thickBot="1">
      <c r="A7" s="408" t="s">
        <v>2548</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70" t="s">
        <v>2549</v>
      </c>
      <c r="Q7" s="3272"/>
      <c r="R7" s="770" t="s">
        <v>23</v>
      </c>
      <c r="S7" s="771">
        <f t="shared" ref="S7:S15" si="0">F7</f>
        <v>0</v>
      </c>
      <c r="T7" s="770" t="s">
        <v>23</v>
      </c>
      <c r="U7" s="771">
        <f t="shared" ref="U7:U15" si="1">H7</f>
        <v>0</v>
      </c>
      <c r="V7" s="770" t="s">
        <v>23</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70" t="s">
        <v>2552</v>
      </c>
      <c r="Q8" s="3271"/>
      <c r="R8" s="770" t="s">
        <v>23</v>
      </c>
      <c r="S8" s="771">
        <f t="shared" si="0"/>
        <v>0</v>
      </c>
      <c r="T8" s="770" t="s">
        <v>23</v>
      </c>
      <c r="U8" s="771">
        <f t="shared" si="1"/>
        <v>0</v>
      </c>
      <c r="V8" s="770" t="s">
        <v>23</v>
      </c>
      <c r="W8" s="771">
        <f t="shared" si="2"/>
        <v>0</v>
      </c>
      <c r="X8" s="772"/>
      <c r="Y8" s="3270" t="s">
        <v>2552</v>
      </c>
      <c r="Z8" s="327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5"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5"/>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5"/>
      <c r="Q11" s="1795"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5"/>
      <c r="Q12" s="1795">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5"/>
      <c r="Q13" s="1795">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5"/>
      <c r="Q14" s="1795">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2559</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3" t="s">
        <v>2560</v>
      </c>
      <c r="Q15" s="1810" t="str">
        <f t="shared" si="6"/>
        <v>居住社区成熟度</v>
      </c>
      <c r="R15" s="774" t="s">
        <v>21</v>
      </c>
      <c r="S15" s="775">
        <f t="shared" si="0"/>
        <v>100</v>
      </c>
      <c r="T15" s="774" t="s">
        <v>21</v>
      </c>
      <c r="U15" s="775">
        <f t="shared" si="1"/>
        <v>100</v>
      </c>
      <c r="V15" s="774" t="s">
        <v>21</v>
      </c>
      <c r="W15" s="775">
        <f t="shared" si="2"/>
        <v>100</v>
      </c>
      <c r="X15" s="1813"/>
      <c r="Y15" s="3236"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4"/>
      <c r="Q16" s="1810"/>
      <c r="R16" s="774"/>
      <c r="S16" s="775"/>
      <c r="T16" s="774"/>
      <c r="U16" s="775"/>
      <c r="V16" s="774"/>
      <c r="W16" s="775"/>
      <c r="X16" s="1813"/>
      <c r="Y16" s="3237"/>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4"/>
      <c r="Q17" s="1810" t="str">
        <f>B17</f>
        <v>交通便捷度</v>
      </c>
      <c r="R17" s="774" t="s">
        <v>21</v>
      </c>
      <c r="S17" s="775">
        <f>F17</f>
        <v>100</v>
      </c>
      <c r="T17" s="774" t="s">
        <v>21</v>
      </c>
      <c r="U17" s="775">
        <f>H17</f>
        <v>100</v>
      </c>
      <c r="V17" s="774" t="s">
        <v>21</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4"/>
      <c r="Q18" s="1810"/>
      <c r="R18" s="774"/>
      <c r="S18" s="775"/>
      <c r="T18" s="774"/>
      <c r="U18" s="775"/>
      <c r="V18" s="774"/>
      <c r="W18" s="775"/>
      <c r="X18" s="1813"/>
      <c r="Y18" s="3237"/>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4"/>
      <c r="Q19" s="1810" t="str">
        <f>B19</f>
        <v>公共配套设施</v>
      </c>
      <c r="R19" s="774" t="s">
        <v>21</v>
      </c>
      <c r="S19" s="775">
        <f>F19</f>
        <v>100</v>
      </c>
      <c r="T19" s="774" t="s">
        <v>21</v>
      </c>
      <c r="U19" s="775">
        <f>H19</f>
        <v>100</v>
      </c>
      <c r="V19" s="774" t="s">
        <v>21</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4"/>
      <c r="Q20" s="1810"/>
      <c r="R20" s="774"/>
      <c r="S20" s="775"/>
      <c r="T20" s="774"/>
      <c r="U20" s="775"/>
      <c r="V20" s="774"/>
      <c r="W20" s="775"/>
      <c r="X20" s="1813"/>
      <c r="Y20" s="3237"/>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4"/>
      <c r="Q22" s="1810"/>
      <c r="R22" s="774"/>
      <c r="S22" s="775"/>
      <c r="T22" s="774"/>
      <c r="U22" s="775"/>
      <c r="V22" s="774"/>
      <c r="W22" s="775"/>
      <c r="X22" s="1813"/>
      <c r="Y22" s="3237"/>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4"/>
      <c r="Q23" s="1810" t="str">
        <f>B23</f>
        <v>自然及人文环境</v>
      </c>
      <c r="R23" s="774" t="s">
        <v>21</v>
      </c>
      <c r="S23" s="775">
        <f>F23</f>
        <v>100</v>
      </c>
      <c r="T23" s="774" t="s">
        <v>21</v>
      </c>
      <c r="U23" s="775">
        <f>H23</f>
        <v>100</v>
      </c>
      <c r="V23" s="774" t="s">
        <v>21</v>
      </c>
      <c r="W23" s="775">
        <f>J23</f>
        <v>100</v>
      </c>
      <c r="X23" s="1813"/>
      <c r="Y23" s="3237"/>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4"/>
      <c r="Q26" s="1810" t="str">
        <f t="shared" si="11"/>
        <v>朝向</v>
      </c>
      <c r="R26" s="774" t="s">
        <v>21</v>
      </c>
      <c r="S26" s="775">
        <f t="shared" si="12"/>
        <v>100</v>
      </c>
      <c r="T26" s="774" t="s">
        <v>21</v>
      </c>
      <c r="U26" s="775">
        <f t="shared" si="13"/>
        <v>100</v>
      </c>
      <c r="V26" s="774" t="s">
        <v>21</v>
      </c>
      <c r="W26" s="775">
        <f t="shared" si="14"/>
        <v>100</v>
      </c>
      <c r="X26" s="1813"/>
      <c r="Y26" s="323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4"/>
      <c r="Q27" s="1795">
        <f t="shared" si="11"/>
        <v>111</v>
      </c>
      <c r="R27" s="770" t="s">
        <v>21</v>
      </c>
      <c r="S27" s="771">
        <f t="shared" si="12"/>
        <v>100</v>
      </c>
      <c r="T27" s="770" t="s">
        <v>21</v>
      </c>
      <c r="U27" s="771">
        <f t="shared" si="13"/>
        <v>100</v>
      </c>
      <c r="V27" s="770" t="s">
        <v>21</v>
      </c>
      <c r="W27" s="771">
        <f t="shared" si="14"/>
        <v>100</v>
      </c>
      <c r="X27" s="772"/>
      <c r="Y27" s="323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4"/>
      <c r="Q28" s="1810">
        <f t="shared" si="11"/>
        <v>111</v>
      </c>
      <c r="R28" s="774" t="s">
        <v>21</v>
      </c>
      <c r="S28" s="775">
        <f t="shared" si="12"/>
        <v>100</v>
      </c>
      <c r="T28" s="774" t="s">
        <v>21</v>
      </c>
      <c r="U28" s="775">
        <f t="shared" si="13"/>
        <v>100</v>
      </c>
      <c r="V28" s="774" t="s">
        <v>21</v>
      </c>
      <c r="W28" s="775">
        <f t="shared" si="14"/>
        <v>100</v>
      </c>
      <c r="X28" s="1813"/>
      <c r="Y28" s="323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4"/>
      <c r="Q29" s="1810">
        <f t="shared" si="11"/>
        <v>111</v>
      </c>
      <c r="R29" s="774" t="s">
        <v>21</v>
      </c>
      <c r="S29" s="775">
        <f t="shared" si="12"/>
        <v>100</v>
      </c>
      <c r="T29" s="774" t="s">
        <v>21</v>
      </c>
      <c r="U29" s="775">
        <f t="shared" si="13"/>
        <v>100</v>
      </c>
      <c r="V29" s="774" t="s">
        <v>21</v>
      </c>
      <c r="W29" s="775">
        <f t="shared" si="14"/>
        <v>100</v>
      </c>
      <c r="X29" s="1813"/>
      <c r="Y29" s="323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4"/>
      <c r="Q30" s="1810">
        <f t="shared" si="11"/>
        <v>111</v>
      </c>
      <c r="R30" s="774" t="s">
        <v>21</v>
      </c>
      <c r="S30" s="775">
        <f t="shared" si="12"/>
        <v>100</v>
      </c>
      <c r="T30" s="774" t="s">
        <v>21</v>
      </c>
      <c r="U30" s="775">
        <f t="shared" si="13"/>
        <v>100</v>
      </c>
      <c r="V30" s="774" t="s">
        <v>21</v>
      </c>
      <c r="W30" s="775">
        <f t="shared" si="14"/>
        <v>100</v>
      </c>
      <c r="X30" s="1813"/>
      <c r="Y30" s="323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4"/>
      <c r="Q31" s="1810">
        <f t="shared" si="11"/>
        <v>111</v>
      </c>
      <c r="R31" s="774" t="s">
        <v>21</v>
      </c>
      <c r="S31" s="775">
        <f t="shared" si="12"/>
        <v>100</v>
      </c>
      <c r="T31" s="774" t="s">
        <v>21</v>
      </c>
      <c r="U31" s="775">
        <f t="shared" si="13"/>
        <v>100</v>
      </c>
      <c r="V31" s="774" t="s">
        <v>21</v>
      </c>
      <c r="W31" s="775">
        <f t="shared" si="14"/>
        <v>100</v>
      </c>
      <c r="X31" s="1813"/>
      <c r="Y31" s="3237"/>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8" t="s">
        <v>2565</v>
      </c>
      <c r="Q32" s="1810" t="str">
        <f t="shared" si="11"/>
        <v>建筑类型</v>
      </c>
      <c r="R32" s="774" t="s">
        <v>21</v>
      </c>
      <c r="S32" s="775">
        <f t="shared" si="12"/>
        <v>100</v>
      </c>
      <c r="T32" s="774" t="s">
        <v>21</v>
      </c>
      <c r="U32" s="775">
        <f t="shared" si="13"/>
        <v>100</v>
      </c>
      <c r="V32" s="774" t="s">
        <v>21</v>
      </c>
      <c r="W32" s="775">
        <f t="shared" si="14"/>
        <v>100</v>
      </c>
      <c r="X32" s="1813"/>
      <c r="Y32" s="3241"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9"/>
      <c r="Q34" s="1810" t="str">
        <f t="shared" si="11"/>
        <v>建筑结构</v>
      </c>
      <c r="R34" s="774" t="s">
        <v>21</v>
      </c>
      <c r="S34" s="775">
        <f t="shared" si="12"/>
        <v>100</v>
      </c>
      <c r="T34" s="774" t="s">
        <v>21</v>
      </c>
      <c r="U34" s="775">
        <f t="shared" si="13"/>
        <v>100</v>
      </c>
      <c r="V34" s="774" t="s">
        <v>21</v>
      </c>
      <c r="W34" s="775">
        <f t="shared" si="14"/>
        <v>100</v>
      </c>
      <c r="X34" s="1813"/>
      <c r="Y34" s="3241"/>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9"/>
      <c r="Q35" s="1810" t="str">
        <f t="shared" si="11"/>
        <v>建筑品质</v>
      </c>
      <c r="R35" s="774" t="s">
        <v>21</v>
      </c>
      <c r="S35" s="775">
        <f t="shared" si="12"/>
        <v>100</v>
      </c>
      <c r="T35" s="774" t="s">
        <v>21</v>
      </c>
      <c r="U35" s="775">
        <f t="shared" si="13"/>
        <v>100</v>
      </c>
      <c r="V35" s="774" t="s">
        <v>21</v>
      </c>
      <c r="W35" s="775">
        <f t="shared" si="14"/>
        <v>100</v>
      </c>
      <c r="X35" s="1813"/>
      <c r="Y35" s="3241"/>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9"/>
      <c r="Q36" s="1810" t="str">
        <f t="shared" si="11"/>
        <v>公共部分装修</v>
      </c>
      <c r="R36" s="774" t="s">
        <v>21</v>
      </c>
      <c r="S36" s="775">
        <f t="shared" si="12"/>
        <v>100</v>
      </c>
      <c r="T36" s="774" t="s">
        <v>21</v>
      </c>
      <c r="U36" s="775">
        <f t="shared" si="13"/>
        <v>100</v>
      </c>
      <c r="V36" s="774" t="s">
        <v>21</v>
      </c>
      <c r="W36" s="775">
        <f t="shared" si="14"/>
        <v>100</v>
      </c>
      <c r="X36" s="1813"/>
      <c r="Y36" s="3241"/>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5"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9" t="s">
        <v>2565</v>
      </c>
      <c r="Q38" s="1810" t="str">
        <f t="shared" si="11"/>
        <v>物业管理</v>
      </c>
      <c r="R38" s="774" t="s">
        <v>21</v>
      </c>
      <c r="S38" s="775">
        <f t="shared" si="12"/>
        <v>100</v>
      </c>
      <c r="T38" s="774" t="s">
        <v>21</v>
      </c>
      <c r="U38" s="775">
        <f t="shared" si="13"/>
        <v>100</v>
      </c>
      <c r="V38" s="774" t="s">
        <v>21</v>
      </c>
      <c r="W38" s="775">
        <f t="shared" si="14"/>
        <v>100</v>
      </c>
      <c r="X38" s="1813"/>
      <c r="Y38" s="3241"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9"/>
      <c r="Q39" s="1810" t="str">
        <f t="shared" si="11"/>
        <v>市政基础设施</v>
      </c>
      <c r="R39" s="774" t="s">
        <v>21</v>
      </c>
      <c r="S39" s="775">
        <f t="shared" si="12"/>
        <v>100</v>
      </c>
      <c r="T39" s="774" t="s">
        <v>21</v>
      </c>
      <c r="U39" s="775">
        <f t="shared" si="13"/>
        <v>100</v>
      </c>
      <c r="V39" s="774" t="s">
        <v>21</v>
      </c>
      <c r="W39" s="775">
        <f t="shared" si="14"/>
        <v>100</v>
      </c>
      <c r="X39" s="1813"/>
      <c r="Y39" s="3241"/>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9"/>
      <c r="Q40" s="1810" t="str">
        <f t="shared" si="11"/>
        <v>房型</v>
      </c>
      <c r="R40" s="774" t="s">
        <v>21</v>
      </c>
      <c r="S40" s="775">
        <f t="shared" si="12"/>
        <v>100</v>
      </c>
      <c r="T40" s="774" t="s">
        <v>21</v>
      </c>
      <c r="U40" s="775">
        <f t="shared" si="13"/>
        <v>100</v>
      </c>
      <c r="V40" s="774" t="s">
        <v>21</v>
      </c>
      <c r="W40" s="775">
        <f t="shared" si="14"/>
        <v>100</v>
      </c>
      <c r="X40" s="1813"/>
      <c r="Y40" s="3241"/>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9"/>
      <c r="Q42" s="1810" t="str">
        <f t="shared" si="11"/>
        <v>内部装修</v>
      </c>
      <c r="R42" s="774" t="s">
        <v>21</v>
      </c>
      <c r="S42" s="775">
        <f t="shared" si="12"/>
        <v>100</v>
      </c>
      <c r="T42" s="774" t="s">
        <v>21</v>
      </c>
      <c r="U42" s="775">
        <f t="shared" si="13"/>
        <v>100</v>
      </c>
      <c r="V42" s="774" t="s">
        <v>21</v>
      </c>
      <c r="W42" s="775">
        <f t="shared" si="14"/>
        <v>100</v>
      </c>
      <c r="X42" s="1813"/>
      <c r="Y42" s="3241"/>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9"/>
      <c r="Q43" s="1810" t="str">
        <f t="shared" si="11"/>
        <v>内部装修维护情况</v>
      </c>
      <c r="R43" s="774" t="s">
        <v>21</v>
      </c>
      <c r="S43" s="775">
        <f t="shared" si="12"/>
        <v>100</v>
      </c>
      <c r="T43" s="774" t="s">
        <v>21</v>
      </c>
      <c r="U43" s="775">
        <f t="shared" si="13"/>
        <v>100</v>
      </c>
      <c r="V43" s="774" t="s">
        <v>21</v>
      </c>
      <c r="W43" s="775">
        <f t="shared" si="14"/>
        <v>100</v>
      </c>
      <c r="X43" s="1813"/>
      <c r="Y43" s="324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9"/>
      <c r="Q44" s="1795">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9"/>
      <c r="Q45" s="1810">
        <f t="shared" si="11"/>
        <v>111</v>
      </c>
      <c r="R45" s="774" t="s">
        <v>21</v>
      </c>
      <c r="S45" s="775">
        <f t="shared" si="12"/>
        <v>100</v>
      </c>
      <c r="T45" s="774" t="s">
        <v>21</v>
      </c>
      <c r="U45" s="775">
        <f t="shared" si="13"/>
        <v>100</v>
      </c>
      <c r="V45" s="774" t="s">
        <v>21</v>
      </c>
      <c r="W45" s="775">
        <f t="shared" si="14"/>
        <v>100</v>
      </c>
      <c r="X45" s="1813"/>
      <c r="Y45" s="3241"/>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0"/>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5" zoomScale="90" zoomScaleNormal="90" workbookViewId="0">
      <selection activeCell="I29" sqref="I2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v>-201</v>
      </c>
      <c r="E1" s="2659"/>
      <c r="F1" s="2586" t="s">
        <v>3117</v>
      </c>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f>IF(C2="——",ROUND(C49*D3/10000,0),ROUND(C49*D3/10000,0)-D2)</f>
        <v>930</v>
      </c>
      <c r="C2" s="2588" t="s">
        <v>70</v>
      </c>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31333</v>
      </c>
      <c r="C3" s="400" t="s">
        <v>2644</v>
      </c>
      <c r="D3" s="399">
        <f>IF(D1="",'数据-汇总表'!E3,SUMIF('数据-汇总表'!$C19:$C33,D1,'数据-汇总表'!$E19:$E33))</f>
        <v>296.95999999999998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65" t="s">
        <v>2648</v>
      </c>
      <c r="AC4" s="3246" t="s">
        <v>2649</v>
      </c>
    </row>
    <row r="5" spans="1:29" ht="15">
      <c r="A5" s="404"/>
      <c r="B5" s="405"/>
      <c r="C5" s="3268" t="s">
        <v>2542</v>
      </c>
      <c r="D5" s="3269"/>
      <c r="E5" s="3277" t="s">
        <v>3112</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65"/>
      <c r="AC5" s="3247"/>
    </row>
    <row r="6" spans="1:29" ht="15.75" thickBot="1">
      <c r="A6" s="406"/>
      <c r="B6" s="407"/>
      <c r="C6" s="3266" t="s">
        <v>2546</v>
      </c>
      <c r="D6" s="3267"/>
      <c r="E6" s="3273" t="s">
        <v>2546</v>
      </c>
      <c r="F6" s="3274"/>
      <c r="G6" s="3266" t="s">
        <v>2546</v>
      </c>
      <c r="H6" s="3267"/>
      <c r="I6" s="3266" t="s">
        <v>2546</v>
      </c>
      <c r="J6" s="3267"/>
      <c r="K6" s="610" t="s">
        <v>2547</v>
      </c>
      <c r="L6" s="1130"/>
      <c r="M6" s="1131"/>
      <c r="N6" s="1131"/>
      <c r="O6" s="1131"/>
      <c r="P6" s="3257"/>
      <c r="Q6" s="3258"/>
      <c r="R6" s="3261"/>
      <c r="S6" s="3262"/>
      <c r="T6" s="3263"/>
      <c r="U6" s="3264"/>
      <c r="V6" s="3265"/>
      <c r="W6" s="3265"/>
      <c r="X6" s="1813"/>
      <c r="Y6" s="3263"/>
      <c r="Z6" s="3264"/>
      <c r="AA6" s="3248"/>
      <c r="AB6" s="3265"/>
      <c r="AC6" s="3248"/>
    </row>
    <row r="7" spans="1:29" s="117" customFormat="1" ht="15.75" thickBot="1">
      <c r="A7" s="408" t="s">
        <v>2548</v>
      </c>
      <c r="B7" s="409"/>
      <c r="C7" s="410">
        <f>'数据-取费表'!B2</f>
        <v>43914</v>
      </c>
      <c r="D7" s="411">
        <v>100</v>
      </c>
      <c r="E7" s="412">
        <f>C7</f>
        <v>43914</v>
      </c>
      <c r="F7" s="413">
        <f>SUMIF(58:58,YEAR(E7)&amp;"-"&amp;MONTH(E7),59:59)</f>
        <v>100</v>
      </c>
      <c r="G7" s="412">
        <f>E7</f>
        <v>43914</v>
      </c>
      <c r="H7" s="411">
        <f>SUMIF(58:58,YEAR(G7)&amp;"-"&amp;MONTH(G7),59:59)</f>
        <v>100</v>
      </c>
      <c r="I7" s="412">
        <f>G7</f>
        <v>43914</v>
      </c>
      <c r="J7" s="411">
        <f>SUMIF(58:58,YEAR(I7)&amp;"-"&amp;MONTH(I7),59:59)</f>
        <v>100</v>
      </c>
      <c r="K7" s="611"/>
      <c r="L7" s="1132"/>
      <c r="M7" s="1133"/>
      <c r="N7" s="1133"/>
      <c r="O7" s="1133"/>
      <c r="P7" s="3270" t="s">
        <v>2549</v>
      </c>
      <c r="Q7" s="3272"/>
      <c r="R7" s="770" t="s">
        <v>17</v>
      </c>
      <c r="S7" s="771">
        <f t="shared" ref="S7:S15" si="0">F7</f>
        <v>100</v>
      </c>
      <c r="T7" s="770" t="s">
        <v>17</v>
      </c>
      <c r="U7" s="771">
        <f t="shared" ref="U7:U15" si="1">H7</f>
        <v>100</v>
      </c>
      <c r="V7" s="770" t="s">
        <v>17</v>
      </c>
      <c r="W7" s="771">
        <f t="shared" ref="W7:W15" si="2">J7</f>
        <v>100</v>
      </c>
      <c r="X7" s="772"/>
      <c r="Y7" s="3270" t="s">
        <v>2549</v>
      </c>
      <c r="Z7" s="3271"/>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2"/>
      <c r="M8" s="1133"/>
      <c r="N8" s="1133"/>
      <c r="O8" s="1133"/>
      <c r="P8" s="3270" t="s">
        <v>2552</v>
      </c>
      <c r="Q8" s="3271"/>
      <c r="R8" s="770" t="s">
        <v>17</v>
      </c>
      <c r="S8" s="771">
        <f t="shared" si="0"/>
        <v>100</v>
      </c>
      <c r="T8" s="770" t="s">
        <v>17</v>
      </c>
      <c r="U8" s="771">
        <f t="shared" si="1"/>
        <v>100</v>
      </c>
      <c r="V8" s="770" t="s">
        <v>17</v>
      </c>
      <c r="W8" s="771">
        <f t="shared" si="2"/>
        <v>100</v>
      </c>
      <c r="X8" s="772"/>
      <c r="Y8" s="3270" t="s">
        <v>2552</v>
      </c>
      <c r="Z8" s="3271"/>
      <c r="AA8" s="773">
        <f t="shared" ref="AA8:AA46" si="3">D8/F8</f>
        <v>1</v>
      </c>
      <c r="AB8" s="773">
        <f t="shared" ref="AB8:AB46" si="4">D8/H8</f>
        <v>1</v>
      </c>
      <c r="AC8" s="773">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5"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5"/>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5"/>
      <c r="Q11" s="1795"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5"/>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3" t="s">
        <v>2560</v>
      </c>
      <c r="Q15" s="1810" t="str">
        <f t="shared" si="6"/>
        <v>商业繁华度</v>
      </c>
      <c r="R15" s="774" t="s">
        <v>17</v>
      </c>
      <c r="S15" s="775">
        <f t="shared" si="0"/>
        <v>100</v>
      </c>
      <c r="T15" s="774" t="s">
        <v>17</v>
      </c>
      <c r="U15" s="775">
        <f t="shared" si="1"/>
        <v>100</v>
      </c>
      <c r="V15" s="774" t="s">
        <v>17</v>
      </c>
      <c r="W15" s="775">
        <f t="shared" si="2"/>
        <v>100</v>
      </c>
      <c r="X15" s="1813"/>
      <c r="Y15" s="3236"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44"/>
      <c r="Q18" s="1810"/>
      <c r="R18" s="774"/>
      <c r="S18" s="775"/>
      <c r="T18" s="774"/>
      <c r="U18" s="775"/>
      <c r="V18" s="774"/>
      <c r="W18" s="775"/>
      <c r="X18" s="1813"/>
      <c r="Y18" s="3237"/>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44"/>
      <c r="Q20" s="1810"/>
      <c r="R20" s="774"/>
      <c r="S20" s="775"/>
      <c r="T20" s="774"/>
      <c r="U20" s="775"/>
      <c r="V20" s="774"/>
      <c r="W20" s="775"/>
      <c r="X20" s="1813"/>
      <c r="Y20" s="3237"/>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44"/>
      <c r="Q22" s="1810"/>
      <c r="R22" s="774"/>
      <c r="S22" s="775"/>
      <c r="T22" s="774"/>
      <c r="U22" s="775"/>
      <c r="V22" s="774"/>
      <c r="W22" s="775"/>
      <c r="X22" s="1813"/>
      <c r="Y22" s="3237"/>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4"/>
      <c r="Q23" s="1810" t="str">
        <f>B23</f>
        <v>自然及人文环境</v>
      </c>
      <c r="R23" s="774" t="s">
        <v>17</v>
      </c>
      <c r="S23" s="775">
        <f>F23</f>
        <v>100</v>
      </c>
      <c r="T23" s="774" t="s">
        <v>17</v>
      </c>
      <c r="U23" s="775">
        <f>H23</f>
        <v>100</v>
      </c>
      <c r="V23" s="774" t="s">
        <v>17</v>
      </c>
      <c r="W23" s="775">
        <f>J23</f>
        <v>100</v>
      </c>
      <c r="X23" s="1813"/>
      <c r="Y23" s="3237"/>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4"/>
      <c r="Q25" s="1810" t="str">
        <f t="shared" ref="Q25:Q46" si="11">B25</f>
        <v>临街状况</v>
      </c>
      <c r="R25" s="774" t="s">
        <v>17</v>
      </c>
      <c r="S25" s="775">
        <f>F25</f>
        <v>100</v>
      </c>
      <c r="T25" s="774" t="s">
        <v>17</v>
      </c>
      <c r="U25" s="775">
        <f>H25</f>
        <v>100</v>
      </c>
      <c r="V25" s="774" t="s">
        <v>17</v>
      </c>
      <c r="W25" s="775">
        <f>J25</f>
        <v>100</v>
      </c>
      <c r="X25" s="1813"/>
      <c r="Y25" s="3237"/>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4"/>
      <c r="Q26" s="1810" t="str">
        <f t="shared" si="11"/>
        <v>平面位置/可视性</v>
      </c>
      <c r="R26" s="774" t="s">
        <v>17</v>
      </c>
      <c r="S26" s="775">
        <f>F26</f>
        <v>100</v>
      </c>
      <c r="T26" s="774" t="s">
        <v>17</v>
      </c>
      <c r="U26" s="775">
        <f>H26</f>
        <v>100</v>
      </c>
      <c r="V26" s="774" t="s">
        <v>17</v>
      </c>
      <c r="W26" s="775">
        <f>J26</f>
        <v>100</v>
      </c>
      <c r="X26" s="1813"/>
      <c r="Y26" s="3237"/>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4"/>
      <c r="Q27" s="1795" t="str">
        <f t="shared" si="11"/>
        <v>人流量</v>
      </c>
      <c r="R27" s="770" t="s">
        <v>17</v>
      </c>
      <c r="S27" s="771">
        <f>F27</f>
        <v>100</v>
      </c>
      <c r="T27" s="770" t="s">
        <v>17</v>
      </c>
      <c r="U27" s="771">
        <f>H27</f>
        <v>100</v>
      </c>
      <c r="V27" s="770" t="s">
        <v>17</v>
      </c>
      <c r="W27" s="771">
        <f>J27</f>
        <v>100</v>
      </c>
      <c r="X27" s="772"/>
      <c r="Y27" s="3237"/>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7"/>
      <c r="Z28" s="1814" t="str">
        <f t="shared" ref="Z28:Z46" si="15">Q28</f>
        <v>楼层</v>
      </c>
      <c r="AA28" s="1811">
        <f t="shared" si="3"/>
        <v>1</v>
      </c>
      <c r="AB28" s="1811">
        <f t="shared" si="4"/>
        <v>1</v>
      </c>
      <c r="AC28" s="1811">
        <f t="shared" si="5"/>
        <v>1</v>
      </c>
    </row>
    <row r="29" spans="1:29" ht="15">
      <c r="A29" s="428"/>
      <c r="B29" s="3014" t="s">
        <v>3119</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4"/>
      <c r="Q29" s="1810" t="str">
        <f t="shared" si="11"/>
        <v>楼层</v>
      </c>
      <c r="R29" s="774" t="s">
        <v>17</v>
      </c>
      <c r="S29" s="775">
        <f t="shared" si="12"/>
        <v>100</v>
      </c>
      <c r="T29" s="774" t="s">
        <v>17</v>
      </c>
      <c r="U29" s="775">
        <f t="shared" si="13"/>
        <v>100</v>
      </c>
      <c r="V29" s="774" t="s">
        <v>17</v>
      </c>
      <c r="W29" s="775">
        <f t="shared" si="14"/>
        <v>100</v>
      </c>
      <c r="X29" s="1813"/>
      <c r="Y29" s="3237"/>
      <c r="Z29" s="1814" t="str">
        <f t="shared" si="15"/>
        <v>楼层</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8" t="s">
        <v>2565</v>
      </c>
      <c r="Q32" s="1810" t="str">
        <f t="shared" si="11"/>
        <v>商业类型</v>
      </c>
      <c r="R32" s="774" t="s">
        <v>17</v>
      </c>
      <c r="S32" s="775">
        <f t="shared" si="12"/>
        <v>100</v>
      </c>
      <c r="T32" s="774" t="s">
        <v>17</v>
      </c>
      <c r="U32" s="775">
        <f t="shared" si="13"/>
        <v>100</v>
      </c>
      <c r="V32" s="774" t="s">
        <v>17</v>
      </c>
      <c r="W32" s="775">
        <f t="shared" si="14"/>
        <v>100</v>
      </c>
      <c r="X32" s="1813"/>
      <c r="Y32" s="3241"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39"/>
      <c r="Q33" s="776" t="str">
        <f t="shared" si="11"/>
        <v>项目建筑规模</v>
      </c>
      <c r="R33" s="777" t="s">
        <v>17</v>
      </c>
      <c r="S33" s="778">
        <f t="shared" si="12"/>
        <v>100</v>
      </c>
      <c r="T33" s="777" t="s">
        <v>17</v>
      </c>
      <c r="U33" s="778">
        <f t="shared" si="13"/>
        <v>100</v>
      </c>
      <c r="V33" s="777" t="s">
        <v>17</v>
      </c>
      <c r="W33" s="778">
        <f t="shared" si="14"/>
        <v>100</v>
      </c>
      <c r="X33" s="779"/>
      <c r="Y33" s="3241"/>
      <c r="Z33" s="780" t="str">
        <f t="shared" si="15"/>
        <v>项目建筑规模</v>
      </c>
      <c r="AA33" s="1811">
        <f t="shared" si="3"/>
        <v>1</v>
      </c>
      <c r="AB33" s="1811">
        <f t="shared" si="4"/>
        <v>1</v>
      </c>
      <c r="AC33" s="1811">
        <f t="shared" si="5"/>
        <v>1</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9"/>
      <c r="Q34" s="1810" t="str">
        <f t="shared" si="11"/>
        <v>建筑结构</v>
      </c>
      <c r="R34" s="774" t="s">
        <v>17</v>
      </c>
      <c r="S34" s="775">
        <f t="shared" si="12"/>
        <v>100</v>
      </c>
      <c r="T34" s="774" t="s">
        <v>17</v>
      </c>
      <c r="U34" s="775">
        <f t="shared" si="13"/>
        <v>100</v>
      </c>
      <c r="V34" s="774" t="s">
        <v>17</v>
      </c>
      <c r="W34" s="775">
        <f t="shared" si="14"/>
        <v>100</v>
      </c>
      <c r="X34" s="1813"/>
      <c r="Y34" s="3241"/>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9"/>
      <c r="Q35" s="1810" t="str">
        <f t="shared" si="11"/>
        <v>公共部分装修</v>
      </c>
      <c r="R35" s="774" t="s">
        <v>17</v>
      </c>
      <c r="S35" s="775">
        <f t="shared" si="12"/>
        <v>100</v>
      </c>
      <c r="T35" s="774" t="s">
        <v>17</v>
      </c>
      <c r="U35" s="775">
        <f t="shared" si="13"/>
        <v>100</v>
      </c>
      <c r="V35" s="774" t="s">
        <v>17</v>
      </c>
      <c r="W35" s="775">
        <f t="shared" si="14"/>
        <v>100</v>
      </c>
      <c r="X35" s="1813"/>
      <c r="Y35" s="3241"/>
      <c r="Z35" s="1814" t="str">
        <f t="shared" si="15"/>
        <v>公共部分装修</v>
      </c>
      <c r="AA35" s="1811">
        <f t="shared" si="3"/>
        <v>1</v>
      </c>
      <c r="AB35" s="1811">
        <f t="shared" si="4"/>
        <v>1</v>
      </c>
      <c r="AC35" s="1811">
        <f t="shared" si="5"/>
        <v>1</v>
      </c>
    </row>
    <row r="36" spans="1:29" ht="15">
      <c r="A36" s="472"/>
      <c r="B36" s="422" t="s">
        <v>2662</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39"/>
      <c r="Q36" s="1810" t="str">
        <f t="shared" si="11"/>
        <v>成新度</v>
      </c>
      <c r="R36" s="774" t="s">
        <v>17</v>
      </c>
      <c r="S36" s="775">
        <f t="shared" si="12"/>
        <v>100</v>
      </c>
      <c r="T36" s="774" t="s">
        <v>17</v>
      </c>
      <c r="U36" s="775">
        <f t="shared" si="13"/>
        <v>100</v>
      </c>
      <c r="V36" s="774" t="s">
        <v>17</v>
      </c>
      <c r="W36" s="775">
        <f t="shared" si="14"/>
        <v>100</v>
      </c>
      <c r="X36" s="1813"/>
      <c r="Y36" s="3241"/>
      <c r="Z36" s="1814" t="str">
        <f t="shared" si="15"/>
        <v>成新度</v>
      </c>
      <c r="AA36" s="1811">
        <f t="shared" si="3"/>
        <v>1</v>
      </c>
      <c r="AB36" s="1811">
        <f t="shared" si="4"/>
        <v>1</v>
      </c>
      <c r="AC36" s="1811">
        <f t="shared" si="5"/>
        <v>1</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9"/>
      <c r="Q37" s="1795"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9" t="s">
        <v>2565</v>
      </c>
      <c r="Q38" s="1810" t="str">
        <f t="shared" si="11"/>
        <v>业态</v>
      </c>
      <c r="R38" s="774" t="s">
        <v>17</v>
      </c>
      <c r="S38" s="775">
        <f t="shared" si="12"/>
        <v>100</v>
      </c>
      <c r="T38" s="774" t="s">
        <v>17</v>
      </c>
      <c r="U38" s="775">
        <f t="shared" si="13"/>
        <v>100</v>
      </c>
      <c r="V38" s="774" t="s">
        <v>17</v>
      </c>
      <c r="W38" s="775">
        <f t="shared" si="14"/>
        <v>100</v>
      </c>
      <c r="X38" s="1813"/>
      <c r="Y38" s="3241"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9"/>
      <c r="Q39" s="1810" t="str">
        <f t="shared" si="11"/>
        <v>层高</v>
      </c>
      <c r="R39" s="774" t="s">
        <v>17</v>
      </c>
      <c r="S39" s="775">
        <f t="shared" si="12"/>
        <v>100</v>
      </c>
      <c r="T39" s="774" t="s">
        <v>17</v>
      </c>
      <c r="U39" s="775">
        <f t="shared" si="13"/>
        <v>100</v>
      </c>
      <c r="V39" s="774" t="s">
        <v>17</v>
      </c>
      <c r="W39" s="775">
        <f t="shared" si="14"/>
        <v>100</v>
      </c>
      <c r="X39" s="1813"/>
      <c r="Y39" s="3241"/>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10" t="str">
        <f t="shared" si="11"/>
        <v>单套建筑面积</v>
      </c>
      <c r="R40" s="774" t="s">
        <v>17</v>
      </c>
      <c r="S40" s="775">
        <f t="shared" si="12"/>
        <v>100</v>
      </c>
      <c r="T40" s="774" t="s">
        <v>17</v>
      </c>
      <c r="U40" s="775">
        <f t="shared" si="13"/>
        <v>100</v>
      </c>
      <c r="V40" s="774" t="s">
        <v>17</v>
      </c>
      <c r="W40" s="775">
        <f t="shared" si="14"/>
        <v>100</v>
      </c>
      <c r="X40" s="1813"/>
      <c r="Y40" s="3241"/>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9"/>
      <c r="Q42" s="1810" t="str">
        <f t="shared" si="11"/>
        <v>内部装修</v>
      </c>
      <c r="R42" s="774" t="s">
        <v>17</v>
      </c>
      <c r="S42" s="775">
        <f t="shared" si="12"/>
        <v>100</v>
      </c>
      <c r="T42" s="774" t="s">
        <v>17</v>
      </c>
      <c r="U42" s="775">
        <f t="shared" si="13"/>
        <v>100</v>
      </c>
      <c r="V42" s="774" t="s">
        <v>17</v>
      </c>
      <c r="W42" s="775">
        <f t="shared" si="14"/>
        <v>100</v>
      </c>
      <c r="X42" s="1813"/>
      <c r="Y42" s="3241"/>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9"/>
      <c r="Q43" s="1810" t="str">
        <f t="shared" si="11"/>
        <v>内部装修维护情况</v>
      </c>
      <c r="R43" s="774" t="s">
        <v>17</v>
      </c>
      <c r="S43" s="775">
        <f t="shared" si="12"/>
        <v>100</v>
      </c>
      <c r="T43" s="774" t="s">
        <v>17</v>
      </c>
      <c r="U43" s="775">
        <f t="shared" si="13"/>
        <v>100</v>
      </c>
      <c r="V43" s="774" t="s">
        <v>17</v>
      </c>
      <c r="W43" s="775">
        <f t="shared" si="14"/>
        <v>100</v>
      </c>
      <c r="X43" s="1813"/>
      <c r="Y43" s="324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5">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10">
        <f t="shared" si="11"/>
        <v>111</v>
      </c>
      <c r="R45" s="774" t="s">
        <v>17</v>
      </c>
      <c r="S45" s="775">
        <f t="shared" si="12"/>
        <v>100</v>
      </c>
      <c r="T45" s="774" t="s">
        <v>17</v>
      </c>
      <c r="U45" s="775">
        <f t="shared" si="13"/>
        <v>100</v>
      </c>
      <c r="V45" s="774" t="s">
        <v>17</v>
      </c>
      <c r="W45" s="775">
        <f t="shared" si="14"/>
        <v>100</v>
      </c>
      <c r="X45" s="1813"/>
      <c r="Y45" s="3241"/>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2577</v>
      </c>
      <c r="B47" s="480"/>
      <c r="C47" s="1407" t="s">
        <v>1</v>
      </c>
      <c r="D47" s="1408"/>
      <c r="E47" s="1409">
        <v>31000</v>
      </c>
      <c r="F47" s="1410"/>
      <c r="G47" s="1411">
        <v>33000</v>
      </c>
      <c r="H47" s="1412"/>
      <c r="I47" s="1409">
        <v>30000</v>
      </c>
      <c r="J47" s="1412"/>
      <c r="K47" s="783"/>
      <c r="L47" s="1143"/>
      <c r="M47" s="1144"/>
      <c r="N47" s="1131"/>
      <c r="O47" s="1144"/>
      <c r="P47" s="3234" t="str">
        <f>A47</f>
        <v>成交单价（元/平方米）</v>
      </c>
      <c r="Q47" s="3234"/>
      <c r="R47" s="3265">
        <f>E47</f>
        <v>31000</v>
      </c>
      <c r="S47" s="3265"/>
      <c r="T47" s="3265">
        <f>G47</f>
        <v>33000</v>
      </c>
      <c r="U47" s="3265"/>
      <c r="V47" s="3265">
        <f>I47</f>
        <v>30000</v>
      </c>
      <c r="W47" s="3265"/>
      <c r="X47" s="759"/>
      <c r="Y47" s="781"/>
      <c r="Z47" s="759"/>
      <c r="AA47" s="759"/>
      <c r="AB47" s="759"/>
      <c r="AC47" s="759"/>
    </row>
    <row r="48" spans="1:29" ht="15.75" thickBot="1">
      <c r="A48" s="486" t="s">
        <v>2669</v>
      </c>
      <c r="B48" s="487"/>
      <c r="C48" s="1413">
        <f>R49</f>
        <v>31333</v>
      </c>
      <c r="D48" s="1414"/>
      <c r="E48" s="1415">
        <f>R48</f>
        <v>31000</v>
      </c>
      <c r="F48" s="1415"/>
      <c r="G48" s="1413">
        <f>T48</f>
        <v>33000</v>
      </c>
      <c r="H48" s="1414"/>
      <c r="I48" s="1415">
        <f>V48</f>
        <v>30000</v>
      </c>
      <c r="J48" s="1414"/>
      <c r="K48" s="784"/>
      <c r="L48" s="1143"/>
      <c r="M48" s="1144">
        <v>8.5</v>
      </c>
      <c r="N48" s="1131"/>
      <c r="O48" s="1144"/>
      <c r="P48" s="3234" t="str">
        <f>A48</f>
        <v>比较价值（元/平方米）</v>
      </c>
      <c r="Q48" s="3234"/>
      <c r="R48" s="3235">
        <f>IF(F1="售价",ROUND(PRODUCT(R47,AA7:AA46),0),ROUND(PRODUCT(R47,AA7:AA46),1))</f>
        <v>31000</v>
      </c>
      <c r="S48" s="3235"/>
      <c r="T48" s="3235">
        <f>IF(F1="售价",ROUND(PRODUCT(T47,AB7:AB46),0),ROUND(PRODUCT(T47,AB7:AB46),1))</f>
        <v>33000</v>
      </c>
      <c r="U48" s="3235"/>
      <c r="V48" s="3235">
        <f>IF(F1="售价",ROUND(PRODUCT(V47,AC7:AC46),0),ROUND(PRODUCT(V47,AC7:AC46),1))</f>
        <v>30000</v>
      </c>
      <c r="W48" s="3235"/>
      <c r="X48" s="759"/>
      <c r="Y48" s="759"/>
      <c r="Z48" s="759"/>
      <c r="AA48" s="759"/>
      <c r="AB48" s="759"/>
      <c r="AC48" s="759"/>
    </row>
    <row r="49" spans="1:29" ht="15.75" thickBot="1">
      <c r="A49" s="492" t="s">
        <v>2670</v>
      </c>
      <c r="B49" s="493"/>
      <c r="C49" s="1417">
        <f>R49</f>
        <v>31333</v>
      </c>
      <c r="D49" s="1417"/>
      <c r="E49" s="1417"/>
      <c r="F49" s="1417"/>
      <c r="G49" s="1417"/>
      <c r="H49" s="1417"/>
      <c r="I49" s="1417"/>
      <c r="J49" s="1417"/>
      <c r="K49" s="785"/>
      <c r="L49" s="1143"/>
      <c r="M49" s="1144">
        <v>10</v>
      </c>
      <c r="N49" s="1131"/>
      <c r="O49" s="1144"/>
      <c r="P49" s="3231" t="str">
        <f>A49</f>
        <v>估价对象XX用房的比较价值（楼面单价，元/平方米）</v>
      </c>
      <c r="Q49" s="3232"/>
      <c r="R49" s="3233">
        <f>IF(F1="售价",ROUND(AVERAGE(R48:V48),0),ROUND(AVERAGE(R48:V48),1))</f>
        <v>31333</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6.4516129032258007E-2</v>
      </c>
      <c r="F53" s="500" t="str">
        <f>IF(OR(E53&gt;=0.2,E53&lt;=-0.2),"超过20%","")</f>
        <v/>
      </c>
      <c r="G53" s="499">
        <f>IF(G48&lt;I48,I48/G48-1,G48/I48-1)</f>
        <v>0.10000000000000009</v>
      </c>
      <c r="H53" s="500" t="str">
        <f>IF(OR(G53&gt;=0.2,G53&lt;=-0.2),"超过20%","")</f>
        <v/>
      </c>
      <c r="I53" s="499">
        <f>IF(I48&lt;E48,E48/I48-1,I48/E48-1)</f>
        <v>3.3333333333333437E-2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6.4516129032258007E-2</v>
      </c>
      <c r="F54" s="500" t="str">
        <f>IF(OR(E54&gt;=0.3,E54&lt;=-0.3),"超过30%","")</f>
        <v/>
      </c>
      <c r="G54" s="499">
        <f>IF(G47&lt;I47,I47/G47-1,G47/I47-1)</f>
        <v>0.10000000000000009</v>
      </c>
      <c r="H54" s="500" t="str">
        <f>IF(OR(G54&gt;=0.3,G54&lt;=-0.3),"超过30%","")</f>
        <v/>
      </c>
      <c r="I54" s="499">
        <f>IF(I47&lt;E47,E47/I47-1,I47/E47-1)</f>
        <v>3.3333333333333437E-2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t="str">
        <f>B29</f>
        <v>楼层</v>
      </c>
      <c r="C94" s="554">
        <v>1</v>
      </c>
      <c r="D94" s="554">
        <v>-1</v>
      </c>
      <c r="E94" s="554">
        <v>-2</v>
      </c>
      <c r="F94" s="554"/>
      <c r="G94" s="583"/>
      <c r="H94" s="583"/>
      <c r="I94" s="583"/>
      <c r="J94" s="583"/>
      <c r="K94" s="584"/>
      <c r="L94" s="585"/>
      <c r="M94" s="586"/>
      <c r="N94" s="1152"/>
      <c r="O94" s="1152"/>
      <c r="P94" s="2632"/>
      <c r="Q94" s="504"/>
    </row>
    <row r="95" spans="1:17" ht="15.75" thickBot="1">
      <c r="A95" s="534"/>
      <c r="B95" s="543"/>
      <c r="C95" s="560">
        <v>100</v>
      </c>
      <c r="D95" s="536">
        <v>60</v>
      </c>
      <c r="E95" s="536">
        <v>50</v>
      </c>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8"/>
      <c r="D2" s="1365"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708.8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84" t="s">
        <v>2651</v>
      </c>
      <c r="Q4" s="3285"/>
      <c r="R4" s="3288" t="s">
        <v>2647</v>
      </c>
      <c r="S4" s="3289"/>
      <c r="T4" s="3288" t="s">
        <v>2648</v>
      </c>
      <c r="U4" s="3289"/>
      <c r="V4" s="3290" t="s">
        <v>2649</v>
      </c>
      <c r="W4" s="3290"/>
      <c r="X4" s="2672"/>
      <c r="Y4" s="3288" t="s">
        <v>2651</v>
      </c>
      <c r="Z4" s="3289"/>
      <c r="AA4" s="3292" t="s">
        <v>2647</v>
      </c>
      <c r="AB4" s="3292" t="s">
        <v>2648</v>
      </c>
      <c r="AC4" s="3281" t="s">
        <v>2649</v>
      </c>
    </row>
    <row r="5" spans="1:29" ht="15">
      <c r="A5" s="404"/>
      <c r="B5" s="405"/>
      <c r="C5" s="3268" t="s">
        <v>2542</v>
      </c>
      <c r="D5" s="3269"/>
      <c r="E5" s="3275" t="s">
        <v>2543</v>
      </c>
      <c r="F5" s="3276"/>
      <c r="G5" s="3268" t="s">
        <v>2544</v>
      </c>
      <c r="H5" s="3269"/>
      <c r="I5" s="3268" t="s">
        <v>2545</v>
      </c>
      <c r="J5" s="3269"/>
      <c r="K5" s="610"/>
      <c r="L5" s="1130"/>
      <c r="M5" s="1131"/>
      <c r="N5" s="1131"/>
      <c r="O5" s="1131"/>
      <c r="P5" s="3286"/>
      <c r="Q5" s="3256"/>
      <c r="R5" s="3261"/>
      <c r="S5" s="3262"/>
      <c r="T5" s="3261"/>
      <c r="U5" s="3262"/>
      <c r="V5" s="3265"/>
      <c r="W5" s="3265"/>
      <c r="X5" s="1813"/>
      <c r="Y5" s="3261"/>
      <c r="Z5" s="3262"/>
      <c r="AA5" s="3247"/>
      <c r="AB5" s="3247"/>
      <c r="AC5" s="3282"/>
    </row>
    <row r="6" spans="1:29" ht="15.75" thickBot="1">
      <c r="A6" s="406"/>
      <c r="B6" s="407"/>
      <c r="C6" s="3266" t="s">
        <v>2546</v>
      </c>
      <c r="D6" s="3267"/>
      <c r="E6" s="3273" t="s">
        <v>2546</v>
      </c>
      <c r="F6" s="3274"/>
      <c r="G6" s="3266" t="s">
        <v>2546</v>
      </c>
      <c r="H6" s="3267"/>
      <c r="I6" s="3266" t="s">
        <v>2546</v>
      </c>
      <c r="J6" s="3267"/>
      <c r="K6" s="610" t="s">
        <v>2547</v>
      </c>
      <c r="L6" s="1130"/>
      <c r="M6" s="1131"/>
      <c r="N6" s="1131"/>
      <c r="O6" s="1131"/>
      <c r="P6" s="3287"/>
      <c r="Q6" s="3258"/>
      <c r="R6" s="3261"/>
      <c r="S6" s="3262"/>
      <c r="T6" s="3263"/>
      <c r="U6" s="3264"/>
      <c r="V6" s="3265"/>
      <c r="W6" s="3265"/>
      <c r="X6" s="1813"/>
      <c r="Y6" s="3263"/>
      <c r="Z6" s="3264"/>
      <c r="AA6" s="3248"/>
      <c r="AB6" s="3248"/>
      <c r="AC6" s="3283"/>
    </row>
    <row r="7" spans="1:29" s="117" customFormat="1" ht="15.75" thickBot="1">
      <c r="A7" s="408" t="s">
        <v>2548</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1" t="s">
        <v>2549</v>
      </c>
      <c r="Q7" s="3272"/>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1" t="s">
        <v>2552</v>
      </c>
      <c r="Q8" s="3271"/>
      <c r="R8" s="770" t="s">
        <v>17</v>
      </c>
      <c r="S8" s="771">
        <f t="shared" si="0"/>
        <v>0</v>
      </c>
      <c r="T8" s="770" t="s">
        <v>17</v>
      </c>
      <c r="U8" s="771">
        <f t="shared" si="1"/>
        <v>0</v>
      </c>
      <c r="V8" s="770" t="s">
        <v>17</v>
      </c>
      <c r="W8" s="771">
        <f t="shared" si="2"/>
        <v>0</v>
      </c>
      <c r="X8" s="772"/>
      <c r="Y8" s="3270" t="s">
        <v>2552</v>
      </c>
      <c r="Z8" s="3271"/>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5"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5"/>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5"/>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5"/>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3" t="s">
        <v>2560</v>
      </c>
      <c r="Q15" s="1810" t="str">
        <f t="shared" si="6"/>
        <v>办公集聚程度</v>
      </c>
      <c r="R15" s="774" t="s">
        <v>17</v>
      </c>
      <c r="S15" s="775">
        <f t="shared" si="0"/>
        <v>100</v>
      </c>
      <c r="T15" s="774" t="s">
        <v>17</v>
      </c>
      <c r="U15" s="775">
        <f t="shared" si="1"/>
        <v>100</v>
      </c>
      <c r="V15" s="774" t="s">
        <v>17</v>
      </c>
      <c r="W15" s="775">
        <f t="shared" si="2"/>
        <v>100</v>
      </c>
      <c r="X15" s="1813"/>
      <c r="Y15" s="3236"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4"/>
      <c r="Q18" s="1810"/>
      <c r="R18" s="774"/>
      <c r="S18" s="775"/>
      <c r="T18" s="774"/>
      <c r="U18" s="775"/>
      <c r="V18" s="774"/>
      <c r="W18" s="775"/>
      <c r="X18" s="1813"/>
      <c r="Y18" s="3237"/>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4"/>
      <c r="Q20" s="1810"/>
      <c r="R20" s="774"/>
      <c r="S20" s="775"/>
      <c r="T20" s="774"/>
      <c r="U20" s="775"/>
      <c r="V20" s="774"/>
      <c r="W20" s="775"/>
      <c r="X20" s="1813"/>
      <c r="Y20" s="3237"/>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4"/>
      <c r="Q22" s="1810"/>
      <c r="R22" s="774"/>
      <c r="S22" s="775"/>
      <c r="T22" s="774"/>
      <c r="U22" s="775"/>
      <c r="V22" s="774"/>
      <c r="W22" s="775"/>
      <c r="X22" s="1813"/>
      <c r="Y22" s="3237"/>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4"/>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4"/>
      <c r="Q24" s="1810"/>
      <c r="R24" s="774"/>
      <c r="S24" s="775"/>
      <c r="T24" s="774"/>
      <c r="U24" s="775"/>
      <c r="V24" s="774"/>
      <c r="W24" s="775"/>
      <c r="X24" s="1813"/>
      <c r="Y24" s="3237"/>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4"/>
      <c r="Q25" s="1810" t="str">
        <f>B25</f>
        <v>毗邻道路的类型与等级</v>
      </c>
      <c r="R25" s="774" t="s">
        <v>17</v>
      </c>
      <c r="S25" s="775">
        <f>F25</f>
        <v>100</v>
      </c>
      <c r="T25" s="774" t="s">
        <v>17</v>
      </c>
      <c r="U25" s="775">
        <f>H25</f>
        <v>100</v>
      </c>
      <c r="V25" s="774" t="s">
        <v>17</v>
      </c>
      <c r="W25" s="775">
        <f>J25</f>
        <v>100</v>
      </c>
      <c r="X25" s="1813"/>
      <c r="Y25" s="3237"/>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4"/>
      <c r="Q26" s="1810"/>
      <c r="R26" s="774"/>
      <c r="S26" s="775"/>
      <c r="T26" s="774"/>
      <c r="U26" s="775"/>
      <c r="V26" s="774"/>
      <c r="W26" s="775"/>
      <c r="X26" s="1813"/>
      <c r="Y26" s="3237"/>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4"/>
      <c r="Q27" s="1810" t="str">
        <f t="shared" ref="Q27:Q47" si="11">B27</f>
        <v>楼层</v>
      </c>
      <c r="R27" s="774" t="s">
        <v>17</v>
      </c>
      <c r="S27" s="775">
        <f>F27</f>
        <v>100</v>
      </c>
      <c r="T27" s="774" t="s">
        <v>17</v>
      </c>
      <c r="U27" s="775">
        <f>H27</f>
        <v>100</v>
      </c>
      <c r="V27" s="774" t="s">
        <v>17</v>
      </c>
      <c r="W27" s="775">
        <f>J27</f>
        <v>100</v>
      </c>
      <c r="X27" s="1813"/>
      <c r="Y27" s="3237"/>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4"/>
      <c r="Q28" s="1795" t="str">
        <f t="shared" si="11"/>
        <v>朝向</v>
      </c>
      <c r="R28" s="770" t="s">
        <v>17</v>
      </c>
      <c r="S28" s="771">
        <f>F28</f>
        <v>100</v>
      </c>
      <c r="T28" s="770" t="s">
        <v>17</v>
      </c>
      <c r="U28" s="771">
        <f>H28</f>
        <v>100</v>
      </c>
      <c r="V28" s="770" t="s">
        <v>17</v>
      </c>
      <c r="W28" s="771">
        <f>J28</f>
        <v>100</v>
      </c>
      <c r="X28" s="772"/>
      <c r="Y28" s="3237"/>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4"/>
      <c r="Q29" s="1810">
        <f t="shared" si="11"/>
        <v>111</v>
      </c>
      <c r="R29" s="774" t="s">
        <v>17</v>
      </c>
      <c r="S29" s="775">
        <f t="shared" ref="S29:S47" si="12">F29</f>
        <v>100</v>
      </c>
      <c r="T29" s="774" t="s">
        <v>17</v>
      </c>
      <c r="U29" s="775">
        <f t="shared" ref="U29:U47" si="13">H29</f>
        <v>100</v>
      </c>
      <c r="V29" s="774" t="s">
        <v>17</v>
      </c>
      <c r="W29" s="775">
        <f t="shared" ref="W29:W47" si="14">J29</f>
        <v>100</v>
      </c>
      <c r="X29" s="1813"/>
      <c r="Y29" s="3237"/>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4"/>
      <c r="Q32" s="1810">
        <f t="shared" si="11"/>
        <v>111</v>
      </c>
      <c r="R32" s="774" t="s">
        <v>17</v>
      </c>
      <c r="S32" s="775">
        <f t="shared" si="12"/>
        <v>100</v>
      </c>
      <c r="T32" s="774" t="s">
        <v>17</v>
      </c>
      <c r="U32" s="775">
        <f t="shared" si="13"/>
        <v>100</v>
      </c>
      <c r="V32" s="774" t="s">
        <v>17</v>
      </c>
      <c r="W32" s="775">
        <f t="shared" si="14"/>
        <v>100</v>
      </c>
      <c r="X32" s="1813"/>
      <c r="Y32" s="3237"/>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8" t="s">
        <v>2565</v>
      </c>
      <c r="Q33" s="1810" t="str">
        <f t="shared" si="11"/>
        <v>建筑类型</v>
      </c>
      <c r="R33" s="774" t="s">
        <v>17</v>
      </c>
      <c r="S33" s="775">
        <f t="shared" si="12"/>
        <v>100</v>
      </c>
      <c r="T33" s="774" t="s">
        <v>17</v>
      </c>
      <c r="U33" s="775">
        <f t="shared" si="13"/>
        <v>100</v>
      </c>
      <c r="V33" s="774" t="s">
        <v>17</v>
      </c>
      <c r="W33" s="775">
        <f t="shared" si="14"/>
        <v>100</v>
      </c>
      <c r="X33" s="1813"/>
      <c r="Y33" s="3241"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10" t="str">
        <f t="shared" si="11"/>
        <v>建筑结构</v>
      </c>
      <c r="R35" s="774" t="s">
        <v>17</v>
      </c>
      <c r="S35" s="775">
        <f t="shared" si="12"/>
        <v>100</v>
      </c>
      <c r="T35" s="774" t="s">
        <v>17</v>
      </c>
      <c r="U35" s="775">
        <f t="shared" si="13"/>
        <v>100</v>
      </c>
      <c r="V35" s="774" t="s">
        <v>17</v>
      </c>
      <c r="W35" s="775">
        <f t="shared" si="14"/>
        <v>100</v>
      </c>
      <c r="X35" s="1813"/>
      <c r="Y35" s="3241"/>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10" t="str">
        <f t="shared" si="11"/>
        <v>公共部分装修</v>
      </c>
      <c r="R36" s="774" t="s">
        <v>17</v>
      </c>
      <c r="S36" s="775">
        <f t="shared" si="12"/>
        <v>100</v>
      </c>
      <c r="T36" s="774" t="s">
        <v>17</v>
      </c>
      <c r="U36" s="775">
        <f t="shared" si="13"/>
        <v>100</v>
      </c>
      <c r="V36" s="774" t="s">
        <v>17</v>
      </c>
      <c r="W36" s="775">
        <f t="shared" si="14"/>
        <v>100</v>
      </c>
      <c r="X36" s="1813"/>
      <c r="Y36" s="3241"/>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10" t="str">
        <f t="shared" si="11"/>
        <v>成新度</v>
      </c>
      <c r="R37" s="774" t="s">
        <v>17</v>
      </c>
      <c r="S37" s="775" t="e">
        <f t="shared" si="12"/>
        <v>#N/A</v>
      </c>
      <c r="T37" s="774" t="s">
        <v>17</v>
      </c>
      <c r="U37" s="775" t="e">
        <f t="shared" si="13"/>
        <v>#N/A</v>
      </c>
      <c r="V37" s="774" t="s">
        <v>17</v>
      </c>
      <c r="W37" s="775" t="e">
        <f t="shared" si="14"/>
        <v>#N/A</v>
      </c>
      <c r="X37" s="1813"/>
      <c r="Y37" s="3241"/>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5"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2565</v>
      </c>
      <c r="Q39" s="1810" t="str">
        <f t="shared" si="11"/>
        <v>物业管理</v>
      </c>
      <c r="R39" s="774" t="s">
        <v>17</v>
      </c>
      <c r="S39" s="775">
        <f t="shared" si="12"/>
        <v>100</v>
      </c>
      <c r="T39" s="774" t="s">
        <v>17</v>
      </c>
      <c r="U39" s="775">
        <f t="shared" si="13"/>
        <v>100</v>
      </c>
      <c r="V39" s="774" t="s">
        <v>17</v>
      </c>
      <c r="W39" s="775">
        <f t="shared" si="14"/>
        <v>100</v>
      </c>
      <c r="X39" s="1813"/>
      <c r="Y39" s="3241"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10" t="str">
        <f t="shared" si="11"/>
        <v>市政基础设施</v>
      </c>
      <c r="R40" s="774" t="s">
        <v>17</v>
      </c>
      <c r="S40" s="775">
        <f t="shared" si="12"/>
        <v>100</v>
      </c>
      <c r="T40" s="774" t="s">
        <v>17</v>
      </c>
      <c r="U40" s="775">
        <f t="shared" si="13"/>
        <v>100</v>
      </c>
      <c r="V40" s="774" t="s">
        <v>17</v>
      </c>
      <c r="W40" s="775">
        <f t="shared" si="14"/>
        <v>100</v>
      </c>
      <c r="X40" s="1813"/>
      <c r="Y40" s="3241"/>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10" t="str">
        <f t="shared" si="11"/>
        <v>层高</v>
      </c>
      <c r="R41" s="774" t="s">
        <v>17</v>
      </c>
      <c r="S41" s="775">
        <f t="shared" si="12"/>
        <v>100</v>
      </c>
      <c r="T41" s="774" t="s">
        <v>17</v>
      </c>
      <c r="U41" s="775">
        <f t="shared" si="13"/>
        <v>100</v>
      </c>
      <c r="V41" s="774" t="s">
        <v>17</v>
      </c>
      <c r="W41" s="775">
        <f t="shared" si="14"/>
        <v>100</v>
      </c>
      <c r="X41" s="1813"/>
      <c r="Y41" s="3241"/>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10" t="str">
        <f t="shared" si="11"/>
        <v>内部装修</v>
      </c>
      <c r="R43" s="774" t="s">
        <v>17</v>
      </c>
      <c r="S43" s="775">
        <f t="shared" si="12"/>
        <v>100</v>
      </c>
      <c r="T43" s="774" t="s">
        <v>17</v>
      </c>
      <c r="U43" s="775">
        <f t="shared" si="13"/>
        <v>100</v>
      </c>
      <c r="V43" s="774" t="s">
        <v>17</v>
      </c>
      <c r="W43" s="775">
        <f t="shared" si="14"/>
        <v>100</v>
      </c>
      <c r="X43" s="1813"/>
      <c r="Y43" s="3241"/>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9"/>
      <c r="Q44" s="1810" t="str">
        <f t="shared" si="11"/>
        <v>内部装修维护情况</v>
      </c>
      <c r="R44" s="774" t="s">
        <v>17</v>
      </c>
      <c r="S44" s="775">
        <f t="shared" si="12"/>
        <v>100</v>
      </c>
      <c r="T44" s="774" t="s">
        <v>17</v>
      </c>
      <c r="U44" s="775">
        <f t="shared" si="13"/>
        <v>100</v>
      </c>
      <c r="V44" s="774" t="s">
        <v>17</v>
      </c>
      <c r="W44" s="775">
        <f t="shared" si="14"/>
        <v>100</v>
      </c>
      <c r="X44" s="1813"/>
      <c r="Y44" s="3241"/>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5">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10">
        <f t="shared" si="11"/>
        <v>111</v>
      </c>
      <c r="R47" s="774" t="s">
        <v>17</v>
      </c>
      <c r="S47" s="775">
        <f t="shared" si="12"/>
        <v>100</v>
      </c>
      <c r="T47" s="774" t="s">
        <v>17</v>
      </c>
      <c r="U47" s="775">
        <f t="shared" si="13"/>
        <v>100</v>
      </c>
      <c r="V47" s="774" t="s">
        <v>17</v>
      </c>
      <c r="W47" s="775">
        <f t="shared" si="14"/>
        <v>100</v>
      </c>
      <c r="X47" s="1813"/>
      <c r="Y47" s="3242"/>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245"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45"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50" t="s">
        <v>1608</v>
      </c>
    </row>
    <row r="9" spans="1:1" ht="18.75">
      <c r="A9" s="1949" t="s">
        <v>1609</v>
      </c>
    </row>
    <row r="10" spans="1:1" ht="54">
      <c r="A10" s="1947"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"本次评估采用的主估价方法为"&amp;'结果表（1）'!K4&amp;"和"&amp;'结果表（1）'!L4&amp;"。"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708.8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47" t="s">
        <v>2648</v>
      </c>
      <c r="AC4" s="3246" t="s">
        <v>2649</v>
      </c>
    </row>
    <row r="5" spans="1:29" ht="15">
      <c r="A5" s="404"/>
      <c r="B5" s="405"/>
      <c r="C5" s="3268" t="s">
        <v>2542</v>
      </c>
      <c r="D5" s="3269"/>
      <c r="E5" s="3275" t="s">
        <v>2543</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47"/>
      <c r="AC5" s="3247"/>
    </row>
    <row r="6" spans="1:29" ht="15.75" thickBot="1">
      <c r="A6" s="406"/>
      <c r="B6" s="407"/>
      <c r="C6" s="3266" t="s">
        <v>2546</v>
      </c>
      <c r="D6" s="3267"/>
      <c r="E6" s="3273" t="s">
        <v>2546</v>
      </c>
      <c r="F6" s="3274"/>
      <c r="G6" s="3266" t="s">
        <v>2546</v>
      </c>
      <c r="H6" s="3267"/>
      <c r="I6" s="3266" t="s">
        <v>2546</v>
      </c>
      <c r="J6" s="3267"/>
      <c r="K6" s="610" t="s">
        <v>2547</v>
      </c>
      <c r="L6" s="1130"/>
      <c r="M6" s="1131"/>
      <c r="N6" s="1131"/>
      <c r="O6" s="1131"/>
      <c r="P6" s="3257"/>
      <c r="Q6" s="3258"/>
      <c r="R6" s="3261"/>
      <c r="S6" s="3262"/>
      <c r="T6" s="3263"/>
      <c r="U6" s="3264"/>
      <c r="V6" s="3265"/>
      <c r="W6" s="3265"/>
      <c r="X6" s="1813"/>
      <c r="Y6" s="3263"/>
      <c r="Z6" s="3264"/>
      <c r="AA6" s="3248"/>
      <c r="AB6" s="3248"/>
      <c r="AC6" s="3248"/>
    </row>
    <row r="7" spans="1:29" s="117" customFormat="1" ht="15.75" thickBot="1">
      <c r="A7" s="408" t="s">
        <v>2548</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0" t="s">
        <v>2549</v>
      </c>
      <c r="Q7" s="3272"/>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2560</v>
      </c>
      <c r="Q15" s="1810" t="str">
        <f t="shared" si="6"/>
        <v>产业集聚程度</v>
      </c>
      <c r="R15" s="774" t="s">
        <v>17</v>
      </c>
      <c r="S15" s="775">
        <f t="shared" si="0"/>
        <v>100</v>
      </c>
      <c r="T15" s="774" t="s">
        <v>17</v>
      </c>
      <c r="U15" s="775">
        <f t="shared" si="1"/>
        <v>100</v>
      </c>
      <c r="V15" s="774" t="s">
        <v>17</v>
      </c>
      <c r="W15" s="775">
        <f t="shared" si="2"/>
        <v>100</v>
      </c>
      <c r="X15" s="1813"/>
      <c r="Y15" s="3236"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7"/>
      <c r="Q18" s="1810"/>
      <c r="R18" s="774"/>
      <c r="S18" s="775"/>
      <c r="T18" s="774"/>
      <c r="U18" s="775"/>
      <c r="V18" s="774"/>
      <c r="W18" s="775"/>
      <c r="X18" s="1813"/>
      <c r="Y18" s="3237"/>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7"/>
      <c r="Q20" s="1810"/>
      <c r="R20" s="774"/>
      <c r="S20" s="775"/>
      <c r="T20" s="774"/>
      <c r="U20" s="775"/>
      <c r="V20" s="774"/>
      <c r="W20" s="775"/>
      <c r="X20" s="1813"/>
      <c r="Y20" s="3237"/>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7"/>
      <c r="Q22" s="1810"/>
      <c r="R22" s="774"/>
      <c r="S22" s="775"/>
      <c r="T22" s="774"/>
      <c r="U22" s="775"/>
      <c r="V22" s="774"/>
      <c r="W22" s="775"/>
      <c r="X22" s="1813"/>
      <c r="Y22" s="3237"/>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7"/>
      <c r="Q24" s="1810"/>
      <c r="R24" s="774"/>
      <c r="S24" s="775"/>
      <c r="T24" s="774"/>
      <c r="U24" s="775"/>
      <c r="V24" s="774"/>
      <c r="W24" s="775"/>
      <c r="X24" s="1813"/>
      <c r="Y24" s="323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10">
        <f>B25</f>
        <v>111</v>
      </c>
      <c r="R25" s="774" t="s">
        <v>17</v>
      </c>
      <c r="S25" s="775">
        <f>F25</f>
        <v>100</v>
      </c>
      <c r="T25" s="774" t="s">
        <v>17</v>
      </c>
      <c r="U25" s="775">
        <f>H25</f>
        <v>100</v>
      </c>
      <c r="V25" s="774" t="s">
        <v>17</v>
      </c>
      <c r="W25" s="775">
        <f>J25</f>
        <v>100</v>
      </c>
      <c r="X25" s="1813"/>
      <c r="Y25" s="323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10">
        <f t="shared" ref="Q26:Q40" si="11">B26</f>
        <v>111</v>
      </c>
      <c r="R26" s="774" t="s">
        <v>17</v>
      </c>
      <c r="S26" s="775">
        <f>F26</f>
        <v>100</v>
      </c>
      <c r="T26" s="774" t="s">
        <v>17</v>
      </c>
      <c r="U26" s="775">
        <f>H26</f>
        <v>100</v>
      </c>
      <c r="V26" s="774" t="s">
        <v>17</v>
      </c>
      <c r="W26" s="775">
        <f>J26</f>
        <v>100</v>
      </c>
      <c r="X26" s="1813"/>
      <c r="Y26" s="323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95">
        <f t="shared" si="11"/>
        <v>111</v>
      </c>
      <c r="R27" s="770" t="s">
        <v>17</v>
      </c>
      <c r="S27" s="771">
        <f>F27</f>
        <v>100</v>
      </c>
      <c r="T27" s="770" t="s">
        <v>17</v>
      </c>
      <c r="U27" s="771">
        <f>H27</f>
        <v>100</v>
      </c>
      <c r="V27" s="770" t="s">
        <v>17</v>
      </c>
      <c r="W27" s="771">
        <f>J27</f>
        <v>100</v>
      </c>
      <c r="X27" s="772"/>
      <c r="Y27" s="323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10">
        <f t="shared" si="11"/>
        <v>111</v>
      </c>
      <c r="R28" s="774" t="s">
        <v>17</v>
      </c>
      <c r="S28" s="775">
        <f t="shared" ref="S28:S40" si="12">F28</f>
        <v>100</v>
      </c>
      <c r="T28" s="774" t="s">
        <v>17</v>
      </c>
      <c r="U28" s="775">
        <f t="shared" ref="U28:U40" si="13">H28</f>
        <v>100</v>
      </c>
      <c r="V28" s="774" t="s">
        <v>17</v>
      </c>
      <c r="W28" s="775">
        <f t="shared" ref="W28:W40" si="14">J28</f>
        <v>100</v>
      </c>
      <c r="X28" s="1813"/>
      <c r="Y28" s="3237"/>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3" t="s">
        <v>2565</v>
      </c>
      <c r="Q29" s="1810" t="str">
        <f t="shared" si="11"/>
        <v>建筑类型</v>
      </c>
      <c r="R29" s="774" t="s">
        <v>17</v>
      </c>
      <c r="S29" s="775">
        <f t="shared" si="12"/>
        <v>100</v>
      </c>
      <c r="T29" s="774" t="s">
        <v>17</v>
      </c>
      <c r="U29" s="775">
        <f t="shared" si="13"/>
        <v>100</v>
      </c>
      <c r="V29" s="774" t="s">
        <v>17</v>
      </c>
      <c r="W29" s="775">
        <f t="shared" si="14"/>
        <v>100</v>
      </c>
      <c r="X29" s="1813"/>
      <c r="Y29" s="3241"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10" t="str">
        <f t="shared" si="11"/>
        <v>建筑结构</v>
      </c>
      <c r="R31" s="774" t="s">
        <v>17</v>
      </c>
      <c r="S31" s="775">
        <f t="shared" si="12"/>
        <v>100</v>
      </c>
      <c r="T31" s="774" t="s">
        <v>17</v>
      </c>
      <c r="U31" s="775">
        <f t="shared" si="13"/>
        <v>100</v>
      </c>
      <c r="V31" s="774" t="s">
        <v>17</v>
      </c>
      <c r="W31" s="775">
        <f t="shared" si="14"/>
        <v>100</v>
      </c>
      <c r="X31" s="1813"/>
      <c r="Y31" s="3241"/>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10" t="str">
        <f t="shared" si="11"/>
        <v>公共部分装修</v>
      </c>
      <c r="R32" s="774" t="s">
        <v>17</v>
      </c>
      <c r="S32" s="775">
        <f t="shared" si="12"/>
        <v>100</v>
      </c>
      <c r="T32" s="774" t="s">
        <v>17</v>
      </c>
      <c r="U32" s="775">
        <f t="shared" si="13"/>
        <v>100</v>
      </c>
      <c r="V32" s="774" t="s">
        <v>17</v>
      </c>
      <c r="W32" s="775">
        <f t="shared" si="14"/>
        <v>100</v>
      </c>
      <c r="X32" s="1813"/>
      <c r="Y32" s="3241"/>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10" t="str">
        <f t="shared" si="11"/>
        <v>成新度</v>
      </c>
      <c r="R33" s="774" t="s">
        <v>17</v>
      </c>
      <c r="S33" s="775" t="e">
        <f t="shared" si="12"/>
        <v>#N/A</v>
      </c>
      <c r="T33" s="774" t="s">
        <v>17</v>
      </c>
      <c r="U33" s="775" t="e">
        <f t="shared" si="13"/>
        <v>#N/A</v>
      </c>
      <c r="V33" s="774" t="s">
        <v>17</v>
      </c>
      <c r="W33" s="775" t="e">
        <f t="shared" si="14"/>
        <v>#N/A</v>
      </c>
      <c r="X33" s="1813"/>
      <c r="Y33" s="3241"/>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5"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2565</v>
      </c>
      <c r="Q35" s="1810" t="str">
        <f t="shared" si="11"/>
        <v>市政基础设施</v>
      </c>
      <c r="R35" s="774" t="s">
        <v>17</v>
      </c>
      <c r="S35" s="775">
        <f t="shared" si="12"/>
        <v>100</v>
      </c>
      <c r="T35" s="774" t="s">
        <v>17</v>
      </c>
      <c r="U35" s="775">
        <f t="shared" si="13"/>
        <v>100</v>
      </c>
      <c r="V35" s="774" t="s">
        <v>17</v>
      </c>
      <c r="W35" s="775">
        <f t="shared" si="14"/>
        <v>100</v>
      </c>
      <c r="X35" s="1813"/>
      <c r="Y35" s="3241"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10" t="str">
        <f t="shared" si="11"/>
        <v>内部装修</v>
      </c>
      <c r="R36" s="774" t="s">
        <v>17</v>
      </c>
      <c r="S36" s="775">
        <f t="shared" si="12"/>
        <v>100</v>
      </c>
      <c r="T36" s="774" t="s">
        <v>17</v>
      </c>
      <c r="U36" s="775">
        <f t="shared" si="13"/>
        <v>100</v>
      </c>
      <c r="V36" s="774" t="s">
        <v>17</v>
      </c>
      <c r="W36" s="775">
        <f t="shared" si="14"/>
        <v>100</v>
      </c>
      <c r="X36" s="1813"/>
      <c r="Y36" s="3241"/>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10" t="str">
        <f t="shared" si="11"/>
        <v>内部装修状况</v>
      </c>
      <c r="R37" s="774" t="s">
        <v>17</v>
      </c>
      <c r="S37" s="775">
        <f t="shared" si="12"/>
        <v>100</v>
      </c>
      <c r="T37" s="774" t="s">
        <v>17</v>
      </c>
      <c r="U37" s="775">
        <f t="shared" si="13"/>
        <v>100</v>
      </c>
      <c r="V37" s="774" t="s">
        <v>17</v>
      </c>
      <c r="W37" s="775">
        <f t="shared" si="14"/>
        <v>100</v>
      </c>
      <c r="X37" s="1813"/>
      <c r="Y37" s="324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10">
        <f t="shared" si="11"/>
        <v>111</v>
      </c>
      <c r="R39" s="774" t="s">
        <v>17</v>
      </c>
      <c r="S39" s="775">
        <f t="shared" si="12"/>
        <v>100</v>
      </c>
      <c r="T39" s="774" t="s">
        <v>17</v>
      </c>
      <c r="U39" s="775">
        <f t="shared" si="13"/>
        <v>100</v>
      </c>
      <c r="V39" s="774" t="s">
        <v>17</v>
      </c>
      <c r="W39" s="775">
        <f t="shared" si="14"/>
        <v>100</v>
      </c>
      <c r="X39" s="1813"/>
      <c r="Y39" s="3241"/>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47" t="s">
        <v>2648</v>
      </c>
      <c r="AC4" s="3246" t="s">
        <v>2649</v>
      </c>
    </row>
    <row r="5" spans="1:29" ht="15">
      <c r="A5" s="404"/>
      <c r="B5" s="405"/>
      <c r="C5" s="3268" t="s">
        <v>2542</v>
      </c>
      <c r="D5" s="3269"/>
      <c r="E5" s="3275" t="s">
        <v>2543</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47"/>
      <c r="AC5" s="3247"/>
    </row>
    <row r="6" spans="1:29" ht="15.75" thickBot="1">
      <c r="A6" s="406"/>
      <c r="B6" s="407"/>
      <c r="C6" s="3266" t="s">
        <v>2546</v>
      </c>
      <c r="D6" s="3267"/>
      <c r="E6" s="3273" t="s">
        <v>2546</v>
      </c>
      <c r="F6" s="3274"/>
      <c r="G6" s="3266" t="s">
        <v>2546</v>
      </c>
      <c r="H6" s="3267"/>
      <c r="I6" s="3266" t="s">
        <v>2546</v>
      </c>
      <c r="J6" s="3267"/>
      <c r="K6" s="610" t="s">
        <v>2547</v>
      </c>
      <c r="L6" s="1130"/>
      <c r="M6" s="1131"/>
      <c r="N6" s="1131"/>
      <c r="O6" s="1131"/>
      <c r="P6" s="3257"/>
      <c r="Q6" s="3258"/>
      <c r="R6" s="3261"/>
      <c r="S6" s="3262"/>
      <c r="T6" s="3263"/>
      <c r="U6" s="3264"/>
      <c r="V6" s="3265"/>
      <c r="W6" s="3265"/>
      <c r="X6" s="1813"/>
      <c r="Y6" s="3263"/>
      <c r="Z6" s="3264"/>
      <c r="AA6" s="3248"/>
      <c r="AB6" s="3248"/>
      <c r="AC6" s="3248"/>
    </row>
    <row r="7" spans="1:29" s="117" customFormat="1" ht="15.75" thickBot="1">
      <c r="A7" s="408" t="s">
        <v>2548</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0" t="s">
        <v>2549</v>
      </c>
      <c r="Q7" s="3272"/>
      <c r="R7" s="770" t="s">
        <v>17</v>
      </c>
      <c r="S7" s="771">
        <f t="shared" ref="S7:S14" si="0">F7</f>
        <v>0</v>
      </c>
      <c r="T7" s="770" t="s">
        <v>17</v>
      </c>
      <c r="U7" s="771">
        <f t="shared" ref="U7:U14" si="1">H7</f>
        <v>0</v>
      </c>
      <c r="V7" s="770" t="s">
        <v>17</v>
      </c>
      <c r="W7" s="771">
        <f t="shared" ref="W7:W14" si="2">J7</f>
        <v>0</v>
      </c>
      <c r="X7" s="772"/>
      <c r="Y7" s="3270" t="s">
        <v>2549</v>
      </c>
      <c r="Z7" s="327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2555</v>
      </c>
      <c r="Q9" s="1795" t="str">
        <f t="shared" ref="Q9:Q14" si="6">B9</f>
        <v>用途</v>
      </c>
      <c r="R9" s="770" t="s">
        <v>17</v>
      </c>
      <c r="S9" s="771">
        <f t="shared" si="0"/>
        <v>100</v>
      </c>
      <c r="T9" s="770" t="s">
        <v>17</v>
      </c>
      <c r="U9" s="771">
        <f t="shared" si="1"/>
        <v>100</v>
      </c>
      <c r="V9" s="770" t="s">
        <v>17</v>
      </c>
      <c r="W9" s="771">
        <f t="shared" si="2"/>
        <v>100</v>
      </c>
      <c r="X9" s="772"/>
      <c r="Y9" s="3059"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2560</v>
      </c>
      <c r="Q14" s="1810" t="str">
        <f t="shared" si="6"/>
        <v>交通便捷度</v>
      </c>
      <c r="R14" s="774" t="s">
        <v>17</v>
      </c>
      <c r="S14" s="775">
        <f t="shared" si="0"/>
        <v>100</v>
      </c>
      <c r="T14" s="774" t="s">
        <v>17</v>
      </c>
      <c r="U14" s="775">
        <f t="shared" si="1"/>
        <v>100</v>
      </c>
      <c r="V14" s="774" t="s">
        <v>17</v>
      </c>
      <c r="W14" s="775">
        <f t="shared" si="2"/>
        <v>100</v>
      </c>
      <c r="X14" s="1813"/>
      <c r="Y14" s="3236"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7"/>
      <c r="Q15" s="1810"/>
      <c r="R15" s="774"/>
      <c r="S15" s="775"/>
      <c r="T15" s="774"/>
      <c r="U15" s="775"/>
      <c r="V15" s="774"/>
      <c r="W15" s="775"/>
      <c r="X15" s="1813"/>
      <c r="Y15" s="3237"/>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7"/>
      <c r="Q17" s="1810"/>
      <c r="R17" s="774"/>
      <c r="S17" s="775"/>
      <c r="T17" s="774"/>
      <c r="U17" s="775"/>
      <c r="V17" s="774"/>
      <c r="W17" s="775"/>
      <c r="X17" s="1813"/>
      <c r="Y17" s="3237"/>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7"/>
      <c r="Q19" s="1810"/>
      <c r="R19" s="774"/>
      <c r="S19" s="775"/>
      <c r="T19" s="774"/>
      <c r="U19" s="775"/>
      <c r="V19" s="774"/>
      <c r="W19" s="775"/>
      <c r="X19" s="1813"/>
      <c r="Y19" s="3237"/>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7"/>
      <c r="Q21" s="1810"/>
      <c r="R21" s="774"/>
      <c r="S21" s="775"/>
      <c r="T21" s="774"/>
      <c r="U21" s="775"/>
      <c r="V21" s="774"/>
      <c r="W21" s="775"/>
      <c r="X21" s="1813"/>
      <c r="Y21" s="3237"/>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10">
        <f t="shared" ref="Q24:Q36"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3"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1"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10" t="str">
        <f t="shared" si="11"/>
        <v>公共部分装修</v>
      </c>
      <c r="R28" s="774" t="s">
        <v>17</v>
      </c>
      <c r="S28" s="775">
        <f t="shared" si="12"/>
        <v>100</v>
      </c>
      <c r="T28" s="774" t="s">
        <v>17</v>
      </c>
      <c r="U28" s="775">
        <f t="shared" si="13"/>
        <v>100</v>
      </c>
      <c r="V28" s="774" t="s">
        <v>17</v>
      </c>
      <c r="W28" s="775">
        <f t="shared" si="14"/>
        <v>100</v>
      </c>
      <c r="X28" s="1813"/>
      <c r="Y28" s="3241"/>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10" t="str">
        <f t="shared" si="11"/>
        <v>成新率</v>
      </c>
      <c r="R29" s="774" t="s">
        <v>17</v>
      </c>
      <c r="S29" s="775" t="e">
        <f t="shared" si="12"/>
        <v>#N/A</v>
      </c>
      <c r="T29" s="774" t="s">
        <v>17</v>
      </c>
      <c r="U29" s="775" t="e">
        <f t="shared" si="13"/>
        <v>#N/A</v>
      </c>
      <c r="V29" s="774" t="s">
        <v>17</v>
      </c>
      <c r="W29" s="775" t="e">
        <f t="shared" si="14"/>
        <v>#N/A</v>
      </c>
      <c r="X29" s="1813"/>
      <c r="Y29" s="3241"/>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10" t="str">
        <f t="shared" si="11"/>
        <v>物业等级</v>
      </c>
      <c r="R30" s="774" t="s">
        <v>17</v>
      </c>
      <c r="S30" s="775">
        <f t="shared" si="12"/>
        <v>100</v>
      </c>
      <c r="T30" s="774" t="s">
        <v>17</v>
      </c>
      <c r="U30" s="775">
        <f t="shared" si="13"/>
        <v>100</v>
      </c>
      <c r="V30" s="774" t="s">
        <v>17</v>
      </c>
      <c r="W30" s="775">
        <f t="shared" si="14"/>
        <v>100</v>
      </c>
      <c r="X30" s="1813"/>
      <c r="Y30" s="3241"/>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5"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2565</v>
      </c>
      <c r="Q32" s="1810" t="str">
        <f t="shared" si="11"/>
        <v>车位类型</v>
      </c>
      <c r="R32" s="774" t="s">
        <v>17</v>
      </c>
      <c r="S32" s="775">
        <f t="shared" si="12"/>
        <v>100</v>
      </c>
      <c r="T32" s="774" t="s">
        <v>17</v>
      </c>
      <c r="U32" s="775">
        <f t="shared" si="13"/>
        <v>100</v>
      </c>
      <c r="V32" s="774" t="s">
        <v>17</v>
      </c>
      <c r="W32" s="775">
        <f t="shared" si="14"/>
        <v>100</v>
      </c>
      <c r="X32" s="1813"/>
      <c r="Y32" s="3241"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10" t="str">
        <f t="shared" si="11"/>
        <v>是否直接入户</v>
      </c>
      <c r="R33" s="774" t="s">
        <v>17</v>
      </c>
      <c r="S33" s="775">
        <f t="shared" si="12"/>
        <v>100</v>
      </c>
      <c r="T33" s="774" t="s">
        <v>17</v>
      </c>
      <c r="U33" s="775">
        <f t="shared" si="13"/>
        <v>100</v>
      </c>
      <c r="V33" s="774" t="s">
        <v>17</v>
      </c>
      <c r="W33" s="775">
        <f t="shared" si="14"/>
        <v>100</v>
      </c>
      <c r="X33" s="1813"/>
      <c r="Y33" s="324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10">
        <f t="shared" si="11"/>
        <v>111</v>
      </c>
      <c r="R36" s="774" t="s">
        <v>17</v>
      </c>
      <c r="S36" s="775">
        <f t="shared" si="12"/>
        <v>100</v>
      </c>
      <c r="T36" s="774" t="s">
        <v>17</v>
      </c>
      <c r="U36" s="775">
        <f t="shared" si="13"/>
        <v>100</v>
      </c>
      <c r="V36" s="774" t="s">
        <v>17</v>
      </c>
      <c r="W36" s="775">
        <f t="shared" si="14"/>
        <v>100</v>
      </c>
      <c r="X36" s="1813"/>
      <c r="Y36" s="3241"/>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47" t="s">
        <v>2648</v>
      </c>
      <c r="AC4" s="3246" t="s">
        <v>2649</v>
      </c>
    </row>
    <row r="5" spans="1:29" ht="15">
      <c r="A5" s="404"/>
      <c r="B5" s="405"/>
      <c r="C5" s="3268" t="s">
        <v>2542</v>
      </c>
      <c r="D5" s="3269"/>
      <c r="E5" s="3275" t="s">
        <v>2543</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47"/>
      <c r="AC5" s="3247"/>
    </row>
    <row r="6" spans="1:29" ht="15.75" thickBot="1">
      <c r="A6" s="406"/>
      <c r="B6" s="407"/>
      <c r="C6" s="3266" t="s">
        <v>2546</v>
      </c>
      <c r="D6" s="3267"/>
      <c r="E6" s="3273" t="s">
        <v>2546</v>
      </c>
      <c r="F6" s="3274"/>
      <c r="G6" s="3266" t="s">
        <v>2546</v>
      </c>
      <c r="H6" s="3267"/>
      <c r="I6" s="3266" t="s">
        <v>2546</v>
      </c>
      <c r="J6" s="3267"/>
      <c r="K6" s="610" t="s">
        <v>2547</v>
      </c>
      <c r="L6" s="1130"/>
      <c r="M6" s="1131"/>
      <c r="N6" s="1131"/>
      <c r="O6" s="1131"/>
      <c r="P6" s="3257"/>
      <c r="Q6" s="3258"/>
      <c r="R6" s="3261"/>
      <c r="S6" s="3262"/>
      <c r="T6" s="3263"/>
      <c r="U6" s="3264"/>
      <c r="V6" s="3265"/>
      <c r="W6" s="3265"/>
      <c r="X6" s="1813"/>
      <c r="Y6" s="3263"/>
      <c r="Z6" s="3264"/>
      <c r="AA6" s="3248"/>
      <c r="AB6" s="3248"/>
      <c r="AC6" s="3248"/>
    </row>
    <row r="7" spans="1:29" s="117" customFormat="1" ht="15.75" thickBot="1">
      <c r="A7" s="408" t="s">
        <v>2548</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70" t="s">
        <v>2549</v>
      </c>
      <c r="Q7" s="3272"/>
      <c r="R7" s="770" t="s">
        <v>17</v>
      </c>
      <c r="S7" s="771">
        <f t="shared" ref="S7:S14" si="0">F7</f>
        <v>0</v>
      </c>
      <c r="T7" s="770" t="s">
        <v>17</v>
      </c>
      <c r="U7" s="771">
        <f t="shared" ref="U7:U14" si="1">H7</f>
        <v>0</v>
      </c>
      <c r="V7" s="770" t="s">
        <v>17</v>
      </c>
      <c r="W7" s="771">
        <f t="shared" ref="W7:W14" si="2">J7</f>
        <v>0</v>
      </c>
      <c r="X7" s="772"/>
      <c r="Y7" s="3270" t="s">
        <v>2549</v>
      </c>
      <c r="Z7" s="327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2555</v>
      </c>
      <c r="Q9" s="1795" t="str">
        <f t="shared" ref="Q9:Q14" si="6">B9</f>
        <v>用途</v>
      </c>
      <c r="R9" s="770" t="s">
        <v>17</v>
      </c>
      <c r="S9" s="771">
        <f t="shared" si="0"/>
        <v>100</v>
      </c>
      <c r="T9" s="770" t="s">
        <v>17</v>
      </c>
      <c r="U9" s="771">
        <f t="shared" si="1"/>
        <v>100</v>
      </c>
      <c r="V9" s="770" t="s">
        <v>17</v>
      </c>
      <c r="W9" s="771">
        <f t="shared" si="2"/>
        <v>100</v>
      </c>
      <c r="X9" s="772"/>
      <c r="Y9" s="3059"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2560</v>
      </c>
      <c r="Q14" s="1810" t="str">
        <f t="shared" si="6"/>
        <v>交通便捷度</v>
      </c>
      <c r="R14" s="774" t="s">
        <v>17</v>
      </c>
      <c r="S14" s="775">
        <f t="shared" si="0"/>
        <v>100</v>
      </c>
      <c r="T14" s="774" t="s">
        <v>17</v>
      </c>
      <c r="U14" s="775">
        <f t="shared" si="1"/>
        <v>100</v>
      </c>
      <c r="V14" s="774" t="s">
        <v>17</v>
      </c>
      <c r="W14" s="775">
        <f t="shared" si="2"/>
        <v>100</v>
      </c>
      <c r="X14" s="1813"/>
      <c r="Y14" s="3236"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7"/>
      <c r="Q15" s="1810"/>
      <c r="R15" s="774"/>
      <c r="S15" s="775"/>
      <c r="T15" s="774"/>
      <c r="U15" s="775"/>
      <c r="V15" s="774"/>
      <c r="W15" s="775"/>
      <c r="X15" s="1813"/>
      <c r="Y15" s="3237"/>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7"/>
      <c r="Q17" s="1810"/>
      <c r="R17" s="774"/>
      <c r="S17" s="775"/>
      <c r="T17" s="774"/>
      <c r="U17" s="775"/>
      <c r="V17" s="774"/>
      <c r="W17" s="775"/>
      <c r="X17" s="1813"/>
      <c r="Y17" s="3237"/>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7"/>
      <c r="Q19" s="1810"/>
      <c r="R19" s="774"/>
      <c r="S19" s="775"/>
      <c r="T19" s="774"/>
      <c r="U19" s="775"/>
      <c r="V19" s="774"/>
      <c r="W19" s="775"/>
      <c r="X19" s="1813"/>
      <c r="Y19" s="3237"/>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7"/>
      <c r="Q21" s="1810"/>
      <c r="R21" s="774"/>
      <c r="S21" s="775"/>
      <c r="T21" s="774"/>
      <c r="U21" s="775"/>
      <c r="V21" s="774"/>
      <c r="W21" s="775"/>
      <c r="X21" s="1813"/>
      <c r="Y21" s="3237"/>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10">
        <f t="shared" ref="Q24:Q34"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3"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1"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10" t="str">
        <f t="shared" si="11"/>
        <v>物业等级</v>
      </c>
      <c r="R28" s="774" t="s">
        <v>17</v>
      </c>
      <c r="S28" s="775">
        <f t="shared" si="12"/>
        <v>100</v>
      </c>
      <c r="T28" s="774" t="s">
        <v>17</v>
      </c>
      <c r="U28" s="775">
        <f t="shared" si="13"/>
        <v>100</v>
      </c>
      <c r="V28" s="774" t="s">
        <v>17</v>
      </c>
      <c r="W28" s="775">
        <f t="shared" si="14"/>
        <v>100</v>
      </c>
      <c r="X28" s="1813"/>
      <c r="Y28" s="3241"/>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10" t="str">
        <f t="shared" si="11"/>
        <v>有无电梯</v>
      </c>
      <c r="R29" s="774" t="s">
        <v>17</v>
      </c>
      <c r="S29" s="775">
        <f t="shared" si="12"/>
        <v>100</v>
      </c>
      <c r="T29" s="774" t="s">
        <v>17</v>
      </c>
      <c r="U29" s="775">
        <f t="shared" si="13"/>
        <v>100</v>
      </c>
      <c r="V29" s="774" t="s">
        <v>17</v>
      </c>
      <c r="W29" s="775">
        <f t="shared" si="14"/>
        <v>100</v>
      </c>
      <c r="X29" s="1813"/>
      <c r="Y29" s="3241"/>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10" t="str">
        <f t="shared" si="11"/>
        <v>建筑面积</v>
      </c>
      <c r="R30" s="774" t="s">
        <v>17</v>
      </c>
      <c r="S30" s="775" t="e">
        <f t="shared" si="12"/>
        <v>#N/A</v>
      </c>
      <c r="T30" s="774" t="s">
        <v>17</v>
      </c>
      <c r="U30" s="775" t="e">
        <f t="shared" si="13"/>
        <v>#N/A</v>
      </c>
      <c r="V30" s="774" t="s">
        <v>17</v>
      </c>
      <c r="W30" s="775" t="e">
        <f t="shared" si="14"/>
        <v>#N/A</v>
      </c>
      <c r="X30" s="1813"/>
      <c r="Y30" s="3241"/>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5"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2565</v>
      </c>
      <c r="Q32" s="1810">
        <f t="shared" si="11"/>
        <v>111</v>
      </c>
      <c r="R32" s="774" t="s">
        <v>17</v>
      </c>
      <c r="S32" s="775">
        <f t="shared" si="12"/>
        <v>100</v>
      </c>
      <c r="T32" s="774" t="s">
        <v>17</v>
      </c>
      <c r="U32" s="775">
        <f t="shared" si="13"/>
        <v>100</v>
      </c>
      <c r="V32" s="774" t="s">
        <v>17</v>
      </c>
      <c r="W32" s="775">
        <f t="shared" si="14"/>
        <v>100</v>
      </c>
      <c r="X32" s="1813"/>
      <c r="Y32" s="3241"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10">
        <f t="shared" si="11"/>
        <v>111</v>
      </c>
      <c r="R33" s="774" t="s">
        <v>17</v>
      </c>
      <c r="S33" s="775">
        <f t="shared" si="12"/>
        <v>100</v>
      </c>
      <c r="T33" s="774" t="s">
        <v>17</v>
      </c>
      <c r="U33" s="775">
        <f t="shared" si="13"/>
        <v>100</v>
      </c>
      <c r="V33" s="774" t="s">
        <v>17</v>
      </c>
      <c r="W33" s="775">
        <f t="shared" si="14"/>
        <v>100</v>
      </c>
      <c r="X33" s="1813"/>
      <c r="Y33" s="3241"/>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47" t="s">
        <v>2648</v>
      </c>
      <c r="AC4" s="3246" t="s">
        <v>2649</v>
      </c>
    </row>
    <row r="5" spans="1:30" ht="15">
      <c r="A5" s="404"/>
      <c r="B5" s="405"/>
      <c r="C5" s="3268" t="s">
        <v>2542</v>
      </c>
      <c r="D5" s="3269"/>
      <c r="E5" s="3275" t="s">
        <v>2543</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47"/>
      <c r="AC5" s="3247"/>
    </row>
    <row r="6" spans="1:30" ht="15.75" thickBot="1">
      <c r="A6" s="406"/>
      <c r="B6" s="407"/>
      <c r="C6" s="3266" t="s">
        <v>2546</v>
      </c>
      <c r="D6" s="3267"/>
      <c r="E6" s="3273" t="s">
        <v>2546</v>
      </c>
      <c r="F6" s="3274"/>
      <c r="G6" s="3266" t="s">
        <v>2546</v>
      </c>
      <c r="H6" s="3267"/>
      <c r="I6" s="3266" t="s">
        <v>2546</v>
      </c>
      <c r="J6" s="3267"/>
      <c r="K6" s="610" t="s">
        <v>2547</v>
      </c>
      <c r="L6" s="1130"/>
      <c r="M6" s="1131"/>
      <c r="N6" s="1131"/>
      <c r="O6" s="1131"/>
      <c r="P6" s="3257"/>
      <c r="Q6" s="3258"/>
      <c r="R6" s="3261"/>
      <c r="S6" s="3262"/>
      <c r="T6" s="3263"/>
      <c r="U6" s="3264"/>
      <c r="V6" s="3265"/>
      <c r="W6" s="3265"/>
      <c r="X6" s="1813"/>
      <c r="Y6" s="3263"/>
      <c r="Z6" s="3264"/>
      <c r="AA6" s="3248"/>
      <c r="AB6" s="3248"/>
      <c r="AC6" s="3248"/>
    </row>
    <row r="7" spans="1:30" s="117" customFormat="1" ht="15.75" thickBot="1">
      <c r="A7" s="408" t="s">
        <v>2548</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70" t="s">
        <v>2549</v>
      </c>
      <c r="Q7" s="3272"/>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4"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34"/>
      <c r="Q10" s="1795" t="str">
        <f t="shared" si="6"/>
        <v>土地使用年限（年）</v>
      </c>
      <c r="R10" s="770" t="s">
        <v>17</v>
      </c>
      <c r="S10" s="771">
        <f t="shared" si="0"/>
        <v>109</v>
      </c>
      <c r="T10" s="770" t="s">
        <v>17</v>
      </c>
      <c r="U10" s="771">
        <f t="shared" si="1"/>
        <v>109</v>
      </c>
      <c r="V10" s="770" t="s">
        <v>17</v>
      </c>
      <c r="W10" s="771">
        <f t="shared" si="2"/>
        <v>109</v>
      </c>
      <c r="X10" s="772"/>
      <c r="Y10" s="3059"/>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2559</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6" t="s">
        <v>2560</v>
      </c>
      <c r="Q15" s="1810" t="str">
        <f t="shared" si="6"/>
        <v>居住社区成熟度</v>
      </c>
      <c r="R15" s="774" t="s">
        <v>17</v>
      </c>
      <c r="S15" s="775">
        <f t="shared" si="0"/>
        <v>100</v>
      </c>
      <c r="T15" s="774" t="s">
        <v>17</v>
      </c>
      <c r="U15" s="775">
        <f t="shared" si="1"/>
        <v>100</v>
      </c>
      <c r="V15" s="774" t="s">
        <v>17</v>
      </c>
      <c r="W15" s="775">
        <f t="shared" si="2"/>
        <v>100</v>
      </c>
      <c r="X15" s="1813"/>
      <c r="Y15" s="3236"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7"/>
      <c r="Q17" s="1810" t="str">
        <f>B17</f>
        <v>商业繁华度</v>
      </c>
      <c r="R17" s="774" t="s">
        <v>17</v>
      </c>
      <c r="S17" s="775">
        <f>F17</f>
        <v>100</v>
      </c>
      <c r="T17" s="774" t="s">
        <v>17</v>
      </c>
      <c r="U17" s="775">
        <f>H17</f>
        <v>100</v>
      </c>
      <c r="V17" s="774" t="s">
        <v>17</v>
      </c>
      <c r="W17" s="775">
        <f>J17</f>
        <v>100</v>
      </c>
      <c r="X17" s="1813"/>
      <c r="Y17" s="3237"/>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10" t="str">
        <f>B19</f>
        <v>办公集聚程度</v>
      </c>
      <c r="R19" s="774" t="s">
        <v>17</v>
      </c>
      <c r="S19" s="775">
        <f>F19</f>
        <v>100</v>
      </c>
      <c r="T19" s="774" t="s">
        <v>17</v>
      </c>
      <c r="U19" s="775">
        <f>H19</f>
        <v>100</v>
      </c>
      <c r="V19" s="774" t="s">
        <v>17</v>
      </c>
      <c r="W19" s="775">
        <f>J19</f>
        <v>100</v>
      </c>
      <c r="X19" s="1813"/>
      <c r="Y19" s="3237"/>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7"/>
      <c r="Q20" s="1810"/>
      <c r="R20" s="774"/>
      <c r="S20" s="775"/>
      <c r="T20" s="774"/>
      <c r="U20" s="775"/>
      <c r="V20" s="774"/>
      <c r="W20" s="775"/>
      <c r="X20" s="1813"/>
      <c r="Y20" s="3237"/>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10" t="str">
        <f>B21</f>
        <v>交通便捷度</v>
      </c>
      <c r="R21" s="774" t="s">
        <v>17</v>
      </c>
      <c r="S21" s="775">
        <f>F21</f>
        <v>100</v>
      </c>
      <c r="T21" s="774" t="s">
        <v>17</v>
      </c>
      <c r="U21" s="775">
        <f>H21</f>
        <v>100</v>
      </c>
      <c r="V21" s="774" t="s">
        <v>17</v>
      </c>
      <c r="W21" s="775">
        <f>J21</f>
        <v>100</v>
      </c>
      <c r="X21" s="1813"/>
      <c r="Y21" s="3237"/>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10" t="str">
        <f t="shared" ref="Q23:Q37" si="8">B23</f>
        <v>区域土地利用方向</v>
      </c>
      <c r="R23" s="774" t="s">
        <v>17</v>
      </c>
      <c r="S23" s="775">
        <f>F23</f>
        <v>100</v>
      </c>
      <c r="T23" s="774" t="s">
        <v>17</v>
      </c>
      <c r="U23" s="775">
        <f>H23</f>
        <v>100</v>
      </c>
      <c r="V23" s="774" t="s">
        <v>17</v>
      </c>
      <c r="W23" s="775">
        <f>J23</f>
        <v>100</v>
      </c>
      <c r="X23" s="1813"/>
      <c r="Y23" s="3237"/>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7"/>
      <c r="Q24" s="1810"/>
      <c r="R24" s="774"/>
      <c r="S24" s="775"/>
      <c r="T24" s="774"/>
      <c r="U24" s="775"/>
      <c r="V24" s="774"/>
      <c r="W24" s="775"/>
      <c r="X24" s="1813"/>
      <c r="Y24" s="3237"/>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10" t="str">
        <f t="shared" si="8"/>
        <v>自然及人文环境状况</v>
      </c>
      <c r="R25" s="774" t="s">
        <v>17</v>
      </c>
      <c r="S25" s="775">
        <f>F25</f>
        <v>100</v>
      </c>
      <c r="T25" s="774" t="s">
        <v>17</v>
      </c>
      <c r="U25" s="775">
        <f>H25</f>
        <v>100</v>
      </c>
      <c r="V25" s="774" t="s">
        <v>17</v>
      </c>
      <c r="W25" s="775">
        <f>J25</f>
        <v>100</v>
      </c>
      <c r="X25" s="1813"/>
      <c r="Y25" s="3237"/>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7"/>
      <c r="Q26" s="1810"/>
      <c r="R26" s="774"/>
      <c r="S26" s="775"/>
      <c r="T26" s="774"/>
      <c r="U26" s="775"/>
      <c r="V26" s="774"/>
      <c r="W26" s="775"/>
      <c r="X26" s="1813"/>
      <c r="Y26" s="3237"/>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95" t="str">
        <f t="shared" si="8"/>
        <v>公共配套设施</v>
      </c>
      <c r="R27" s="770" t="s">
        <v>17</v>
      </c>
      <c r="S27" s="771">
        <f>F27</f>
        <v>100</v>
      </c>
      <c r="T27" s="770" t="s">
        <v>17</v>
      </c>
      <c r="U27" s="771">
        <f>H27</f>
        <v>100</v>
      </c>
      <c r="V27" s="770" t="s">
        <v>17</v>
      </c>
      <c r="W27" s="771">
        <f>J27</f>
        <v>100</v>
      </c>
      <c r="X27" s="772"/>
      <c r="Y27" s="3237"/>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7"/>
      <c r="Q28" s="1795"/>
      <c r="R28" s="770"/>
      <c r="S28" s="771"/>
      <c r="T28" s="770"/>
      <c r="U28" s="771"/>
      <c r="V28" s="770"/>
      <c r="W28" s="771"/>
      <c r="X28" s="772"/>
      <c r="Y28" s="3237"/>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95"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7"/>
      <c r="Q30" s="1795"/>
      <c r="R30" s="770"/>
      <c r="S30" s="771"/>
      <c r="T30" s="770"/>
      <c r="U30" s="771"/>
      <c r="V30" s="770"/>
      <c r="W30" s="771"/>
      <c r="X30" s="772"/>
      <c r="Y30" s="3237"/>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7"/>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10" t="str">
        <f t="shared" si="8"/>
        <v>毗邻道路的类型与等级</v>
      </c>
      <c r="R32" s="774" t="s">
        <v>17</v>
      </c>
      <c r="S32" s="775">
        <f t="shared" si="10"/>
        <v>100</v>
      </c>
      <c r="T32" s="774" t="s">
        <v>17</v>
      </c>
      <c r="U32" s="775">
        <f t="shared" si="11"/>
        <v>100</v>
      </c>
      <c r="V32" s="774" t="s">
        <v>17</v>
      </c>
      <c r="W32" s="775">
        <f t="shared" si="12"/>
        <v>100</v>
      </c>
      <c r="X32" s="1813"/>
      <c r="Y32" s="3237"/>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7"/>
      <c r="Q33" s="1810"/>
      <c r="R33" s="774"/>
      <c r="S33" s="775"/>
      <c r="T33" s="774"/>
      <c r="U33" s="775"/>
      <c r="V33" s="774"/>
      <c r="W33" s="775"/>
      <c r="X33" s="1813"/>
      <c r="Y33" s="3237"/>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10" t="str">
        <f t="shared" si="8"/>
        <v>土地级别</v>
      </c>
      <c r="R34" s="774" t="s">
        <v>17</v>
      </c>
      <c r="S34" s="775">
        <f t="shared" si="10"/>
        <v>100</v>
      </c>
      <c r="T34" s="774" t="s">
        <v>17</v>
      </c>
      <c r="U34" s="775">
        <f t="shared" si="11"/>
        <v>100</v>
      </c>
      <c r="V34" s="774" t="s">
        <v>17</v>
      </c>
      <c r="W34" s="775">
        <f t="shared" si="12"/>
        <v>100</v>
      </c>
      <c r="X34" s="1813"/>
      <c r="Y34" s="323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10">
        <f t="shared" si="8"/>
        <v>111</v>
      </c>
      <c r="R35" s="774" t="s">
        <v>17</v>
      </c>
      <c r="S35" s="775">
        <f t="shared" si="10"/>
        <v>100</v>
      </c>
      <c r="T35" s="774" t="s">
        <v>17</v>
      </c>
      <c r="U35" s="775">
        <f t="shared" si="11"/>
        <v>100</v>
      </c>
      <c r="V35" s="774" t="s">
        <v>17</v>
      </c>
      <c r="W35" s="775">
        <f t="shared" si="12"/>
        <v>100</v>
      </c>
      <c r="X35" s="1813"/>
      <c r="Y35" s="323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3" t="s">
        <v>2565</v>
      </c>
      <c r="Q36" s="1810">
        <f t="shared" si="8"/>
        <v>111</v>
      </c>
      <c r="R36" s="774" t="s">
        <v>17</v>
      </c>
      <c r="S36" s="775">
        <f t="shared" si="10"/>
        <v>100</v>
      </c>
      <c r="T36" s="774" t="s">
        <v>17</v>
      </c>
      <c r="U36" s="775">
        <f t="shared" si="11"/>
        <v>100</v>
      </c>
      <c r="V36" s="774" t="s">
        <v>17</v>
      </c>
      <c r="W36" s="775">
        <f t="shared" si="12"/>
        <v>100</v>
      </c>
      <c r="X36" s="1813"/>
      <c r="Y36" s="3241"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10">
        <f t="shared" si="8"/>
        <v>111</v>
      </c>
      <c r="R37" s="777" t="s">
        <v>17</v>
      </c>
      <c r="S37" s="778">
        <f t="shared" si="10"/>
        <v>100</v>
      </c>
      <c r="T37" s="777" t="s">
        <v>17</v>
      </c>
      <c r="U37" s="778">
        <f t="shared" si="11"/>
        <v>100</v>
      </c>
      <c r="V37" s="777" t="s">
        <v>17</v>
      </c>
      <c r="W37" s="778">
        <f t="shared" si="12"/>
        <v>100</v>
      </c>
      <c r="X37" s="779"/>
      <c r="Y37" s="3241"/>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1"/>
      <c r="Q38" s="1810" t="str">
        <f>B38</f>
        <v>宗地面积</v>
      </c>
      <c r="R38" s="774" t="s">
        <v>17</v>
      </c>
      <c r="S38" s="775" t="e">
        <f t="shared" si="10"/>
        <v>#N/A</v>
      </c>
      <c r="T38" s="774" t="s">
        <v>17</v>
      </c>
      <c r="U38" s="775" t="e">
        <f t="shared" si="11"/>
        <v>#N/A</v>
      </c>
      <c r="V38" s="774" t="s">
        <v>17</v>
      </c>
      <c r="W38" s="775" t="e">
        <f t="shared" si="12"/>
        <v>#N/A</v>
      </c>
      <c r="X38" s="1813"/>
      <c r="Y38" s="3241"/>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1"/>
      <c r="Q39" s="1810" t="str">
        <f t="shared" ref="Q39:Q45" si="14">B39</f>
        <v>宗地形状</v>
      </c>
      <c r="R39" s="774" t="s">
        <v>17</v>
      </c>
      <c r="S39" s="775">
        <f t="shared" si="10"/>
        <v>100</v>
      </c>
      <c r="T39" s="774" t="s">
        <v>17</v>
      </c>
      <c r="U39" s="775">
        <f t="shared" si="11"/>
        <v>100</v>
      </c>
      <c r="V39" s="774" t="s">
        <v>17</v>
      </c>
      <c r="W39" s="775">
        <f t="shared" si="12"/>
        <v>100</v>
      </c>
      <c r="X39" s="1813"/>
      <c r="Y39" s="3241"/>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1"/>
      <c r="Q40" s="1810" t="str">
        <f t="shared" si="14"/>
        <v>临街宽度及深度</v>
      </c>
      <c r="R40" s="774" t="s">
        <v>17</v>
      </c>
      <c r="S40" s="775">
        <f t="shared" si="10"/>
        <v>100</v>
      </c>
      <c r="T40" s="774" t="s">
        <v>17</v>
      </c>
      <c r="U40" s="775">
        <f t="shared" si="11"/>
        <v>100</v>
      </c>
      <c r="V40" s="774" t="s">
        <v>17</v>
      </c>
      <c r="W40" s="775">
        <f t="shared" si="12"/>
        <v>100</v>
      </c>
      <c r="X40" s="1813"/>
      <c r="Y40" s="3241"/>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1"/>
      <c r="Q41" s="1810"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1" t="s">
        <v>2565</v>
      </c>
      <c r="Q42" s="1810" t="str">
        <f t="shared" si="14"/>
        <v>工程地质条件</v>
      </c>
      <c r="R42" s="774" t="s">
        <v>17</v>
      </c>
      <c r="S42" s="775">
        <f t="shared" si="10"/>
        <v>100</v>
      </c>
      <c r="T42" s="774" t="s">
        <v>17</v>
      </c>
      <c r="U42" s="775">
        <f t="shared" si="11"/>
        <v>100</v>
      </c>
      <c r="V42" s="774" t="s">
        <v>17</v>
      </c>
      <c r="W42" s="775">
        <f t="shared" si="12"/>
        <v>100</v>
      </c>
      <c r="X42" s="1813"/>
      <c r="Y42" s="3241"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10">
        <f t="shared" si="14"/>
        <v>111</v>
      </c>
      <c r="R43" s="774" t="s">
        <v>17</v>
      </c>
      <c r="S43" s="775">
        <f t="shared" si="10"/>
        <v>100</v>
      </c>
      <c r="T43" s="774" t="s">
        <v>17</v>
      </c>
      <c r="U43" s="775">
        <f t="shared" si="11"/>
        <v>100</v>
      </c>
      <c r="V43" s="774" t="s">
        <v>17</v>
      </c>
      <c r="W43" s="775">
        <f t="shared" si="12"/>
        <v>100</v>
      </c>
      <c r="X43" s="1813"/>
      <c r="Y43" s="324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10">
        <f t="shared" si="14"/>
        <v>111</v>
      </c>
      <c r="R44" s="774" t="s">
        <v>17</v>
      </c>
      <c r="S44" s="775">
        <f t="shared" si="10"/>
        <v>100</v>
      </c>
      <c r="T44" s="774" t="s">
        <v>17</v>
      </c>
      <c r="U44" s="775">
        <f t="shared" si="11"/>
        <v>100</v>
      </c>
      <c r="V44" s="774" t="s">
        <v>17</v>
      </c>
      <c r="W44" s="775">
        <f t="shared" si="12"/>
        <v>100</v>
      </c>
      <c r="X44" s="1813"/>
      <c r="Y44" s="3241"/>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10">
        <f t="shared" si="14"/>
        <v>111</v>
      </c>
      <c r="R45" s="777" t="s">
        <v>17</v>
      </c>
      <c r="S45" s="778">
        <f t="shared" si="10"/>
        <v>100</v>
      </c>
      <c r="T45" s="777" t="s">
        <v>17</v>
      </c>
      <c r="U45" s="778">
        <f t="shared" si="11"/>
        <v>100</v>
      </c>
      <c r="V45" s="777" t="s">
        <v>17</v>
      </c>
      <c r="W45" s="778">
        <f t="shared" si="12"/>
        <v>100</v>
      </c>
      <c r="X45" s="779"/>
      <c r="Y45" s="3241"/>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234" t="str">
        <f>A46</f>
        <v>成交单价</v>
      </c>
      <c r="Q46" s="3234"/>
      <c r="R46" s="3265">
        <f>E46</f>
        <v>0</v>
      </c>
      <c r="S46" s="3265"/>
      <c r="T46" s="3265">
        <f>G46</f>
        <v>0</v>
      </c>
      <c r="U46" s="3265"/>
      <c r="V46" s="3265">
        <f>I46</f>
        <v>0</v>
      </c>
      <c r="W46" s="3265"/>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31" t="str">
        <f>A48</f>
        <v>估价对象XX用房的比较价值（楼面单价，元/平方米）</v>
      </c>
      <c r="Q48" s="3232"/>
      <c r="R48" s="3295" t="e">
        <f>ROUND(AVERAGE(R47:V47),0)</f>
        <v>#DIV/0!</v>
      </c>
      <c r="S48" s="3295"/>
      <c r="T48" s="3295"/>
      <c r="U48" s="3295"/>
      <c r="V48" s="3295"/>
      <c r="W48" s="329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49" t="s">
        <v>2764</v>
      </c>
      <c r="H55" s="3296"/>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708.8</v>
      </c>
      <c r="F56" s="1103" t="e">
        <f t="shared" ref="F56:F65" si="15">ROUND(B56*E56/10000,0)</f>
        <v>#DIV/0!</v>
      </c>
      <c r="G56" s="3245"/>
      <c r="H56" s="323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9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9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9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9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708.8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2783</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59" t="s">
        <v>2647</v>
      </c>
      <c r="S4" s="3260"/>
      <c r="T4" s="3259" t="s">
        <v>2648</v>
      </c>
      <c r="U4" s="3260"/>
      <c r="V4" s="3265" t="s">
        <v>2649</v>
      </c>
      <c r="W4" s="3265"/>
      <c r="X4" s="1813"/>
      <c r="Y4" s="3259" t="s">
        <v>2651</v>
      </c>
      <c r="Z4" s="3260"/>
      <c r="AA4" s="3246" t="s">
        <v>2647</v>
      </c>
      <c r="AB4" s="3247" t="s">
        <v>2648</v>
      </c>
      <c r="AC4" s="3246" t="s">
        <v>2649</v>
      </c>
    </row>
    <row r="5" spans="1:29" ht="15">
      <c r="A5" s="404"/>
      <c r="B5" s="405"/>
      <c r="C5" s="3268" t="s">
        <v>2542</v>
      </c>
      <c r="D5" s="3269"/>
      <c r="E5" s="3275" t="s">
        <v>2543</v>
      </c>
      <c r="F5" s="3276"/>
      <c r="G5" s="3268" t="s">
        <v>2544</v>
      </c>
      <c r="H5" s="3269"/>
      <c r="I5" s="3268" t="s">
        <v>2545</v>
      </c>
      <c r="J5" s="3269"/>
      <c r="K5" s="610"/>
      <c r="L5" s="1130"/>
      <c r="M5" s="1131"/>
      <c r="N5" s="1131"/>
      <c r="O5" s="1131"/>
      <c r="P5" s="3255"/>
      <c r="Q5" s="3256"/>
      <c r="R5" s="3261"/>
      <c r="S5" s="3262"/>
      <c r="T5" s="3261"/>
      <c r="U5" s="3262"/>
      <c r="V5" s="3265"/>
      <c r="W5" s="3265"/>
      <c r="X5" s="1813"/>
      <c r="Y5" s="3261"/>
      <c r="Z5" s="3262"/>
      <c r="AA5" s="3247"/>
      <c r="AB5" s="3247"/>
      <c r="AC5" s="3247"/>
    </row>
    <row r="6" spans="1:29" ht="15.75" thickBot="1">
      <c r="A6" s="406"/>
      <c r="B6" s="407"/>
      <c r="C6" s="3298" t="s">
        <v>2797</v>
      </c>
      <c r="D6" s="3299"/>
      <c r="E6" s="3300" t="s">
        <v>2797</v>
      </c>
      <c r="F6" s="3301"/>
      <c r="G6" s="3298" t="s">
        <v>2797</v>
      </c>
      <c r="H6" s="3299"/>
      <c r="I6" s="3298" t="s">
        <v>2797</v>
      </c>
      <c r="J6" s="3299"/>
      <c r="K6" s="610" t="s">
        <v>2547</v>
      </c>
      <c r="L6" s="1130"/>
      <c r="M6" s="1131"/>
      <c r="N6" s="1131"/>
      <c r="O6" s="1131"/>
      <c r="P6" s="3257"/>
      <c r="Q6" s="3258"/>
      <c r="R6" s="3261"/>
      <c r="S6" s="3262"/>
      <c r="T6" s="3263"/>
      <c r="U6" s="3264"/>
      <c r="V6" s="3265"/>
      <c r="W6" s="3265"/>
      <c r="X6" s="1813"/>
      <c r="Y6" s="3263"/>
      <c r="Z6" s="3264"/>
      <c r="AA6" s="3248"/>
      <c r="AB6" s="3248"/>
      <c r="AC6" s="3248"/>
    </row>
    <row r="7" spans="1:29" s="117" customFormat="1" ht="15.75" thickBot="1">
      <c r="A7" s="408" t="s">
        <v>2548</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70" t="s">
        <v>2549</v>
      </c>
      <c r="Q7" s="3272"/>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4" t="s">
        <v>2555</v>
      </c>
      <c r="Q9" s="1795" t="str">
        <f t="shared" ref="Q9:Q15" si="6">B9</f>
        <v>用途</v>
      </c>
      <c r="R9" s="770" t="s">
        <v>17</v>
      </c>
      <c r="S9" s="771">
        <f t="shared" si="0"/>
        <v>100</v>
      </c>
      <c r="T9" s="770" t="s">
        <v>17</v>
      </c>
      <c r="U9" s="771">
        <f t="shared" si="1"/>
        <v>100</v>
      </c>
      <c r="V9" s="770" t="s">
        <v>17</v>
      </c>
      <c r="W9" s="771">
        <f t="shared" si="2"/>
        <v>100</v>
      </c>
      <c r="X9" s="772"/>
      <c r="Y9" s="3059"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34"/>
      <c r="Q10" s="1795" t="str">
        <f t="shared" si="6"/>
        <v>土地使用年限（年）</v>
      </c>
      <c r="R10" s="770" t="s">
        <v>17</v>
      </c>
      <c r="S10" s="771">
        <f t="shared" si="0"/>
        <v>109</v>
      </c>
      <c r="T10" s="770" t="s">
        <v>17</v>
      </c>
      <c r="U10" s="771">
        <f t="shared" si="1"/>
        <v>109</v>
      </c>
      <c r="V10" s="770" t="s">
        <v>17</v>
      </c>
      <c r="W10" s="771">
        <f t="shared" si="2"/>
        <v>109</v>
      </c>
      <c r="X10" s="772"/>
      <c r="Y10" s="3059"/>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2560</v>
      </c>
      <c r="Q15" s="1810" t="str">
        <f t="shared" si="6"/>
        <v>产业集聚程度</v>
      </c>
      <c r="R15" s="774" t="s">
        <v>17</v>
      </c>
      <c r="S15" s="775">
        <f t="shared" si="0"/>
        <v>100</v>
      </c>
      <c r="T15" s="774" t="s">
        <v>17</v>
      </c>
      <c r="U15" s="775">
        <f t="shared" si="1"/>
        <v>100</v>
      </c>
      <c r="V15" s="774" t="s">
        <v>17</v>
      </c>
      <c r="W15" s="775">
        <f t="shared" si="2"/>
        <v>100</v>
      </c>
      <c r="X15" s="1813"/>
      <c r="Y15" s="3236"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10" t="str">
        <f t="shared" ref="Q19:Q33" si="8">B19</f>
        <v>区域土地利用方向</v>
      </c>
      <c r="R19" s="774" t="s">
        <v>17</v>
      </c>
      <c r="S19" s="775">
        <f>F19</f>
        <v>100</v>
      </c>
      <c r="T19" s="774" t="s">
        <v>17</v>
      </c>
      <c r="U19" s="775">
        <f>H19</f>
        <v>100</v>
      </c>
      <c r="V19" s="774" t="s">
        <v>17</v>
      </c>
      <c r="W19" s="775">
        <f>J19</f>
        <v>100</v>
      </c>
      <c r="X19" s="1813"/>
      <c r="Y19" s="3237"/>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7"/>
      <c r="Q20" s="1810"/>
      <c r="R20" s="774"/>
      <c r="S20" s="775"/>
      <c r="T20" s="774"/>
      <c r="U20" s="775"/>
      <c r="V20" s="774"/>
      <c r="W20" s="775"/>
      <c r="X20" s="1813"/>
      <c r="Y20" s="3237"/>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10" t="str">
        <f t="shared" si="8"/>
        <v>环境状况</v>
      </c>
      <c r="R21" s="774" t="s">
        <v>17</v>
      </c>
      <c r="S21" s="775">
        <f>F21</f>
        <v>100</v>
      </c>
      <c r="T21" s="774" t="s">
        <v>17</v>
      </c>
      <c r="U21" s="775">
        <f>H21</f>
        <v>100</v>
      </c>
      <c r="V21" s="774" t="s">
        <v>17</v>
      </c>
      <c r="W21" s="775">
        <f>J21</f>
        <v>100</v>
      </c>
      <c r="X21" s="1813"/>
      <c r="Y21" s="3237"/>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95" t="str">
        <f t="shared" si="8"/>
        <v>公共配套设施</v>
      </c>
      <c r="R23" s="770" t="s">
        <v>17</v>
      </c>
      <c r="S23" s="771">
        <f>F23</f>
        <v>100</v>
      </c>
      <c r="T23" s="770" t="s">
        <v>17</v>
      </c>
      <c r="U23" s="771">
        <f>H23</f>
        <v>100</v>
      </c>
      <c r="V23" s="770" t="s">
        <v>17</v>
      </c>
      <c r="W23" s="771">
        <f>J23</f>
        <v>100</v>
      </c>
      <c r="X23" s="772"/>
      <c r="Y23" s="3237"/>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7"/>
      <c r="Q24" s="1795"/>
      <c r="R24" s="770"/>
      <c r="S24" s="771"/>
      <c r="T24" s="770"/>
      <c r="U24" s="771"/>
      <c r="V24" s="770"/>
      <c r="W24" s="771"/>
      <c r="X24" s="772"/>
      <c r="Y24" s="3237"/>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95"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7"/>
      <c r="Q26" s="1795"/>
      <c r="R26" s="770"/>
      <c r="S26" s="771"/>
      <c r="T26" s="770"/>
      <c r="U26" s="771"/>
      <c r="V26" s="770"/>
      <c r="W26" s="771"/>
      <c r="X26" s="772"/>
      <c r="Y26" s="323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7"/>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10" t="str">
        <f t="shared" si="8"/>
        <v>毗邻道路的类型与等级</v>
      </c>
      <c r="R28" s="774" t="s">
        <v>17</v>
      </c>
      <c r="S28" s="775">
        <f t="shared" si="10"/>
        <v>100</v>
      </c>
      <c r="T28" s="774" t="s">
        <v>17</v>
      </c>
      <c r="U28" s="775">
        <f t="shared" si="11"/>
        <v>100</v>
      </c>
      <c r="V28" s="774" t="s">
        <v>17</v>
      </c>
      <c r="W28" s="775">
        <f t="shared" si="12"/>
        <v>100</v>
      </c>
      <c r="X28" s="1813"/>
      <c r="Y28" s="3237"/>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7"/>
      <c r="Q29" s="1810"/>
      <c r="R29" s="774"/>
      <c r="S29" s="775"/>
      <c r="T29" s="774"/>
      <c r="U29" s="775"/>
      <c r="V29" s="774"/>
      <c r="W29" s="775"/>
      <c r="X29" s="1813"/>
      <c r="Y29" s="3237"/>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10" t="str">
        <f t="shared" si="8"/>
        <v>土地级别</v>
      </c>
      <c r="R30" s="774" t="s">
        <v>17</v>
      </c>
      <c r="S30" s="775">
        <f t="shared" si="10"/>
        <v>100</v>
      </c>
      <c r="T30" s="774" t="s">
        <v>17</v>
      </c>
      <c r="U30" s="775">
        <f t="shared" si="11"/>
        <v>100</v>
      </c>
      <c r="V30" s="774" t="s">
        <v>17</v>
      </c>
      <c r="W30" s="775">
        <f t="shared" si="12"/>
        <v>100</v>
      </c>
      <c r="X30" s="1813"/>
      <c r="Y30" s="3237"/>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10">
        <f t="shared" si="8"/>
        <v>111</v>
      </c>
      <c r="R31" s="774" t="s">
        <v>17</v>
      </c>
      <c r="S31" s="775">
        <f t="shared" si="10"/>
        <v>100</v>
      </c>
      <c r="T31" s="774" t="s">
        <v>17</v>
      </c>
      <c r="U31" s="775">
        <f t="shared" si="11"/>
        <v>100</v>
      </c>
      <c r="V31" s="774" t="s">
        <v>17</v>
      </c>
      <c r="W31" s="775">
        <f t="shared" si="12"/>
        <v>100</v>
      </c>
      <c r="X31" s="1813"/>
      <c r="Y31" s="3237"/>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3" t="s">
        <v>2565</v>
      </c>
      <c r="Q32" s="1810">
        <f t="shared" si="8"/>
        <v>111</v>
      </c>
      <c r="R32" s="774" t="s">
        <v>17</v>
      </c>
      <c r="S32" s="775">
        <f t="shared" si="10"/>
        <v>100</v>
      </c>
      <c r="T32" s="774" t="s">
        <v>17</v>
      </c>
      <c r="U32" s="775">
        <f t="shared" si="11"/>
        <v>100</v>
      </c>
      <c r="V32" s="774" t="s">
        <v>17</v>
      </c>
      <c r="W32" s="775">
        <f t="shared" si="12"/>
        <v>100</v>
      </c>
      <c r="X32" s="1813"/>
      <c r="Y32" s="3241"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10">
        <f t="shared" si="8"/>
        <v>111</v>
      </c>
      <c r="R33" s="777" t="s">
        <v>17</v>
      </c>
      <c r="S33" s="778">
        <f t="shared" si="10"/>
        <v>100</v>
      </c>
      <c r="T33" s="777" t="s">
        <v>17</v>
      </c>
      <c r="U33" s="778">
        <f t="shared" si="11"/>
        <v>100</v>
      </c>
      <c r="V33" s="777" t="s">
        <v>17</v>
      </c>
      <c r="W33" s="778">
        <f t="shared" si="12"/>
        <v>100</v>
      </c>
      <c r="X33" s="779"/>
      <c r="Y33" s="3241"/>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10" t="str">
        <f>B34</f>
        <v>宗地面积</v>
      </c>
      <c r="R34" s="774" t="s">
        <v>17</v>
      </c>
      <c r="S34" s="775" t="e">
        <f t="shared" si="10"/>
        <v>#N/A</v>
      </c>
      <c r="T34" s="774" t="s">
        <v>17</v>
      </c>
      <c r="U34" s="775" t="e">
        <f t="shared" si="11"/>
        <v>#N/A</v>
      </c>
      <c r="V34" s="774" t="s">
        <v>17</v>
      </c>
      <c r="W34" s="775" t="e">
        <f t="shared" si="12"/>
        <v>#N/A</v>
      </c>
      <c r="X34" s="1813"/>
      <c r="Y34" s="3241"/>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1"/>
      <c r="Q35" s="1810" t="str">
        <f t="shared" ref="Q35:Q40" si="14">B35</f>
        <v>宗地形状</v>
      </c>
      <c r="R35" s="774" t="s">
        <v>17</v>
      </c>
      <c r="S35" s="775">
        <f t="shared" si="10"/>
        <v>100</v>
      </c>
      <c r="T35" s="774" t="s">
        <v>17</v>
      </c>
      <c r="U35" s="775">
        <f t="shared" si="11"/>
        <v>100</v>
      </c>
      <c r="V35" s="774" t="s">
        <v>17</v>
      </c>
      <c r="W35" s="775">
        <f t="shared" si="12"/>
        <v>100</v>
      </c>
      <c r="X35" s="1813"/>
      <c r="Y35" s="3241"/>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1"/>
      <c r="Q36" s="1810"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1" t="s">
        <v>2565</v>
      </c>
      <c r="Q37" s="1810" t="str">
        <f t="shared" si="14"/>
        <v>工程地质条件</v>
      </c>
      <c r="R37" s="774" t="s">
        <v>17</v>
      </c>
      <c r="S37" s="775">
        <f t="shared" si="10"/>
        <v>100</v>
      </c>
      <c r="T37" s="774" t="s">
        <v>17</v>
      </c>
      <c r="U37" s="775">
        <f t="shared" si="11"/>
        <v>100</v>
      </c>
      <c r="V37" s="774" t="s">
        <v>17</v>
      </c>
      <c r="W37" s="775">
        <f t="shared" si="12"/>
        <v>100</v>
      </c>
      <c r="X37" s="1813"/>
      <c r="Y37" s="3241"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10">
        <f t="shared" si="14"/>
        <v>111</v>
      </c>
      <c r="R38" s="774" t="s">
        <v>17</v>
      </c>
      <c r="S38" s="775">
        <f t="shared" si="10"/>
        <v>100</v>
      </c>
      <c r="T38" s="774" t="s">
        <v>17</v>
      </c>
      <c r="U38" s="775">
        <f t="shared" si="11"/>
        <v>100</v>
      </c>
      <c r="V38" s="774" t="s">
        <v>17</v>
      </c>
      <c r="W38" s="775">
        <f t="shared" si="12"/>
        <v>100</v>
      </c>
      <c r="X38" s="1813"/>
      <c r="Y38" s="324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10">
        <f t="shared" si="14"/>
        <v>111</v>
      </c>
      <c r="R39" s="774" t="s">
        <v>17</v>
      </c>
      <c r="S39" s="775">
        <f t="shared" si="10"/>
        <v>100</v>
      </c>
      <c r="T39" s="774" t="s">
        <v>17</v>
      </c>
      <c r="U39" s="775">
        <f t="shared" si="11"/>
        <v>100</v>
      </c>
      <c r="V39" s="774" t="s">
        <v>17</v>
      </c>
      <c r="W39" s="775">
        <f t="shared" si="12"/>
        <v>100</v>
      </c>
      <c r="X39" s="1813"/>
      <c r="Y39" s="3241"/>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10">
        <f t="shared" si="14"/>
        <v>111</v>
      </c>
      <c r="R40" s="777" t="s">
        <v>17</v>
      </c>
      <c r="S40" s="778">
        <f t="shared" si="10"/>
        <v>100</v>
      </c>
      <c r="T40" s="777" t="s">
        <v>17</v>
      </c>
      <c r="U40" s="778">
        <f t="shared" si="11"/>
        <v>100</v>
      </c>
      <c r="V40" s="777" t="s">
        <v>17</v>
      </c>
      <c r="W40" s="778">
        <f t="shared" si="12"/>
        <v>100</v>
      </c>
      <c r="X40" s="779"/>
      <c r="Y40" s="3241"/>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234" t="str">
        <f>A41</f>
        <v>成交单价</v>
      </c>
      <c r="Q41" s="3234"/>
      <c r="R41" s="3265">
        <f>E41</f>
        <v>0</v>
      </c>
      <c r="S41" s="3265"/>
      <c r="T41" s="3265">
        <f>G41</f>
        <v>0</v>
      </c>
      <c r="U41" s="3265"/>
      <c r="V41" s="3265">
        <f>I41</f>
        <v>0</v>
      </c>
      <c r="W41" s="326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31" t="str">
        <f>A43</f>
        <v>估价对象XX用房的比较价值（楼面单价，元/平方米）</v>
      </c>
      <c r="Q43" s="3232"/>
      <c r="R43" s="3295" t="e">
        <f>ROUND(AVERAGE(R42:V42),0)</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49" t="s">
        <v>2764</v>
      </c>
      <c r="H50" s="3296"/>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708.8</v>
      </c>
      <c r="F51" s="691" t="e">
        <f t="shared" ref="F51:F60" si="15">ROUND(B51*E51/10000,0)</f>
        <v>#DIV/0!</v>
      </c>
      <c r="G51" s="3245"/>
      <c r="H51" s="323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9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9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9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9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2802</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t="e">
        <f>IF(F3="宗地容积率",'数据-汇总表'!I4,IF(F3="估价对象容积率",'数据-汇总表'!I6,'数据-汇总表'!I7))</f>
        <v>#DIV/0!</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5"/>
      <c r="B4" s="3306"/>
      <c r="C4" s="3306"/>
      <c r="D4" s="3307"/>
      <c r="E4" s="3307"/>
      <c r="F4" s="3307"/>
      <c r="G4" s="3307"/>
      <c r="H4" s="3307"/>
      <c r="I4" s="3307"/>
      <c r="J4" s="3308"/>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09"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310"/>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2" t="s">
        <v>2840</v>
      </c>
      <c r="X8" s="3303"/>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10"/>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4"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0"/>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0"/>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4"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9"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4"/>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1"/>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30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1"/>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2"/>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9" t="s">
        <v>2883</v>
      </c>
      <c r="B16" s="2747" t="s">
        <v>2884</v>
      </c>
      <c r="C16" s="2934" t="e">
        <f>ROUND(IF(F17="与级别开发程度一致",0,(G17-E17)/C17),0)</f>
        <v>#DIV/0!</v>
      </c>
      <c r="D16" s="3323" t="s">
        <v>2888</v>
      </c>
      <c r="E16" s="3324"/>
      <c r="F16" s="3323" t="s">
        <v>2885</v>
      </c>
      <c r="G16" s="3324"/>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3"/>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2890</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ROUND(IF(H19="按公示增长率计算",SUMPRODUCT((地价!A3:A29=YEAR(G19)&amp;"-"&amp;ROUNDUP(MONTH(G19)/3,0))*(地价!X2:AB2=E2)*(地价!X3:AB29)),IF(H19="地价指数",M20/M19,(1+I19)^O19)),4)</f>
        <v>#VALUE!</v>
      </c>
      <c r="D19" s="2791" t="s">
        <v>2892</v>
      </c>
      <c r="E19" s="925">
        <v>41640</v>
      </c>
      <c r="F19" s="2791" t="s">
        <v>2893</v>
      </c>
      <c r="G19" s="926">
        <f>'数据-取费表'!B2</f>
        <v>43914</v>
      </c>
      <c r="H19" s="2792"/>
      <c r="I19" s="927" t="str">
        <f>IF(H19="季度增幅（自定义）",SUMIF(N21:N24,E2,O21:O24),"")</f>
        <v/>
      </c>
      <c r="J19" s="2789"/>
      <c r="K19" s="1377"/>
      <c r="L19" s="2793" t="s">
        <v>2894</v>
      </c>
      <c r="M19" s="1734">
        <f>ROUND(SUMIF(地价!B2:F2,E2,地价!B29:F29),0)</f>
        <v>0</v>
      </c>
      <c r="N19" s="2794" t="s">
        <v>2895</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2889</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ROUND(SUMPRODUCT((地价!A4:A29=YEAR(G19)&amp;"-"&amp;ROUNDUP(MONTH(G19)/3,0))*(地价!B2:F2=E2)*(地价!B4:F29)),0)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t="e">
        <f>IF(B21="容积率修正",IF(G3&lt;=10,D22,J22),C23)</f>
        <v>#DIV/0!</v>
      </c>
      <c r="D21" s="2807"/>
      <c r="E21" s="2807"/>
      <c r="F21" s="2807"/>
      <c r="G21" s="2807"/>
      <c r="H21" s="2807"/>
      <c r="I21" s="2807"/>
      <c r="J21" s="2808"/>
      <c r="K21" s="1377"/>
      <c r="N21" s="2809" t="s">
        <v>2904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20"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1"/>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1"/>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22"/>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3046</v>
      </c>
      <c r="C41" s="388" t="e">
        <f>ROUND(POWER(1+E41,H41-G41)*(POWER(1+E41,G41)-1)/(POWER(1+E41,H41)-1),4)</f>
        <v>#DIV/0!</v>
      </c>
      <c r="D41" s="200" t="s">
        <v>2889</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14" t="s">
        <v>2972</v>
      </c>
      <c r="B90" s="3314"/>
      <c r="C90" s="3314"/>
      <c r="D90" s="3314"/>
      <c r="E90" s="3314"/>
      <c r="F90" s="3314"/>
      <c r="G90" s="3314"/>
      <c r="H90" s="3314"/>
      <c r="I90" s="3314"/>
      <c r="J90" s="3314"/>
      <c r="K90" s="2886"/>
      <c r="L90" s="2886"/>
      <c r="M90" s="2886"/>
      <c r="N90" s="2886"/>
    </row>
    <row r="91" spans="1:37">
      <c r="A91" s="3316" t="s">
        <v>2973</v>
      </c>
      <c r="B91" s="3316" t="s">
        <v>2974</v>
      </c>
      <c r="C91" s="2840" t="s">
        <v>2975</v>
      </c>
      <c r="D91" s="2841"/>
      <c r="E91" s="2841"/>
      <c r="F91" s="2841"/>
      <c r="G91" s="2841"/>
      <c r="H91" s="2841"/>
      <c r="I91" s="2841"/>
      <c r="J91" s="2887"/>
      <c r="K91" s="2888"/>
      <c r="L91" s="2888"/>
      <c r="M91" s="2888"/>
      <c r="N91" s="2888"/>
    </row>
    <row r="92" spans="1:37">
      <c r="A92" s="3316"/>
      <c r="B92" s="331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17"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8"/>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7"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18"/>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18"/>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18"/>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18"/>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18"/>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18"/>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18"/>
      <c r="B108" s="3165"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9"/>
      <c r="B109" s="3166"/>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15" t="s">
        <v>2980</v>
      </c>
      <c r="B110" s="3315"/>
      <c r="C110" s="3315"/>
      <c r="D110" s="3315"/>
      <c r="E110" s="3315"/>
      <c r="F110" s="3315"/>
      <c r="G110" s="3315"/>
      <c r="H110" s="3315"/>
      <c r="I110" s="3315"/>
      <c r="J110" s="3315"/>
      <c r="K110" s="2895"/>
      <c r="L110" s="2895"/>
      <c r="M110" s="2895"/>
      <c r="N110" s="2895"/>
    </row>
    <row r="112" spans="1:14" ht="13.5" thickBot="1"/>
    <row r="113" spans="1:13" ht="25.5" thickBot="1">
      <c r="A113" s="903" t="s">
        <v>2981</v>
      </c>
      <c r="B113" s="1287" t="e">
        <f>G3</f>
        <v>#DIV/0!</v>
      </c>
      <c r="C113" s="904" t="s">
        <v>2982</v>
      </c>
      <c r="D113" s="905" t="e">
        <f>SUMPRODUCT((A115:A118=F113)*(B114:M114=H113)*B115:M118)</f>
        <v>#DIV/0!</v>
      </c>
      <c r="E113" s="2726" t="s">
        <v>2814</v>
      </c>
      <c r="F113" s="2897">
        <f>E2</f>
        <v>0</v>
      </c>
      <c r="G113" s="2726" t="s">
        <v>2815</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5" t="s">
        <v>183</v>
      </c>
      <c r="B18" s="882" t="s">
        <v>560</v>
      </c>
      <c r="C18" s="883" t="s">
        <v>561</v>
      </c>
      <c r="D18" s="884"/>
      <c r="E18" s="882">
        <v>1</v>
      </c>
      <c r="F18" s="885" t="s">
        <v>562</v>
      </c>
      <c r="G18" s="886"/>
      <c r="H18" s="878"/>
      <c r="I18" s="878"/>
    </row>
    <row r="19" spans="1:9" s="887" customFormat="1" ht="19.5" customHeight="1">
      <c r="A19" s="3325"/>
      <c r="B19" s="3325" t="s">
        <v>563</v>
      </c>
      <c r="C19" s="883" t="s">
        <v>564</v>
      </c>
      <c r="D19" s="884"/>
      <c r="E19" s="882">
        <v>0.9</v>
      </c>
      <c r="F19" s="885" t="s">
        <v>565</v>
      </c>
      <c r="G19" s="886"/>
      <c r="H19" s="878"/>
      <c r="I19" s="878"/>
    </row>
    <row r="20" spans="1:9" s="887" customFormat="1" ht="19.5" customHeight="1">
      <c r="A20" s="3325"/>
      <c r="B20" s="3325"/>
      <c r="C20" s="883" t="s">
        <v>566</v>
      </c>
      <c r="D20" s="884"/>
      <c r="E20" s="882">
        <v>1.1000000000000001</v>
      </c>
      <c r="F20" s="885" t="s">
        <v>567</v>
      </c>
      <c r="G20" s="886"/>
      <c r="H20" s="878"/>
      <c r="I20" s="878"/>
    </row>
    <row r="21" spans="1:9" s="887" customFormat="1" ht="19.5" customHeight="1">
      <c r="A21" s="3325"/>
      <c r="B21" s="3325"/>
      <c r="C21" s="883" t="s">
        <v>568</v>
      </c>
      <c r="D21" s="884"/>
      <c r="E21" s="882">
        <v>0.8</v>
      </c>
      <c r="F21" s="885" t="s">
        <v>569</v>
      </c>
      <c r="G21" s="886"/>
      <c r="H21" s="878"/>
      <c r="I21" s="878"/>
    </row>
    <row r="22" spans="1:9" s="887" customFormat="1" ht="19.5" customHeight="1">
      <c r="A22" s="3325"/>
      <c r="B22" s="3325"/>
      <c r="C22" s="883" t="s">
        <v>570</v>
      </c>
      <c r="D22" s="884"/>
      <c r="E22" s="882">
        <v>0.5</v>
      </c>
      <c r="F22" s="885"/>
      <c r="G22" s="886"/>
      <c r="H22" s="878"/>
      <c r="I22" s="878"/>
    </row>
    <row r="23" spans="1:9" s="887" customFormat="1" ht="19.5" customHeight="1">
      <c r="A23" s="3325" t="s">
        <v>184</v>
      </c>
      <c r="B23" s="882" t="s">
        <v>560</v>
      </c>
      <c r="C23" s="883" t="s">
        <v>571</v>
      </c>
      <c r="D23" s="884"/>
      <c r="E23" s="882">
        <v>1</v>
      </c>
      <c r="F23" s="885" t="s">
        <v>572</v>
      </c>
      <c r="G23" s="886"/>
      <c r="H23" s="878"/>
      <c r="I23" s="878"/>
    </row>
    <row r="24" spans="1:9" s="887" customFormat="1" ht="19.5" customHeight="1">
      <c r="A24" s="3325"/>
      <c r="B24" s="3325" t="s">
        <v>563</v>
      </c>
      <c r="C24" s="883" t="s">
        <v>573</v>
      </c>
      <c r="D24" s="884"/>
      <c r="E24" s="882">
        <v>0.5</v>
      </c>
      <c r="F24" s="885"/>
      <c r="G24" s="886"/>
      <c r="H24" s="878"/>
      <c r="I24" s="878"/>
    </row>
    <row r="25" spans="1:9" s="887" customFormat="1" ht="19.5" customHeight="1">
      <c r="A25" s="3325"/>
      <c r="B25" s="3325"/>
      <c r="C25" s="883" t="s">
        <v>574</v>
      </c>
      <c r="D25" s="884"/>
      <c r="E25" s="882">
        <v>1.1000000000000001</v>
      </c>
      <c r="F25" s="885"/>
      <c r="G25" s="886"/>
      <c r="H25" s="878"/>
      <c r="I25" s="878"/>
    </row>
    <row r="26" spans="1:9" s="887" customFormat="1" ht="19.5" customHeight="1">
      <c r="A26" s="3325"/>
      <c r="B26" s="3325"/>
      <c r="C26" s="883" t="s">
        <v>575</v>
      </c>
      <c r="D26" s="884"/>
      <c r="E26" s="882">
        <v>1.1000000000000001</v>
      </c>
      <c r="F26" s="885"/>
      <c r="G26" s="886"/>
      <c r="H26" s="878"/>
      <c r="I26" s="878"/>
    </row>
    <row r="27" spans="1:9" s="887" customFormat="1" ht="19.5" customHeight="1">
      <c r="A27" s="3325"/>
      <c r="B27" s="3325"/>
      <c r="C27" s="883" t="s">
        <v>576</v>
      </c>
      <c r="D27" s="884"/>
      <c r="E27" s="882">
        <v>0.9</v>
      </c>
      <c r="F27" s="885" t="s">
        <v>577</v>
      </c>
      <c r="G27" s="886"/>
      <c r="H27" s="878"/>
      <c r="I27" s="878"/>
    </row>
    <row r="28" spans="1:9" s="887" customFormat="1" ht="19.5" customHeight="1">
      <c r="A28" s="3325"/>
      <c r="B28" s="3325"/>
      <c r="C28" s="883" t="s">
        <v>578</v>
      </c>
      <c r="D28" s="884"/>
      <c r="E28" s="882">
        <v>0.9</v>
      </c>
      <c r="F28" s="885" t="s">
        <v>579</v>
      </c>
      <c r="G28" s="886"/>
      <c r="H28" s="878"/>
      <c r="I28" s="878"/>
    </row>
    <row r="29" spans="1:9" s="887" customFormat="1" ht="19.5" customHeight="1">
      <c r="A29" s="3325"/>
      <c r="B29" s="3325"/>
      <c r="C29" s="883" t="s">
        <v>580</v>
      </c>
      <c r="D29" s="884"/>
      <c r="E29" s="882">
        <v>0.9</v>
      </c>
      <c r="F29" s="885" t="s">
        <v>581</v>
      </c>
      <c r="G29" s="886"/>
      <c r="H29" s="878"/>
      <c r="I29" s="878"/>
    </row>
    <row r="30" spans="1:9" s="887" customFormat="1" ht="19.5" customHeight="1">
      <c r="A30" s="3325"/>
      <c r="B30" s="3325"/>
      <c r="C30" s="883" t="s">
        <v>582</v>
      </c>
      <c r="D30" s="884"/>
      <c r="E30" s="882">
        <v>0.9</v>
      </c>
      <c r="F30" s="885" t="s">
        <v>583</v>
      </c>
      <c r="G30" s="886"/>
      <c r="H30" s="878"/>
      <c r="I30" s="878"/>
    </row>
    <row r="31" spans="1:9" s="887" customFormat="1" ht="19.5" customHeight="1">
      <c r="A31" s="3325"/>
      <c r="B31" s="3325"/>
      <c r="C31" s="883" t="s">
        <v>584</v>
      </c>
      <c r="D31" s="884"/>
      <c r="E31" s="882">
        <v>0.8</v>
      </c>
      <c r="F31" s="885" t="s">
        <v>585</v>
      </c>
      <c r="G31" s="886"/>
      <c r="H31" s="878"/>
      <c r="I31" s="878"/>
    </row>
    <row r="32" spans="1:9" s="887" customFormat="1" ht="19.5" customHeight="1">
      <c r="A32" s="3325"/>
      <c r="B32" s="3325"/>
      <c r="C32" s="883" t="s">
        <v>586</v>
      </c>
      <c r="D32" s="884"/>
      <c r="E32" s="882">
        <v>0.8</v>
      </c>
      <c r="F32" s="885" t="s">
        <v>587</v>
      </c>
      <c r="G32" s="886"/>
      <c r="H32" s="878"/>
      <c r="I32" s="878"/>
    </row>
    <row r="33" spans="1:9" s="887" customFormat="1" ht="19.5" customHeight="1">
      <c r="A33" s="3325" t="s">
        <v>185</v>
      </c>
      <c r="B33" s="882" t="s">
        <v>560</v>
      </c>
      <c r="C33" s="883" t="s">
        <v>588</v>
      </c>
      <c r="D33" s="884"/>
      <c r="E33" s="882">
        <v>1</v>
      </c>
      <c r="F33" s="885" t="s">
        <v>589</v>
      </c>
      <c r="G33" s="886"/>
      <c r="H33" s="878"/>
      <c r="I33" s="878"/>
    </row>
    <row r="34" spans="1:9" s="887" customFormat="1" ht="19.5" customHeight="1">
      <c r="A34" s="3325"/>
      <c r="B34" s="882" t="s">
        <v>563</v>
      </c>
      <c r="C34" s="883" t="s">
        <v>590</v>
      </c>
      <c r="D34" s="884"/>
      <c r="E34" s="882">
        <v>1.5</v>
      </c>
      <c r="F34" s="885" t="s">
        <v>591</v>
      </c>
      <c r="G34" s="886"/>
      <c r="H34" s="878"/>
      <c r="I34" s="878"/>
    </row>
    <row r="35" spans="1:9" s="887" customFormat="1" ht="19.5" customHeight="1">
      <c r="A35" s="3325" t="s">
        <v>186</v>
      </c>
      <c r="B35" s="882" t="s">
        <v>560</v>
      </c>
      <c r="C35" s="883" t="s">
        <v>592</v>
      </c>
      <c r="D35" s="884"/>
      <c r="E35" s="882">
        <v>1</v>
      </c>
      <c r="F35" s="885" t="s">
        <v>593</v>
      </c>
      <c r="G35" s="886"/>
      <c r="H35" s="878"/>
      <c r="I35" s="878"/>
    </row>
    <row r="36" spans="1:9" s="887" customFormat="1" ht="19.5" customHeight="1">
      <c r="A36" s="3325"/>
      <c r="B36" s="3325" t="s">
        <v>563</v>
      </c>
      <c r="C36" s="883" t="s">
        <v>594</v>
      </c>
      <c r="D36" s="884"/>
      <c r="E36" s="882">
        <v>1</v>
      </c>
      <c r="F36" s="885" t="s">
        <v>595</v>
      </c>
      <c r="G36" s="886"/>
      <c r="H36" s="878"/>
      <c r="I36" s="878"/>
    </row>
    <row r="37" spans="1:9" s="887" customFormat="1" ht="19.5" customHeight="1">
      <c r="A37" s="3325"/>
      <c r="B37" s="3325"/>
      <c r="C37" s="883" t="s">
        <v>596</v>
      </c>
      <c r="D37" s="884"/>
      <c r="E37" s="882">
        <v>1.5</v>
      </c>
      <c r="F37" s="885" t="s">
        <v>597</v>
      </c>
      <c r="G37" s="886"/>
      <c r="H37" s="878"/>
      <c r="I37" s="878"/>
    </row>
    <row r="38" spans="1:9" s="887" customFormat="1" ht="19.5" customHeight="1">
      <c r="A38" s="3325"/>
      <c r="B38" s="3325"/>
      <c r="C38" s="883" t="s">
        <v>598</v>
      </c>
      <c r="D38" s="884"/>
      <c r="E38" s="882">
        <v>1</v>
      </c>
      <c r="F38" s="885" t="s">
        <v>599</v>
      </c>
      <c r="G38" s="886"/>
      <c r="H38" s="878"/>
      <c r="I38" s="878"/>
    </row>
    <row r="39" spans="1:9" s="887" customFormat="1" ht="19.5" customHeight="1">
      <c r="A39" s="3325"/>
      <c r="B39" s="332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5" t="s">
        <v>614</v>
      </c>
      <c r="C61" s="818" t="s">
        <v>615</v>
      </c>
      <c r="D61" s="818" t="s">
        <v>616</v>
      </c>
      <c r="E61" s="895">
        <v>0.5</v>
      </c>
      <c r="F61" s="882">
        <v>80</v>
      </c>
    </row>
    <row r="62" spans="1:8" s="878" customFormat="1" ht="24">
      <c r="A62" s="882">
        <v>2</v>
      </c>
      <c r="B62" s="3325"/>
      <c r="C62" s="818" t="s">
        <v>617</v>
      </c>
      <c r="D62" s="818" t="s">
        <v>618</v>
      </c>
      <c r="E62" s="895">
        <v>0.5</v>
      </c>
      <c r="F62" s="882">
        <v>80</v>
      </c>
    </row>
    <row r="63" spans="1:8" s="878" customFormat="1" ht="36">
      <c r="A63" s="882">
        <v>3</v>
      </c>
      <c r="B63" s="3325"/>
      <c r="C63" s="818" t="s">
        <v>619</v>
      </c>
      <c r="D63" s="818" t="s">
        <v>620</v>
      </c>
      <c r="E63" s="895">
        <v>0.5</v>
      </c>
      <c r="F63" s="882">
        <v>80</v>
      </c>
    </row>
    <row r="64" spans="1:8" s="878" customFormat="1" ht="36">
      <c r="A64" s="882">
        <v>4</v>
      </c>
      <c r="B64" s="3325"/>
      <c r="C64" s="818" t="s">
        <v>621</v>
      </c>
      <c r="D64" s="818" t="s">
        <v>622</v>
      </c>
      <c r="E64" s="895">
        <v>0.4</v>
      </c>
      <c r="F64" s="882">
        <v>60</v>
      </c>
    </row>
    <row r="65" spans="1:6" s="878" customFormat="1" ht="36">
      <c r="A65" s="882">
        <v>5</v>
      </c>
      <c r="B65" s="3325"/>
      <c r="C65" s="818" t="s">
        <v>623</v>
      </c>
      <c r="D65" s="818" t="s">
        <v>624</v>
      </c>
      <c r="E65" s="895">
        <v>0.2</v>
      </c>
      <c r="F65" s="882">
        <v>30</v>
      </c>
    </row>
    <row r="66" spans="1:6" s="878" customFormat="1" ht="36">
      <c r="A66" s="882">
        <v>6</v>
      </c>
      <c r="B66" s="3325"/>
      <c r="C66" s="818" t="s">
        <v>625</v>
      </c>
      <c r="D66" s="818" t="s">
        <v>626</v>
      </c>
      <c r="E66" s="895">
        <v>0.3</v>
      </c>
      <c r="F66" s="882">
        <v>50</v>
      </c>
    </row>
    <row r="67" spans="1:6" s="878" customFormat="1" ht="36">
      <c r="A67" s="882">
        <v>7</v>
      </c>
      <c r="B67" s="3325"/>
      <c r="C67" s="818" t="s">
        <v>627</v>
      </c>
      <c r="D67" s="818" t="s">
        <v>628</v>
      </c>
      <c r="E67" s="895">
        <v>0.2</v>
      </c>
      <c r="F67" s="882">
        <v>30</v>
      </c>
    </row>
    <row r="68" spans="1:6" s="878" customFormat="1" ht="36">
      <c r="A68" s="882">
        <v>8</v>
      </c>
      <c r="B68" s="3325"/>
      <c r="C68" s="818" t="s">
        <v>629</v>
      </c>
      <c r="D68" s="818" t="s">
        <v>630</v>
      </c>
      <c r="E68" s="895">
        <v>0.2</v>
      </c>
      <c r="F68" s="882">
        <v>30</v>
      </c>
    </row>
    <row r="69" spans="1:6" s="878" customFormat="1" ht="36">
      <c r="A69" s="882">
        <v>9</v>
      </c>
      <c r="B69" s="3325"/>
      <c r="C69" s="818" t="s">
        <v>631</v>
      </c>
      <c r="D69" s="818" t="s">
        <v>632</v>
      </c>
      <c r="E69" s="895">
        <v>0.2</v>
      </c>
      <c r="F69" s="882">
        <v>30</v>
      </c>
    </row>
    <row r="70" spans="1:6" s="878" customFormat="1" ht="48">
      <c r="A70" s="882">
        <v>10</v>
      </c>
      <c r="B70" s="3325"/>
      <c r="C70" s="818" t="s">
        <v>633</v>
      </c>
      <c r="D70" s="818" t="s">
        <v>634</v>
      </c>
      <c r="E70" s="895">
        <v>0.2</v>
      </c>
      <c r="F70" s="882">
        <v>30</v>
      </c>
    </row>
    <row r="71" spans="1:6" s="878" customFormat="1" ht="48">
      <c r="A71" s="882">
        <v>11</v>
      </c>
      <c r="B71" s="3325"/>
      <c r="C71" s="818" t="s">
        <v>635</v>
      </c>
      <c r="D71" s="818" t="s">
        <v>636</v>
      </c>
      <c r="E71" s="895">
        <v>0.2</v>
      </c>
      <c r="F71" s="882">
        <v>30</v>
      </c>
    </row>
    <row r="72" spans="1:6" s="878" customFormat="1" ht="36">
      <c r="A72" s="882">
        <v>12</v>
      </c>
      <c r="B72" s="3325"/>
      <c r="C72" s="818" t="s">
        <v>637</v>
      </c>
      <c r="D72" s="818" t="s">
        <v>638</v>
      </c>
      <c r="E72" s="895">
        <v>0.5</v>
      </c>
      <c r="F72" s="882">
        <v>80</v>
      </c>
    </row>
    <row r="73" spans="1:6" s="878" customFormat="1" ht="24">
      <c r="A73" s="882">
        <v>13</v>
      </c>
      <c r="B73" s="3325"/>
      <c r="C73" s="818" t="s">
        <v>639</v>
      </c>
      <c r="D73" s="818" t="s">
        <v>640</v>
      </c>
      <c r="E73" s="895">
        <v>0.4</v>
      </c>
      <c r="F73" s="882">
        <v>60</v>
      </c>
    </row>
    <row r="74" spans="1:6" s="878" customFormat="1" ht="24">
      <c r="A74" s="882">
        <v>14</v>
      </c>
      <c r="B74" s="3325"/>
      <c r="C74" s="818" t="s">
        <v>641</v>
      </c>
      <c r="D74" s="818" t="s">
        <v>642</v>
      </c>
      <c r="E74" s="895">
        <v>0.2</v>
      </c>
      <c r="F74" s="882">
        <v>30</v>
      </c>
    </row>
    <row r="75" spans="1:6" s="878" customFormat="1" ht="24">
      <c r="A75" s="882">
        <v>15</v>
      </c>
      <c r="B75" s="3325"/>
      <c r="C75" s="818" t="s">
        <v>643</v>
      </c>
      <c r="D75" s="818" t="s">
        <v>644</v>
      </c>
      <c r="E75" s="895">
        <v>0.2</v>
      </c>
      <c r="F75" s="882">
        <v>30</v>
      </c>
    </row>
    <row r="76" spans="1:6" s="878" customFormat="1" ht="24">
      <c r="A76" s="882">
        <v>16</v>
      </c>
      <c r="B76" s="3325" t="s">
        <v>645</v>
      </c>
      <c r="C76" s="818" t="s">
        <v>646</v>
      </c>
      <c r="D76" s="818" t="s">
        <v>647</v>
      </c>
      <c r="E76" s="895">
        <v>0.5</v>
      </c>
      <c r="F76" s="882">
        <v>80</v>
      </c>
    </row>
    <row r="77" spans="1:6" s="878" customFormat="1" ht="24">
      <c r="A77" s="882">
        <v>17</v>
      </c>
      <c r="B77" s="3325"/>
      <c r="C77" s="818" t="s">
        <v>648</v>
      </c>
      <c r="D77" s="818" t="s">
        <v>649</v>
      </c>
      <c r="E77" s="895">
        <v>0.5</v>
      </c>
      <c r="F77" s="882">
        <v>80</v>
      </c>
    </row>
    <row r="78" spans="1:6" s="878" customFormat="1" ht="24">
      <c r="A78" s="882">
        <v>18</v>
      </c>
      <c r="B78" s="3325"/>
      <c r="C78" s="818" t="s">
        <v>650</v>
      </c>
      <c r="D78" s="818" t="s">
        <v>651</v>
      </c>
      <c r="E78" s="895">
        <v>0.2</v>
      </c>
      <c r="F78" s="882">
        <v>30</v>
      </c>
    </row>
    <row r="79" spans="1:6" s="878" customFormat="1" ht="24">
      <c r="A79" s="882">
        <v>19</v>
      </c>
      <c r="B79" s="3325"/>
      <c r="C79" s="818" t="s">
        <v>652</v>
      </c>
      <c r="D79" s="818" t="s">
        <v>653</v>
      </c>
      <c r="E79" s="895">
        <v>0.5</v>
      </c>
      <c r="F79" s="882">
        <v>80</v>
      </c>
    </row>
    <row r="80" spans="1:6" s="878" customFormat="1" ht="36">
      <c r="A80" s="882">
        <v>20</v>
      </c>
      <c r="B80" s="3325"/>
      <c r="C80" s="818" t="s">
        <v>654</v>
      </c>
      <c r="D80" s="818" t="s">
        <v>655</v>
      </c>
      <c r="E80" s="895">
        <v>0.2</v>
      </c>
      <c r="F80" s="882">
        <v>30</v>
      </c>
    </row>
    <row r="81" spans="1:6" s="878" customFormat="1" ht="36">
      <c r="A81" s="882">
        <v>21</v>
      </c>
      <c r="B81" s="3325"/>
      <c r="C81" s="818" t="s">
        <v>656</v>
      </c>
      <c r="D81" s="818" t="s">
        <v>657</v>
      </c>
      <c r="E81" s="895">
        <v>0.2</v>
      </c>
      <c r="F81" s="882">
        <v>30</v>
      </c>
    </row>
    <row r="82" spans="1:6" s="878" customFormat="1" ht="48">
      <c r="A82" s="882">
        <v>22</v>
      </c>
      <c r="B82" s="3325"/>
      <c r="C82" s="818" t="s">
        <v>658</v>
      </c>
      <c r="D82" s="818" t="s">
        <v>659</v>
      </c>
      <c r="E82" s="895">
        <v>0.2</v>
      </c>
      <c r="F82" s="882">
        <v>30</v>
      </c>
    </row>
    <row r="83" spans="1:6" s="878" customFormat="1" ht="48">
      <c r="A83" s="882">
        <v>23</v>
      </c>
      <c r="B83" s="3325"/>
      <c r="C83" s="818" t="s">
        <v>660</v>
      </c>
      <c r="D83" s="818" t="s">
        <v>661</v>
      </c>
      <c r="E83" s="895">
        <v>0.2</v>
      </c>
      <c r="F83" s="882">
        <v>30</v>
      </c>
    </row>
    <row r="84" spans="1:6" s="878" customFormat="1" ht="36">
      <c r="A84" s="882">
        <v>24</v>
      </c>
      <c r="B84" s="3325"/>
      <c r="C84" s="818" t="s">
        <v>662</v>
      </c>
      <c r="D84" s="818" t="s">
        <v>663</v>
      </c>
      <c r="E84" s="895">
        <v>0.2</v>
      </c>
      <c r="F84" s="882">
        <v>30</v>
      </c>
    </row>
    <row r="85" spans="1:6" s="878" customFormat="1" ht="36">
      <c r="A85" s="882">
        <v>25</v>
      </c>
      <c r="B85" s="3325"/>
      <c r="C85" s="818" t="s">
        <v>664</v>
      </c>
      <c r="D85" s="818" t="s">
        <v>665</v>
      </c>
      <c r="E85" s="895">
        <v>0.5</v>
      </c>
      <c r="F85" s="882">
        <v>80</v>
      </c>
    </row>
    <row r="86" spans="1:6" s="878" customFormat="1" ht="36">
      <c r="A86" s="882">
        <v>26</v>
      </c>
      <c r="B86" s="3325"/>
      <c r="C86" s="818" t="s">
        <v>666</v>
      </c>
      <c r="D86" s="818" t="s">
        <v>667</v>
      </c>
      <c r="E86" s="895">
        <v>0.2</v>
      </c>
      <c r="F86" s="882">
        <v>30</v>
      </c>
    </row>
    <row r="87" spans="1:6" s="878" customFormat="1" ht="36">
      <c r="A87" s="882">
        <v>27</v>
      </c>
      <c r="B87" s="3325"/>
      <c r="C87" s="818" t="s">
        <v>668</v>
      </c>
      <c r="D87" s="818" t="s">
        <v>669</v>
      </c>
      <c r="E87" s="895">
        <v>0.2</v>
      </c>
      <c r="F87" s="882">
        <v>30</v>
      </c>
    </row>
    <row r="88" spans="1:6" s="878" customFormat="1" ht="36">
      <c r="A88" s="882">
        <v>28</v>
      </c>
      <c r="B88" s="3325"/>
      <c r="C88" s="818" t="s">
        <v>670</v>
      </c>
      <c r="D88" s="818" t="s">
        <v>671</v>
      </c>
      <c r="E88" s="895">
        <v>0.2</v>
      </c>
      <c r="F88" s="882">
        <v>30</v>
      </c>
    </row>
    <row r="89" spans="1:6" s="878" customFormat="1" ht="24">
      <c r="A89" s="882">
        <v>29</v>
      </c>
      <c r="B89" s="3325"/>
      <c r="C89" s="818" t="s">
        <v>672</v>
      </c>
      <c r="D89" s="818" t="s">
        <v>673</v>
      </c>
      <c r="E89" s="895">
        <v>0.2</v>
      </c>
      <c r="F89" s="882">
        <v>30</v>
      </c>
    </row>
    <row r="90" spans="1:6" s="878" customFormat="1" ht="24">
      <c r="A90" s="882">
        <v>30</v>
      </c>
      <c r="B90" s="3325"/>
      <c r="C90" s="818" t="s">
        <v>674</v>
      </c>
      <c r="D90" s="818" t="s">
        <v>675</v>
      </c>
      <c r="E90" s="895">
        <v>0.2</v>
      </c>
      <c r="F90" s="882">
        <v>30</v>
      </c>
    </row>
    <row r="91" spans="1:6" s="878" customFormat="1" ht="36">
      <c r="A91" s="882">
        <v>31</v>
      </c>
      <c r="B91" s="3325"/>
      <c r="C91" s="818" t="s">
        <v>676</v>
      </c>
      <c r="D91" s="818" t="s">
        <v>677</v>
      </c>
      <c r="E91" s="895">
        <v>0.2</v>
      </c>
      <c r="F91" s="882">
        <v>30</v>
      </c>
    </row>
    <row r="92" spans="1:6" s="878" customFormat="1" ht="24">
      <c r="A92" s="882">
        <v>32</v>
      </c>
      <c r="B92" s="3325" t="s">
        <v>678</v>
      </c>
      <c r="C92" s="882" t="s">
        <v>679</v>
      </c>
      <c r="D92" s="818" t="s">
        <v>680</v>
      </c>
      <c r="E92" s="895">
        <v>0.2</v>
      </c>
      <c r="F92" s="882">
        <v>30</v>
      </c>
    </row>
    <row r="93" spans="1:6" s="878" customFormat="1" ht="36">
      <c r="A93" s="882">
        <v>33</v>
      </c>
      <c r="B93" s="3325"/>
      <c r="C93" s="882" t="s">
        <v>681</v>
      </c>
      <c r="D93" s="818" t="s">
        <v>682</v>
      </c>
      <c r="E93" s="895">
        <v>0.2</v>
      </c>
      <c r="F93" s="882">
        <v>30</v>
      </c>
    </row>
    <row r="94" spans="1:6" s="878" customFormat="1" ht="48">
      <c r="A94" s="882">
        <v>34</v>
      </c>
      <c r="B94" s="3325"/>
      <c r="C94" s="882" t="s">
        <v>683</v>
      </c>
      <c r="D94" s="818" t="s">
        <v>684</v>
      </c>
      <c r="E94" s="895">
        <v>0.2</v>
      </c>
      <c r="F94" s="882">
        <v>30</v>
      </c>
    </row>
    <row r="95" spans="1:6" s="878" customFormat="1" ht="36">
      <c r="A95" s="882">
        <v>35</v>
      </c>
      <c r="B95" s="3325"/>
      <c r="C95" s="882" t="s">
        <v>685</v>
      </c>
      <c r="D95" s="818" t="s">
        <v>686</v>
      </c>
      <c r="E95" s="895">
        <v>0.2</v>
      </c>
      <c r="F95" s="882">
        <v>30</v>
      </c>
    </row>
    <row r="96" spans="1:6" s="878" customFormat="1" ht="48">
      <c r="A96" s="882">
        <v>36</v>
      </c>
      <c r="B96" s="3325"/>
      <c r="C96" s="818" t="s">
        <v>687</v>
      </c>
      <c r="D96" s="818" t="s">
        <v>688</v>
      </c>
      <c r="E96" s="895">
        <v>0.2</v>
      </c>
      <c r="F96" s="882">
        <v>30</v>
      </c>
    </row>
    <row r="97" spans="1:6" s="878" customFormat="1" ht="36">
      <c r="A97" s="882">
        <v>37</v>
      </c>
      <c r="B97" s="3325"/>
      <c r="C97" s="882" t="s">
        <v>689</v>
      </c>
      <c r="D97" s="818" t="s">
        <v>690</v>
      </c>
      <c r="E97" s="895">
        <v>0.2</v>
      </c>
      <c r="F97" s="882">
        <v>30</v>
      </c>
    </row>
    <row r="98" spans="1:6" s="878" customFormat="1" ht="36">
      <c r="A98" s="882">
        <v>38</v>
      </c>
      <c r="B98" s="3325"/>
      <c r="C98" s="882" t="s">
        <v>691</v>
      </c>
      <c r="D98" s="818" t="s">
        <v>692</v>
      </c>
      <c r="E98" s="895">
        <v>0.2</v>
      </c>
      <c r="F98" s="882">
        <v>30</v>
      </c>
    </row>
    <row r="99" spans="1:6" s="878" customFormat="1" ht="36">
      <c r="A99" s="882">
        <v>39</v>
      </c>
      <c r="B99" s="3325" t="s">
        <v>693</v>
      </c>
      <c r="C99" s="882" t="s">
        <v>694</v>
      </c>
      <c r="D99" s="818" t="s">
        <v>695</v>
      </c>
      <c r="E99" s="895">
        <v>0.3</v>
      </c>
      <c r="F99" s="882">
        <v>50</v>
      </c>
    </row>
    <row r="100" spans="1:6" s="878" customFormat="1" ht="24">
      <c r="A100" s="882">
        <v>40</v>
      </c>
      <c r="B100" s="3325"/>
      <c r="C100" s="882" t="s">
        <v>696</v>
      </c>
      <c r="D100" s="818" t="s">
        <v>697</v>
      </c>
      <c r="E100" s="895">
        <v>0.2</v>
      </c>
      <c r="F100" s="882">
        <v>30</v>
      </c>
    </row>
    <row r="101" spans="1:6" s="878" customFormat="1" ht="36">
      <c r="A101" s="882">
        <v>41</v>
      </c>
      <c r="B101" s="332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5" t="s">
        <v>708</v>
      </c>
      <c r="C105" s="882" t="s">
        <v>709</v>
      </c>
      <c r="D105" s="818" t="s">
        <v>710</v>
      </c>
      <c r="E105" s="895">
        <v>0.2</v>
      </c>
      <c r="F105" s="882">
        <v>30</v>
      </c>
    </row>
    <row r="106" spans="1:6" s="878" customFormat="1" ht="36">
      <c r="A106" s="882">
        <v>46</v>
      </c>
      <c r="B106" s="3325"/>
      <c r="C106" s="882" t="s">
        <v>711</v>
      </c>
      <c r="D106" s="818" t="s">
        <v>712</v>
      </c>
      <c r="E106" s="895">
        <v>0.2</v>
      </c>
      <c r="F106" s="882">
        <v>30</v>
      </c>
    </row>
    <row r="107" spans="1:6" s="878" customFormat="1" ht="36">
      <c r="A107" s="882">
        <v>47</v>
      </c>
      <c r="B107" s="3325" t="s">
        <v>713</v>
      </c>
      <c r="C107" s="882" t="s">
        <v>714</v>
      </c>
      <c r="D107" s="818" t="s">
        <v>715</v>
      </c>
      <c r="E107" s="895">
        <v>0.3</v>
      </c>
      <c r="F107" s="882">
        <v>50</v>
      </c>
    </row>
    <row r="108" spans="1:6" s="878" customFormat="1" ht="36">
      <c r="A108" s="882">
        <v>48</v>
      </c>
      <c r="B108" s="332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5" t="s">
        <v>724</v>
      </c>
      <c r="C111" s="882" t="s">
        <v>725</v>
      </c>
      <c r="D111" s="818" t="s">
        <v>726</v>
      </c>
      <c r="E111" s="895">
        <v>0.2</v>
      </c>
      <c r="F111" s="882">
        <v>30</v>
      </c>
    </row>
    <row r="112" spans="1:6" s="878" customFormat="1" ht="24">
      <c r="A112" s="882">
        <v>52</v>
      </c>
      <c r="B112" s="3325"/>
      <c r="C112" s="882" t="s">
        <v>727</v>
      </c>
      <c r="D112" s="818" t="s">
        <v>728</v>
      </c>
      <c r="E112" s="895">
        <v>0.2</v>
      </c>
      <c r="F112" s="882">
        <v>30</v>
      </c>
    </row>
    <row r="113" spans="1:6" s="878" customFormat="1" ht="24">
      <c r="A113" s="882">
        <v>53</v>
      </c>
      <c r="B113" s="332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5" t="s">
        <v>737</v>
      </c>
      <c r="C116" s="882" t="s">
        <v>738</v>
      </c>
      <c r="D116" s="818" t="s">
        <v>739</v>
      </c>
      <c r="E116" s="895">
        <v>0.2</v>
      </c>
      <c r="F116" s="882">
        <v>30</v>
      </c>
    </row>
    <row r="117" spans="1:6" ht="36">
      <c r="A117" s="882">
        <v>57</v>
      </c>
      <c r="B117" s="332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7">
        <f ca="1">SUMIF(INDIRECT("'"&amp;A6&amp;"'"&amp;"!C:C"),"建筑面积",INDIRECT("'"&amp;A6&amp;"'"&amp;"!D:D"))</f>
        <v>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1" t="s">
        <v>1145</v>
      </c>
      <c r="C1" s="3331"/>
      <c r="D1" s="3331"/>
      <c r="E1" s="3331"/>
      <c r="F1" s="3331"/>
      <c r="G1" s="3330" t="s">
        <v>1146</v>
      </c>
      <c r="H1" s="3330"/>
      <c r="I1" s="3330"/>
      <c r="J1" s="3330"/>
      <c r="K1" s="3330"/>
      <c r="L1" s="3330"/>
      <c r="N1" s="3330" t="s">
        <v>1147</v>
      </c>
      <c r="O1" s="3330"/>
      <c r="P1" s="3330"/>
      <c r="Q1" s="3330"/>
      <c r="R1" s="1446"/>
      <c r="S1" s="3330" t="s">
        <v>1148</v>
      </c>
      <c r="T1" s="3330"/>
      <c r="U1" s="3330"/>
      <c r="V1" s="3330"/>
      <c r="X1" s="3329" t="s">
        <v>1149</v>
      </c>
      <c r="Y1" s="3330"/>
      <c r="Z1" s="3330"/>
      <c r="AA1" s="3330"/>
      <c r="AB1" s="3330"/>
      <c r="AD1" s="3329" t="s">
        <v>1150</v>
      </c>
      <c r="AE1" s="3330"/>
      <c r="AF1" s="3330"/>
      <c r="AG1" s="3330"/>
      <c r="AH1" s="333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3037</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3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3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7">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8">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7">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8">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0"/>
      <c r="B4" s="3019" t="s">
        <v>1624</v>
      </c>
      <c r="C4" s="3019"/>
      <c r="D4" s="3019"/>
      <c r="E4" s="1960"/>
    </row>
    <row r="5" spans="1:5" ht="16.5" thickTop="1">
      <c r="A5" s="1958"/>
      <c r="B5" s="3017" t="s">
        <v>1616</v>
      </c>
      <c r="C5" s="1961" t="s">
        <v>1617</v>
      </c>
      <c r="D5" s="1040">
        <f ca="1">'结果表（1）'!H101</f>
        <v>766</v>
      </c>
      <c r="E5" s="1958"/>
    </row>
    <row r="6" spans="1:5" ht="15.75">
      <c r="A6" s="1958"/>
      <c r="B6" s="3017"/>
      <c r="C6" s="1961" t="s">
        <v>1618</v>
      </c>
      <c r="D6" s="1040" t="str">
        <f ca="1">NUMBERSTRING(INT(D5*10000),2)&amp;"元整"</f>
        <v>柒佰陆拾陆万元整</v>
      </c>
      <c r="E6" s="1958"/>
    </row>
    <row r="7" spans="1:5" ht="15.75">
      <c r="A7" s="1958"/>
      <c r="B7" s="3022"/>
      <c r="C7" s="1962" t="s">
        <v>1619</v>
      </c>
      <c r="D7" s="1041">
        <f ca="1">'结果表（1）'!H102</f>
        <v>10807</v>
      </c>
      <c r="E7" s="1958"/>
    </row>
    <row r="8" spans="1:5" ht="15.75">
      <c r="A8" s="1958"/>
      <c r="B8" s="3023" t="str">
        <f>'结果表（1）'!E103</f>
        <v>2.估价师知悉的法定优先受偿款</v>
      </c>
      <c r="C8" s="1963" t="s">
        <v>1620</v>
      </c>
      <c r="D8" s="1041">
        <f>'结果表（1）'!H103</f>
        <v>0</v>
      </c>
      <c r="E8" s="1958"/>
    </row>
    <row r="9" spans="1:5" ht="15.75">
      <c r="A9" s="1958"/>
      <c r="B9" s="3025"/>
      <c r="C9" s="1961" t="s">
        <v>1618</v>
      </c>
      <c r="D9" s="1040" t="str">
        <f>NUMBERSTRING(INT(D8*10000),2)&amp;"元整"</f>
        <v>零元整</v>
      </c>
      <c r="E9" s="1958"/>
    </row>
    <row r="10" spans="1:5" ht="15">
      <c r="A10" s="1958"/>
      <c r="B10" s="1964" t="s">
        <v>1623</v>
      </c>
      <c r="C10" s="1965" t="s">
        <v>1621</v>
      </c>
      <c r="D10" s="1042">
        <f>'结果表（1）'!H104</f>
        <v>0</v>
      </c>
      <c r="E10" s="1958"/>
    </row>
    <row r="11" spans="1:5" ht="15">
      <c r="A11" s="1958"/>
      <c r="B11" s="1964" t="s">
        <v>1625</v>
      </c>
      <c r="C11" s="1965" t="s">
        <v>1626</v>
      </c>
      <c r="D11" s="1042">
        <f>'结果表（1）'!H105</f>
        <v>0</v>
      </c>
      <c r="E11" s="1958"/>
    </row>
    <row r="12" spans="1:5" ht="15">
      <c r="A12" s="1958"/>
      <c r="B12" s="1964" t="s">
        <v>1627</v>
      </c>
      <c r="C12" s="1965" t="s">
        <v>1626</v>
      </c>
      <c r="D12" s="1042">
        <f>'结果表（1）'!H106</f>
        <v>0</v>
      </c>
      <c r="E12" s="1958"/>
    </row>
    <row r="13" spans="1:5" ht="15.75">
      <c r="A13" s="1958"/>
      <c r="B13" s="3016" t="str">
        <f>'结果表（1）'!E107</f>
        <v>3.房地产抵押价值</v>
      </c>
      <c r="C13" s="1966" t="s">
        <v>1617</v>
      </c>
      <c r="D13" s="1043">
        <f ca="1">'结果表（1）'!H107</f>
        <v>766</v>
      </c>
      <c r="E13" s="1958"/>
    </row>
    <row r="14" spans="1:5" ht="15.75">
      <c r="A14" s="1958"/>
      <c r="B14" s="3017"/>
      <c r="C14" s="1961" t="s">
        <v>1618</v>
      </c>
      <c r="D14" s="1040" t="str">
        <f ca="1">NUMBERSTRING(INT(D13*10000),2)&amp;"元整"</f>
        <v>柒佰陆拾陆万元整</v>
      </c>
      <c r="E14" s="1958"/>
    </row>
    <row r="15" spans="1:5" ht="15">
      <c r="A15" s="1958"/>
      <c r="B15" s="3022"/>
      <c r="C15" s="1962" t="s">
        <v>1628</v>
      </c>
      <c r="D15" s="1052">
        <f ca="1">'结果表（1）'!H108</f>
        <v>10807</v>
      </c>
      <c r="E15" s="1958"/>
    </row>
    <row r="16" spans="1:5" ht="15">
      <c r="A16" s="1958"/>
      <c r="B16" s="3023" t="str">
        <f>'结果表（1）'!E109</f>
        <v>——</v>
      </c>
      <c r="C16" s="1966" t="s">
        <v>1629</v>
      </c>
      <c r="D16" s="1967" t="str">
        <f>'结果表（1）'!H109</f>
        <v>——</v>
      </c>
      <c r="E16" s="1958"/>
    </row>
    <row r="17" spans="1:5" ht="15.75">
      <c r="A17" s="1958"/>
      <c r="B17" s="3024"/>
      <c r="C17" s="1961" t="s">
        <v>1630</v>
      </c>
      <c r="D17" s="1040" t="e">
        <f>NUMBERSTRING(INT(D16*10000),2)&amp;"元整"</f>
        <v>#VALUE!</v>
      </c>
      <c r="E17" s="1958"/>
    </row>
    <row r="18" spans="1:5" ht="15">
      <c r="A18" s="1958"/>
      <c r="B18" s="3025"/>
      <c r="C18" s="1962" t="s">
        <v>1619</v>
      </c>
      <c r="D18" s="1052" t="str">
        <f>'结果表（1）'!H110</f>
        <v>——</v>
      </c>
      <c r="E18" s="1958"/>
    </row>
    <row r="19" spans="1:5" ht="15.75">
      <c r="A19" s="1958"/>
      <c r="B19" s="3016" t="str">
        <f>'结果表（1）'!E111</f>
        <v>4.抵押净值</v>
      </c>
      <c r="C19" s="1966" t="s">
        <v>1617</v>
      </c>
      <c r="D19" s="1041">
        <f ca="1">'结果表（1）'!H111</f>
        <v>332</v>
      </c>
      <c r="E19" s="1958"/>
    </row>
    <row r="20" spans="1:5" ht="15.75">
      <c r="A20" s="1958"/>
      <c r="B20" s="3017"/>
      <c r="C20" s="1961" t="s">
        <v>1630</v>
      </c>
      <c r="D20" s="1040" t="str">
        <f ca="1">NUMBERSTRING(INT(D19*10000),2)&amp;"元整"</f>
        <v>叁佰叁拾贰万元整</v>
      </c>
      <c r="E20" s="1958"/>
    </row>
    <row r="21" spans="1:5" ht="15.75" thickBot="1">
      <c r="A21" s="1958"/>
      <c r="B21" s="3018"/>
      <c r="C21" s="1968" t="s">
        <v>1628</v>
      </c>
      <c r="D21" s="1053">
        <f ca="1">'结果表（1）'!H112</f>
        <v>4684</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M18" sqref="M1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38" t="s">
        <v>3006</v>
      </c>
      <c r="D1" s="3339"/>
      <c r="E1" s="3339"/>
      <c r="F1" s="3339"/>
      <c r="G1" s="3339"/>
      <c r="H1" s="3339"/>
      <c r="I1" s="3339"/>
      <c r="J1" s="3339"/>
      <c r="K1" s="3339"/>
      <c r="L1" s="3339"/>
      <c r="M1" s="3339"/>
      <c r="N1" s="3339"/>
      <c r="O1" s="3339"/>
      <c r="P1" s="3339"/>
      <c r="Q1" s="3339"/>
      <c r="R1" s="3339"/>
      <c r="S1" s="3340"/>
      <c r="T1" s="1204" t="s">
        <v>3007</v>
      </c>
    </row>
    <row r="2" spans="1:45" s="707" customFormat="1" ht="38.25">
      <c r="A2" s="1205"/>
      <c r="B2" s="703" t="s">
        <v>3008</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f ca="1">IF(D20="——",S22,S22-F20)</f>
        <v>886</v>
      </c>
      <c r="C20" s="168"/>
      <c r="D20" s="2913" t="s">
        <v>70</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12500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708.8</v>
      </c>
      <c r="C22" s="3170" t="s">
        <v>33</v>
      </c>
      <c r="D22" s="3171"/>
      <c r="E22" s="3171"/>
      <c r="F22" s="3171"/>
      <c r="G22" s="3171"/>
      <c r="H22" s="3171"/>
      <c r="I22" s="3171"/>
      <c r="J22" s="3171"/>
      <c r="K22" s="3171"/>
      <c r="L22" s="3171"/>
      <c r="M22" s="3171"/>
      <c r="N22" s="3171"/>
      <c r="O22" s="3171"/>
      <c r="P22" s="3171"/>
      <c r="Q22" s="3337"/>
      <c r="R22" s="716">
        <f ca="1">ROUND(S22*10000/B22,0)</f>
        <v>12500</v>
      </c>
      <c r="S22" s="24">
        <f ca="1">SUM(S24:S10000)</f>
        <v>886</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c r="C24" s="719">
        <v>1</v>
      </c>
      <c r="D24" s="720"/>
      <c r="E24" s="719">
        <v>1</v>
      </c>
      <c r="F24" s="720"/>
      <c r="G24" s="719">
        <v>1</v>
      </c>
      <c r="H24" s="720"/>
      <c r="I24" s="719">
        <v>1</v>
      </c>
      <c r="J24" s="720"/>
      <c r="K24" s="719">
        <v>1</v>
      </c>
      <c r="L24" s="720"/>
      <c r="M24" s="719">
        <v>1</v>
      </c>
      <c r="N24" s="720"/>
      <c r="O24" s="719">
        <v>1</v>
      </c>
      <c r="P24" s="720">
        <v>1</v>
      </c>
      <c r="Q24" s="719">
        <v>1</v>
      </c>
      <c r="R24" s="721">
        <f ca="1">'结果表（1）'!G20</f>
        <v>25817</v>
      </c>
      <c r="S24" s="719">
        <f t="shared" ref="S24:S54" ca="1"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'数据-基础表'!I13</f>
        <v>296.95999999999998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0.5</v>
      </c>
      <c r="R25" s="716">
        <f ca="1">IF(B25="",0,ROUND($R$24*C25*E25*G25*I25*K25*M25*O25*Q25,0))</f>
        <v>12650</v>
      </c>
      <c r="S25" s="361">
        <f t="shared" ca="1" si="11"/>
        <v>376</v>
      </c>
    </row>
    <row r="26" spans="1:45">
      <c r="A26" s="159"/>
      <c r="B26" s="718">
        <f>'数据-基础表'!I14</f>
        <v>411.84</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-2</v>
      </c>
      <c r="Q26" s="24">
        <f t="shared" ref="Q26:Q89" si="19">(SUMIF($17:$17,P26,$18:$18)-SUMIF($17:$17,$P$24,$18:$18)+100)/100</f>
        <v>0.5</v>
      </c>
      <c r="R26" s="716">
        <f t="shared" ref="R26:R89" ca="1" si="20">IF(B26="",0,ROUND($R$24*C26*E26*G26*I26*K26*M26*O26*Q26,0))</f>
        <v>12392</v>
      </c>
      <c r="S26" s="361">
        <f t="shared" ca="1" si="11"/>
        <v>510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28684</v>
      </c>
      <c r="C2" s="2" t="s">
        <v>133</v>
      </c>
      <c r="D2" s="243"/>
      <c r="E2" s="243"/>
      <c r="F2" s="243"/>
      <c r="G2" s="243"/>
    </row>
    <row r="3" spans="1:7" s="244" customFormat="1" ht="18" customHeight="1" thickBot="1">
      <c r="A3" s="247" t="s">
        <v>85</v>
      </c>
      <c r="B3" s="248">
        <f ca="1">ROUND(B2*10000/'数据-汇总表'!E3,0)</f>
        <v>404684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708.8</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v>
      </c>
      <c r="D19" s="1036">
        <f>'数据-汇总表'!E3</f>
        <v>708.8</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213</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v>
      </c>
      <c r="D37" s="261">
        <f>'数据-汇总表'!E3</f>
        <v>708.8</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11</v>
      </c>
      <c r="D42" s="282"/>
      <c r="E42" s="282"/>
      <c r="F42" s="283"/>
      <c r="G42" s="3201" t="s">
        <v>121</v>
      </c>
    </row>
    <row r="43" spans="1:7" ht="13.5" customHeight="1">
      <c r="A43" s="951" t="s">
        <v>792</v>
      </c>
      <c r="B43" s="259" t="s">
        <v>1060</v>
      </c>
      <c r="C43" s="282">
        <f ca="1">ROUND(IF('数据-取费表'!B22&lt;=1,C39*F22*'数据-取费表'!B21/2,C39*(POWER((1+F22),'数据-取费表'!B21/2)-1)),0)</f>
        <v>0</v>
      </c>
      <c r="D43" s="282"/>
      <c r="E43" s="282"/>
      <c r="F43" s="283"/>
      <c r="G43" s="3202"/>
    </row>
    <row r="44" spans="1:7" ht="13.5" customHeight="1">
      <c r="A44" s="951" t="s">
        <v>793</v>
      </c>
      <c r="B44" s="259" t="s">
        <v>1062</v>
      </c>
      <c r="C44" s="282">
        <f ca="1">ROUND(IF('数据-取费表'!B22&lt;=1,C40*F22*'数据-取费表'!B21/2,C40*(POWER((1+F22),'数据-取费表'!B21/2)-1)),4)</f>
        <v>1E-3</v>
      </c>
      <c r="D44" s="282"/>
      <c r="E44" s="282"/>
      <c r="F44" s="283"/>
      <c r="G44" s="3203"/>
    </row>
    <row r="45" spans="1:7" s="258" customFormat="1" ht="13.5" customHeight="1">
      <c r="A45" s="948" t="s">
        <v>786</v>
      </c>
      <c r="B45" s="288" t="s">
        <v>112</v>
      </c>
      <c r="C45" s="289">
        <f>C46</f>
        <v>36</v>
      </c>
      <c r="D45" s="279">
        <f>C47</f>
        <v>3.0000000000000001E-3</v>
      </c>
      <c r="E45" s="280" t="s">
        <v>129</v>
      </c>
      <c r="F45" s="290"/>
      <c r="G45" s="291" t="s">
        <v>1068</v>
      </c>
    </row>
    <row r="46" spans="1:7" s="258" customFormat="1" ht="13.5" customHeight="1">
      <c r="A46" s="951" t="s">
        <v>794</v>
      </c>
      <c r="B46" s="292" t="s">
        <v>1061</v>
      </c>
      <c r="C46" s="293">
        <f>ROUND((C33+C39)*F27,0)</f>
        <v>36</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312</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271</v>
      </c>
      <c r="D51" s="276"/>
      <c r="E51" s="276"/>
      <c r="F51" s="308"/>
      <c r="G51" s="278" t="s">
        <v>64</v>
      </c>
    </row>
    <row r="52" spans="1:7" s="252" customFormat="1" ht="16.5" thickBot="1">
      <c r="A52" s="309" t="s">
        <v>65</v>
      </c>
      <c r="B52" s="310"/>
      <c r="C52" s="311">
        <f ca="1">C31+C51</f>
        <v>28684</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867</v>
      </c>
      <c r="B1" s="334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workbookViewId="0">
      <selection activeCell="H8" sqref="H8"/>
    </sheetView>
  </sheetViews>
  <sheetFormatPr defaultColWidth="9" defaultRowHeight="13.5"/>
  <cols>
    <col min="1" max="1" width="5.75" style="2971" customWidth="1"/>
    <col min="2" max="2" width="17" style="3008" customWidth="1"/>
    <col min="3" max="3" width="13.625" style="3009" customWidth="1"/>
    <col min="4" max="5" width="16" style="3009" customWidth="1"/>
    <col min="6" max="6" width="6.75" style="3009" bestFit="1" customWidth="1"/>
    <col min="7" max="7" width="13.25" style="3010" bestFit="1" customWidth="1"/>
    <col min="8" max="8" width="40.875" style="3011" bestFit="1" customWidth="1"/>
    <col min="9" max="9" width="10.625" style="3011" customWidth="1"/>
    <col min="10" max="10" width="10.5" style="3012" customWidth="1"/>
    <col min="11" max="11" width="8.75" style="3012" bestFit="1" customWidth="1"/>
    <col min="12" max="12" width="10.375" style="3013" customWidth="1"/>
    <col min="13" max="13" width="10.75" style="2970" customWidth="1"/>
    <col min="14" max="15" width="9" style="2971"/>
    <col min="16" max="16" width="13.375" style="2972" customWidth="1"/>
    <col min="17" max="16384" width="9" style="2971"/>
  </cols>
  <sheetData>
    <row r="1" spans="1:17" ht="40.5" customHeight="1">
      <c r="A1" s="3345" t="s">
        <v>3058</v>
      </c>
      <c r="B1" s="3345"/>
      <c r="C1" s="3345"/>
      <c r="D1" s="3345"/>
      <c r="E1" s="3345"/>
      <c r="F1" s="3345"/>
      <c r="G1" s="3345"/>
      <c r="H1" s="3345"/>
      <c r="I1" s="3345"/>
      <c r="J1" s="3345"/>
      <c r="K1" s="3345"/>
      <c r="L1" s="3345"/>
    </row>
    <row r="2" spans="1:17" s="2974" customFormat="1" ht="29.25" customHeight="1">
      <c r="A2" s="2973" t="s">
        <v>3059</v>
      </c>
      <c r="D2" s="2975"/>
      <c r="E2" s="2975"/>
      <c r="F2" s="2975"/>
      <c r="G2" s="2976"/>
      <c r="H2" s="2977"/>
      <c r="I2" s="2977"/>
      <c r="J2" s="2978"/>
      <c r="K2" s="2978"/>
      <c r="L2" s="2979"/>
      <c r="M2" s="2980"/>
      <c r="P2" s="2981"/>
    </row>
    <row r="3" spans="1:17" s="2986" customFormat="1" ht="24" customHeight="1">
      <c r="A3" s="2982" t="s">
        <v>608</v>
      </c>
      <c r="B3" s="2982" t="s">
        <v>3060</v>
      </c>
      <c r="C3" s="2982" t="s">
        <v>3061</v>
      </c>
      <c r="D3" s="2982" t="s">
        <v>3062</v>
      </c>
      <c r="E3" s="2982" t="s">
        <v>3063</v>
      </c>
      <c r="F3" s="2982" t="s">
        <v>3064</v>
      </c>
      <c r="G3" s="2983" t="s">
        <v>3065</v>
      </c>
      <c r="H3" s="2982" t="s">
        <v>3066</v>
      </c>
      <c r="I3" s="2982" t="s">
        <v>3067</v>
      </c>
      <c r="J3" s="2982" t="s">
        <v>3068</v>
      </c>
      <c r="K3" s="2982" t="s">
        <v>3069</v>
      </c>
      <c r="L3" s="2984" t="s">
        <v>3070</v>
      </c>
      <c r="M3" s="2984" t="s">
        <v>3071</v>
      </c>
      <c r="N3" s="2982" t="s">
        <v>3072</v>
      </c>
      <c r="O3" s="2982" t="s">
        <v>3073</v>
      </c>
      <c r="P3" s="2985" t="s">
        <v>3074</v>
      </c>
    </row>
    <row r="4" spans="1:17" s="2974" customFormat="1" ht="49.5" customHeight="1">
      <c r="A4" s="2987">
        <v>1</v>
      </c>
      <c r="B4" s="2987" t="s">
        <v>3075</v>
      </c>
      <c r="C4" s="2988" t="s">
        <v>3076</v>
      </c>
      <c r="D4" s="2989" t="s">
        <v>3077</v>
      </c>
      <c r="E4" s="2989" t="s">
        <v>3078</v>
      </c>
      <c r="F4" s="2989">
        <v>2</v>
      </c>
      <c r="G4" s="2990">
        <f>2163.25-631.32</f>
        <v>1531.9299999999998</v>
      </c>
      <c r="H4" s="2991" t="s">
        <v>3079</v>
      </c>
      <c r="I4" s="2991" t="s">
        <v>3080</v>
      </c>
      <c r="J4" s="2992" t="s">
        <v>3081</v>
      </c>
      <c r="K4" s="2993" t="s">
        <v>3082</v>
      </c>
      <c r="L4" s="2994"/>
      <c r="M4" s="2995"/>
      <c r="N4" s="2996"/>
      <c r="O4" s="2996"/>
      <c r="P4" s="2997"/>
    </row>
    <row r="5" spans="1:17" s="2974" customFormat="1" ht="49.5" customHeight="1">
      <c r="A5" s="2987">
        <v>2</v>
      </c>
      <c r="B5" s="2987" t="s">
        <v>3083</v>
      </c>
      <c r="C5" s="2988" t="s">
        <v>3076</v>
      </c>
      <c r="D5" s="2989" t="s">
        <v>3077</v>
      </c>
      <c r="E5" s="2989" t="s">
        <v>3084</v>
      </c>
      <c r="F5" s="2989">
        <v>1</v>
      </c>
      <c r="G5" s="2990">
        <v>631.32000000000005</v>
      </c>
      <c r="H5" s="2991" t="s">
        <v>3085</v>
      </c>
      <c r="I5" s="2991" t="s">
        <v>3086</v>
      </c>
      <c r="J5" s="2992" t="s">
        <v>3087</v>
      </c>
      <c r="K5" s="2993" t="s">
        <v>3082</v>
      </c>
      <c r="L5" s="2994"/>
      <c r="M5" s="2995"/>
      <c r="N5" s="2996"/>
      <c r="O5" s="2996"/>
      <c r="P5" s="2997"/>
    </row>
    <row r="6" spans="1:17" s="2974" customFormat="1" ht="49.5" customHeight="1">
      <c r="A6" s="2987">
        <v>3</v>
      </c>
      <c r="B6" s="2987" t="s">
        <v>3088</v>
      </c>
      <c r="C6" s="2988" t="s">
        <v>3089</v>
      </c>
      <c r="D6" s="2989" t="s">
        <v>3090</v>
      </c>
      <c r="E6" s="2989" t="s">
        <v>3091</v>
      </c>
      <c r="F6" s="2998">
        <v>2</v>
      </c>
      <c r="G6" s="2999">
        <v>708.8</v>
      </c>
      <c r="H6" s="2993" t="s">
        <v>3092</v>
      </c>
      <c r="I6" s="2993" t="s">
        <v>3093</v>
      </c>
      <c r="J6" s="2992" t="s">
        <v>3094</v>
      </c>
      <c r="K6" s="2993" t="s">
        <v>3095</v>
      </c>
      <c r="L6" s="2994"/>
      <c r="M6" s="2995"/>
      <c r="N6" s="2996"/>
      <c r="O6" s="2996"/>
      <c r="P6" s="2997"/>
      <c r="Q6" s="3000"/>
    </row>
    <row r="7" spans="1:17" s="2974" customFormat="1" ht="49.5" customHeight="1">
      <c r="A7" s="2987">
        <v>4</v>
      </c>
      <c r="B7" s="2987" t="s">
        <v>3096</v>
      </c>
      <c r="C7" s="2988" t="s">
        <v>3097</v>
      </c>
      <c r="D7" s="2989" t="s">
        <v>3098</v>
      </c>
      <c r="E7" s="2989" t="s">
        <v>3099</v>
      </c>
      <c r="F7" s="2998">
        <v>1</v>
      </c>
      <c r="G7" s="2999">
        <v>693.12</v>
      </c>
      <c r="H7" s="2993" t="s">
        <v>3100</v>
      </c>
      <c r="I7" s="2993" t="s">
        <v>3101</v>
      </c>
      <c r="J7" s="2992" t="s">
        <v>3102</v>
      </c>
      <c r="K7" s="2993" t="s">
        <v>3095</v>
      </c>
      <c r="L7" s="2994"/>
      <c r="M7" s="2995"/>
      <c r="N7" s="2996"/>
      <c r="O7" s="2996"/>
      <c r="P7" s="2997"/>
    </row>
    <row r="8" spans="1:17" s="2986" customFormat="1" ht="49.5" customHeight="1">
      <c r="A8" s="2982">
        <v>4</v>
      </c>
      <c r="B8" s="2982" t="s">
        <v>3103</v>
      </c>
      <c r="C8" s="3001"/>
      <c r="D8" s="3001"/>
      <c r="E8" s="3001"/>
      <c r="F8" s="3001">
        <f>SUM(F4:F7)</f>
        <v>6</v>
      </c>
      <c r="G8" s="3002">
        <f>SUM(G4:G7)</f>
        <v>3565.17</v>
      </c>
      <c r="H8" s="3003"/>
      <c r="I8" s="3003"/>
      <c r="J8" s="2982"/>
      <c r="K8" s="2982"/>
      <c r="L8" s="3004">
        <f>SUM(L4:L7)</f>
        <v>0</v>
      </c>
      <c r="M8" s="3005">
        <f>SUM(M4:M7)</f>
        <v>0</v>
      </c>
      <c r="N8" s="3006"/>
      <c r="O8" s="3006"/>
      <c r="P8" s="3007"/>
    </row>
  </sheetData>
  <mergeCells count="1">
    <mergeCell ref="A1:L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1635</v>
      </c>
      <c r="B2" s="3036" t="s">
        <v>1636</v>
      </c>
      <c r="C2" s="3036" t="s">
        <v>1637</v>
      </c>
      <c r="D2" s="3036" t="str">
        <f>'结果表（1）'!D116</f>
        <v>出让国有建设用地使用权价值</v>
      </c>
      <c r="E2" s="3036"/>
      <c r="F2" s="3036" t="str">
        <f>'结果表（1）'!F116</f>
        <v>在建建筑物价值</v>
      </c>
      <c r="G2" s="3036"/>
      <c r="H2" s="3036" t="str">
        <f>IF(项目基本情况!B9="房地产市场价值","房地产市场价值","房地产价值")</f>
        <v>房地产价值</v>
      </c>
      <c r="I2" s="3036"/>
    </row>
    <row r="3" spans="1:9" ht="15">
      <c r="A3" s="3030"/>
      <c r="B3" s="3030"/>
      <c r="C3" s="3030"/>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708.8</v>
      </c>
      <c r="C4" s="1044">
        <f>项目基本情况!C18</f>
        <v>0</v>
      </c>
      <c r="D4" s="1044" t="e">
        <f ca="1">'结果表（1）'!D118</f>
        <v>#REF!</v>
      </c>
      <c r="E4" s="1044" t="e">
        <f ca="1">'结果表（1）'!E118</f>
        <v>#REF!</v>
      </c>
      <c r="F4" s="1044" t="e">
        <f ca="1">'结果表（1）'!F118</f>
        <v>#REF!</v>
      </c>
      <c r="G4" s="1044" t="e">
        <f ca="1">'结果表（1）'!G118</f>
        <v>#REF!</v>
      </c>
      <c r="H4" s="1044">
        <f ca="1">'结果表（1）'!H118</f>
        <v>766</v>
      </c>
      <c r="I4" s="1044">
        <f ca="1">'结果表（1）'!I118</f>
        <v>10807</v>
      </c>
    </row>
    <row r="5" spans="1:9" ht="30" customHeight="1">
      <c r="A5" s="3030" t="s">
        <v>1634</v>
      </c>
      <c r="B5" s="3030"/>
      <c r="C5" s="3030"/>
      <c r="D5" s="3031" t="e">
        <f ca="1">'结果表（1）'!D119</f>
        <v>#REF!</v>
      </c>
      <c r="E5" s="3031"/>
      <c r="F5" s="3031" t="e">
        <f ca="1">'结果表（1）'!F119</f>
        <v>#REF!</v>
      </c>
      <c r="G5" s="3031"/>
      <c r="H5" s="3031" t="str">
        <f ca="1">'结果表（1）'!H119</f>
        <v>柒佰陆拾陆万元整</v>
      </c>
      <c r="I5" s="3031"/>
    </row>
    <row r="6" spans="1:9" ht="15.75">
      <c r="A6" s="3029" t="str">
        <f>'结果表（1）'!A120</f>
        <v>估价师知悉的法定优先受偿款</v>
      </c>
      <c r="B6" s="3029"/>
      <c r="C6" s="3029"/>
      <c r="D6" s="3029">
        <f>'结果表（1）'!D120</f>
        <v>0</v>
      </c>
      <c r="E6" s="3029"/>
      <c r="F6" s="3029"/>
      <c r="G6" s="3029"/>
      <c r="H6" s="3029"/>
      <c r="I6" s="3029"/>
    </row>
    <row r="7" spans="1:9" ht="15">
      <c r="A7" s="3030" t="s">
        <v>1634</v>
      </c>
      <c r="B7" s="3030"/>
      <c r="C7" s="3030"/>
      <c r="D7" s="3032" t="str">
        <f>'结果表（1）'!D121</f>
        <v>零元整</v>
      </c>
      <c r="E7" s="3033"/>
      <c r="F7" s="3033"/>
      <c r="G7" s="3033"/>
      <c r="H7" s="3033"/>
      <c r="I7" s="3034"/>
    </row>
    <row r="8" spans="1:9" ht="15.75">
      <c r="A8" s="3029" t="str">
        <f>'结果表（1）'!A122</f>
        <v>房地产抵押价值</v>
      </c>
      <c r="B8" s="3029"/>
      <c r="C8" s="3029"/>
      <c r="D8" s="3029">
        <f ca="1">'结果表（1）'!D122</f>
        <v>766</v>
      </c>
      <c r="E8" s="3029"/>
      <c r="F8" s="3029"/>
      <c r="G8" s="3029"/>
      <c r="H8" s="3029"/>
      <c r="I8" s="3029"/>
    </row>
    <row r="9" spans="1:9" ht="15">
      <c r="A9" s="3030" t="s">
        <v>1634</v>
      </c>
      <c r="B9" s="3030"/>
      <c r="C9" s="3030"/>
      <c r="D9" s="3031" t="str">
        <f ca="1">'结果表（1）'!D123</f>
        <v>柒佰陆拾陆万元整</v>
      </c>
      <c r="E9" s="3031"/>
      <c r="F9" s="3031"/>
      <c r="G9" s="3031"/>
      <c r="H9" s="3031"/>
      <c r="I9" s="3031"/>
    </row>
    <row r="10" spans="1:9" ht="15.75">
      <c r="A10" s="3029" t="str">
        <f>'结果表（1）'!A124</f>
        <v/>
      </c>
      <c r="B10" s="3029"/>
      <c r="C10" s="3029"/>
      <c r="D10" s="3029" t="str">
        <f>'结果表（1）'!D124</f>
        <v>——</v>
      </c>
      <c r="E10" s="3029"/>
      <c r="F10" s="3029"/>
      <c r="G10" s="3029"/>
      <c r="H10" s="3029"/>
      <c r="I10" s="3029"/>
    </row>
    <row r="11" spans="1:9" ht="15">
      <c r="A11" s="3030" t="s">
        <v>1634</v>
      </c>
      <c r="B11" s="3030"/>
      <c r="C11" s="3030"/>
      <c r="D11" s="3031" t="e">
        <f>'结果表（1）'!D125</f>
        <v>#VALUE!</v>
      </c>
      <c r="E11" s="3031"/>
      <c r="F11" s="3031"/>
      <c r="G11" s="3031"/>
      <c r="H11" s="3031"/>
      <c r="I11" s="3031"/>
    </row>
    <row r="12" spans="1:9" ht="15.75">
      <c r="A12" s="3029" t="str">
        <f>'结果表（1）'!A126</f>
        <v>抵押净值</v>
      </c>
      <c r="B12" s="3029"/>
      <c r="C12" s="3029"/>
      <c r="D12" s="3029">
        <f ca="1">'结果表（1）'!D126</f>
        <v>332</v>
      </c>
      <c r="E12" s="3029"/>
      <c r="F12" s="3029"/>
      <c r="G12" s="3029"/>
      <c r="H12" s="3029"/>
      <c r="I12" s="3029"/>
    </row>
    <row r="13" spans="1:9" ht="15.75" thickBot="1">
      <c r="A13" s="3026" t="s">
        <v>1634</v>
      </c>
      <c r="B13" s="3026"/>
      <c r="C13" s="3026"/>
      <c r="D13" s="3027" t="str">
        <f ca="1">'结果表（1）'!D127</f>
        <v>叁佰叁拾贰万元整</v>
      </c>
      <c r="E13" s="3027"/>
      <c r="F13" s="3027"/>
      <c r="G13" s="3027"/>
      <c r="H13" s="3027"/>
      <c r="I13" s="3027"/>
    </row>
    <row r="14" spans="1:9" ht="15" thickTop="1">
      <c r="A14" s="3028" t="s">
        <v>1639</v>
      </c>
      <c r="B14" s="3028"/>
      <c r="C14" s="3028"/>
      <c r="D14" s="3028"/>
      <c r="E14" s="3028"/>
      <c r="F14" s="3028"/>
      <c r="G14" s="3028"/>
      <c r="H14" s="3028"/>
      <c r="I14" s="302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3" t="s">
        <v>1656</v>
      </c>
      <c r="B1" s="3043"/>
      <c r="C1" s="3043"/>
      <c r="D1" s="3043"/>
    </row>
    <row r="2" spans="1:4" ht="18">
      <c r="A2" s="3044" t="s">
        <v>1640</v>
      </c>
      <c r="B2" s="3044"/>
      <c r="C2" s="3044"/>
      <c r="D2" s="3044"/>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44" t="s">
        <v>1646</v>
      </c>
      <c r="B6" s="3044"/>
      <c r="C6" s="3044"/>
      <c r="D6" s="304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45" t="s">
        <v>1649</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1650</v>
      </c>
      <c r="B16" s="3039"/>
      <c r="C16" s="3039"/>
      <c r="D16" s="3039"/>
    </row>
    <row r="17" spans="1:4" ht="144" customHeight="1">
      <c r="A17" s="3039" t="s">
        <v>1651</v>
      </c>
      <c r="B17" s="3039"/>
      <c r="C17" s="3039"/>
      <c r="D17" s="3039"/>
    </row>
    <row r="18" spans="1:4" ht="15.75" customHeight="1">
      <c r="A18" s="3037" t="str">
        <f>IF(项目基本情况!B8="抵押",'结果表（1）'!K120,"——")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0"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1652</v>
      </c>
      <c r="B22" s="3041"/>
      <c r="C22" s="3041"/>
      <c r="D22" s="304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51" t="s">
        <v>1663</v>
      </c>
      <c r="B15" s="3046" t="s">
        <v>136</v>
      </c>
      <c r="C15" s="3047"/>
    </row>
    <row r="16" spans="1:7" ht="13.5">
      <c r="A16" s="3052"/>
      <c r="B16" s="3046" t="s">
        <v>69</v>
      </c>
      <c r="C16" s="3047"/>
    </row>
    <row r="17" spans="1:3" ht="13.5">
      <c r="A17" s="3052"/>
      <c r="B17" s="3049" t="s">
        <v>1664</v>
      </c>
      <c r="C17" s="1999" t="s">
        <v>1663</v>
      </c>
    </row>
    <row r="18" spans="1:3" ht="13.5">
      <c r="A18" s="3052"/>
      <c r="B18" s="3049"/>
      <c r="C18" s="1999" t="s">
        <v>1665</v>
      </c>
    </row>
    <row r="19" spans="1:3" ht="13.5">
      <c r="A19" s="3052"/>
      <c r="B19" s="3049"/>
      <c r="C19" s="1999" t="s">
        <v>1666</v>
      </c>
    </row>
    <row r="20" spans="1:3" ht="13.5">
      <c r="A20" s="3053"/>
      <c r="B20" s="3048" t="s">
        <v>1667</v>
      </c>
      <c r="C20" s="3047"/>
    </row>
    <row r="21" spans="1:3" ht="13.5">
      <c r="A21" s="2000" t="s">
        <v>1668</v>
      </c>
      <c r="B21" s="2001"/>
      <c r="C21" s="2002"/>
    </row>
    <row r="22" spans="1:3" ht="13.5">
      <c r="A22" s="3050" t="s">
        <v>1669</v>
      </c>
      <c r="B22" s="3048" t="s">
        <v>1670</v>
      </c>
      <c r="C22" s="3047"/>
    </row>
    <row r="23" spans="1:3" ht="13.5">
      <c r="A23" s="3050"/>
      <c r="B23" s="3048" t="s">
        <v>1671</v>
      </c>
      <c r="C23" s="3047"/>
    </row>
    <row r="24" spans="1:3" ht="13.5">
      <c r="A24" s="3050"/>
      <c r="B24" s="3048" t="s">
        <v>1672</v>
      </c>
      <c r="C24" s="3047"/>
    </row>
    <row r="25" spans="1:3" ht="13.5">
      <c r="A25" s="3050"/>
      <c r="B25" s="3049" t="s">
        <v>1673</v>
      </c>
      <c r="C25" s="1999" t="s">
        <v>1674</v>
      </c>
    </row>
    <row r="26" spans="1:3" ht="13.5">
      <c r="A26" s="3050"/>
      <c r="B26" s="3049"/>
      <c r="C26" s="1999" t="s">
        <v>1675</v>
      </c>
    </row>
    <row r="27" spans="1:3" ht="13.5">
      <c r="A27" s="3050"/>
      <c r="B27" s="3049"/>
      <c r="C27" s="1999" t="s">
        <v>1676</v>
      </c>
    </row>
    <row r="28" spans="1:3" ht="13.5">
      <c r="A28" s="3050"/>
      <c r="B28" s="3049"/>
      <c r="C28" s="1999" t="s">
        <v>1677</v>
      </c>
    </row>
    <row r="29" spans="1:3" ht="13.5">
      <c r="A29" s="3050"/>
      <c r="B29" s="3049"/>
      <c r="C29" s="1999" t="s">
        <v>1678</v>
      </c>
    </row>
    <row r="30" spans="1:3" ht="13.5">
      <c r="A30" s="3050"/>
      <c r="B30" s="3049"/>
      <c r="C30" s="1999" t="s">
        <v>1679</v>
      </c>
    </row>
    <row r="31" spans="1:3" ht="13.5">
      <c r="A31" s="3050"/>
      <c r="B31" s="3049"/>
      <c r="C31" s="1999" t="s">
        <v>1680</v>
      </c>
    </row>
    <row r="32" spans="1:3" ht="13.5">
      <c r="A32" s="3050"/>
      <c r="B32" s="3049"/>
      <c r="C32" s="1999" t="s">
        <v>1681</v>
      </c>
    </row>
    <row r="33" spans="1:3" ht="13.5">
      <c r="A33" s="3050"/>
      <c r="B33" s="304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43914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3045</v>
      </c>
      <c r="B14" s="1022">
        <f ca="1">IF(C14&lt;B2,"已过期",1120040230)</f>
        <v>1120040230</v>
      </c>
      <c r="C14" s="2348">
        <v>44864</v>
      </c>
      <c r="D14" s="2351" t="s">
        <v>3045</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1702" t="s">
        <v>3057</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4" t="s">
        <v>842</v>
      </c>
      <c r="B25" s="3054"/>
      <c r="C25" s="3054"/>
      <c r="D25" s="3054"/>
      <c r="E25" s="3054"/>
      <c r="F25" s="3054"/>
      <c r="G25" s="3054"/>
    </row>
    <row r="26" spans="1:7" s="1025" customFormat="1" ht="24" customHeight="1">
      <c r="A26" s="3055" t="s">
        <v>843</v>
      </c>
      <c r="B26" s="3055"/>
      <c r="C26" s="3056"/>
      <c r="D26" s="3057" t="s">
        <v>844</v>
      </c>
      <c r="E26" s="3055"/>
      <c r="F26" s="305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2020-03-24T09:07:09Z</dcterms:modified>
</cp:coreProperties>
</file>